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backupFile="1" defaultThemeVersion="124226"/>
  <mc:AlternateContent xmlns:mc="http://schemas.openxmlformats.org/markup-compatibility/2006">
    <mc:Choice Requires="x15">
      <x15ac:absPath xmlns:x15ac="http://schemas.microsoft.com/office/spreadsheetml/2010/11/ac" url="D:\Documents\Football Wall Charts\World Cup 2026 Americas\"/>
    </mc:Choice>
  </mc:AlternateContent>
  <xr:revisionPtr revIDLastSave="0" documentId="13_ncr:1_{08F1B469-0CB0-4DA4-9138-B4EFDDD37EAC}" xr6:coauthVersionLast="47" xr6:coauthVersionMax="47" xr10:uidLastSave="{00000000-0000-0000-0000-000000000000}"/>
  <bookViews>
    <workbookView xWindow="-120" yWindow="-120" windowWidth="29040" windowHeight="16440" tabRatio="525" firstSheet="26" activeTab="27" xr2:uid="{00000000-000D-0000-FFFF-FFFF00000000}"/>
  </bookViews>
  <sheets>
    <sheet name="FGrpA" sheetId="53" state="hidden" r:id="rId1"/>
    <sheet name="FGrpB" sheetId="64" state="hidden" r:id="rId2"/>
    <sheet name="FGrpC" sheetId="63" state="hidden" r:id="rId3"/>
    <sheet name="FGrpD" sheetId="62" state="hidden" r:id="rId4"/>
    <sheet name="FGrpE" sheetId="61" state="hidden" r:id="rId5"/>
    <sheet name="FGrpF" sheetId="60" state="hidden" r:id="rId6"/>
    <sheet name="FGrpG" sheetId="59" state="hidden" r:id="rId7"/>
    <sheet name="FGrpH" sheetId="58" state="hidden" r:id="rId8"/>
    <sheet name="FGrpI" sheetId="57" state="hidden" r:id="rId9"/>
    <sheet name="FGrpJ" sheetId="56" state="hidden" r:id="rId10"/>
    <sheet name="FGrpK" sheetId="55" state="hidden" r:id="rId11"/>
    <sheet name="FGrpL" sheetId="54" state="hidden" r:id="rId12"/>
    <sheet name="FThirdPlace" sheetId="65" state="hidden" r:id="rId13"/>
    <sheet name="GrpA" sheetId="37" state="hidden" r:id="rId14"/>
    <sheet name="GrpB" sheetId="48" state="hidden" r:id="rId15"/>
    <sheet name="GrpC" sheetId="49" state="hidden" r:id="rId16"/>
    <sheet name="GrpD" sheetId="47" state="hidden" r:id="rId17"/>
    <sheet name="GrpE" sheetId="46" state="hidden" r:id="rId18"/>
    <sheet name="GrpF" sheetId="45" state="hidden" r:id="rId19"/>
    <sheet name="GrpG" sheetId="43" state="hidden" r:id="rId20"/>
    <sheet name="GrpH" sheetId="42" state="hidden" r:id="rId21"/>
    <sheet name="GrpI" sheetId="41" state="hidden" r:id="rId22"/>
    <sheet name="GrpJ" sheetId="40" state="hidden" r:id="rId23"/>
    <sheet name="GrpK" sheetId="39" state="hidden" r:id="rId24"/>
    <sheet name="GrpL" sheetId="44" state="hidden" r:id="rId25"/>
    <sheet name="ThirdPlace" sheetId="50" state="hidden" r:id="rId26"/>
    <sheet name="Help" sheetId="68" r:id="rId27"/>
    <sheet name="Poster" sheetId="26" r:id="rId28"/>
    <sheet name="Forecast" sheetId="27" r:id="rId29"/>
    <sheet name="KO Stage" sheetId="52" r:id="rId30"/>
    <sheet name="Forecast KO" sheetId="66" r:id="rId31"/>
    <sheet name="Outright Predictions" sheetId="34" r:id="rId32"/>
    <sheet name="Ranking" sheetId="22" r:id="rId33"/>
    <sheet name="Fair Play" sheetId="36" r:id="rId34"/>
    <sheet name="Stadia" sheetId="35" r:id="rId35"/>
    <sheet name="Data" sheetId="24" state="hidden" r:id="rId36"/>
    <sheet name="Teams" sheetId="1" state="hidden" r:id="rId37"/>
    <sheet name="Settings" sheetId="5" state="hidden" r:id="rId38"/>
    <sheet name="Results" sheetId="2" state="hidden" r:id="rId39"/>
    <sheet name="FResults" sheetId="31" state="hidden" r:id="rId40"/>
    <sheet name="FScores" sheetId="32" state="hidden" r:id="rId41"/>
    <sheet name="Random" sheetId="33" state="hidden" r:id="rId42"/>
    <sheet name="Calculator" sheetId="3" state="hidden" r:id="rId43"/>
    <sheet name="AnnexeC" sheetId="51" state="hidden" r:id="rId44"/>
    <sheet name="DataTable" sheetId="67" state="hidden" r:id="rId45"/>
    <sheet name="Odds" sheetId="4" state="hidden" r:id="rId46"/>
  </sheets>
  <definedNames>
    <definedName name="AnnexeC">AnnexeC!$B$2:$J$496</definedName>
    <definedName name="Bonus">Settings!$C$5</definedName>
    <definedName name="DFactor">Settings!$C$6</definedName>
    <definedName name="Dpts">Data!$D$75</definedName>
    <definedName name="FDraws">Forecast!$L$8:$M$79</definedName>
    <definedName name="FGoalDiff">FResults!$O$1</definedName>
    <definedName name="FGroupstage_Losers">Forecast!$M$8:$M$55</definedName>
    <definedName name="FGroupstage_Winners">Forecast!$L$8:$L$55</definedName>
    <definedName name="FLookup1">FResults!$S$3:$V$106</definedName>
    <definedName name="FLookup2">FResults!$S$3:$V$106</definedName>
    <definedName name="FLookup3">FResults!$A$3:$AI$106</definedName>
    <definedName name="FLosers">Forecast!$M$8:$M$79</definedName>
    <definedName name="FTable" localSheetId="1">FGrpB!$B$45:$J$48</definedName>
    <definedName name="FTable" localSheetId="2">FGrpC!$B$45:$J$48</definedName>
    <definedName name="FTable" localSheetId="3">FGrpD!$B$45:$J$48</definedName>
    <definedName name="FTable" localSheetId="4">FGrpE!$B$45:$J$48</definedName>
    <definedName name="FTable" localSheetId="5">FGrpF!$B$45:$J$48</definedName>
    <definedName name="FTable" localSheetId="6">FGrpG!$B$45:$J$48</definedName>
    <definedName name="FTable" localSheetId="7">FGrpH!$B$45:$J$48</definedName>
    <definedName name="FTable" localSheetId="8">FGrpI!$B$45:$J$48</definedName>
    <definedName name="FTable" localSheetId="9">FGrpJ!$B$45:$J$48</definedName>
    <definedName name="FTable" localSheetId="10">FGrpK!$B$45:$J$48</definedName>
    <definedName name="FTable" localSheetId="11">FGrpL!$B$45:$J$48</definedName>
    <definedName name="FTable">FGrpA!$B$45:$J$48</definedName>
    <definedName name="FWinners">Forecast!$L$8:$L$80</definedName>
    <definedName name="GoalDiff">Results!$O$1</definedName>
    <definedName name="GOFF">Settings!$D$7</definedName>
    <definedName name="Group_Draws">Poster!$L$8:$M$79</definedName>
    <definedName name="Group_Losers">Poster!$M$8:$M$79</definedName>
    <definedName name="Group_Winners">Poster!$L$8:$L$79</definedName>
    <definedName name="GroupStage">Poster!$A$8:$J$79</definedName>
    <definedName name="KFactor">Calculator!$B$1</definedName>
    <definedName name="League">Settings!$D$1</definedName>
    <definedName name="Lookup01">Results!$S$3:$AM$106</definedName>
    <definedName name="Lookup02">Results!$U$3:$AM$106</definedName>
    <definedName name="Lookup03">Data!$J$3:$L$50</definedName>
    <definedName name="Lookup04">FScores!$A$3:$C$15</definedName>
    <definedName name="Lookup05">FScores!$A$16:$C$20</definedName>
    <definedName name="Lookup06">FScores!$A$21:$D$33</definedName>
    <definedName name="Lookup07">Data!$A$3:$G$50</definedName>
    <definedName name="Lookup08">Data!$B$3:$D$50</definedName>
    <definedName name="Lookup09">'Fair Play'!$A$3:$N$74</definedName>
    <definedName name="Lookup10">Data!$V$2:$AF$83</definedName>
    <definedName name="Lookup11">Data!$J$3:$M$50</definedName>
    <definedName name="Lookup12">Data!$P$2:$T$85</definedName>
    <definedName name="Lookup13" localSheetId="12">FThirdPlace!$A$3:$M$14</definedName>
    <definedName name="Lookup13">ThirdPlace!$A$3:$M$14</definedName>
    <definedName name="Lookup14">Poster!$D$84:$L$200</definedName>
    <definedName name="Lookup15">Ranking!$A$2:$E$49</definedName>
    <definedName name="Lookup16">Data!$J$3:$K$50</definedName>
    <definedName name="Lookup17">Forecast!$D$84:$J$197</definedName>
    <definedName name="Lookup18">Forecast!$A$8:$H$79</definedName>
    <definedName name="Lookup19">FThirdPlace!$A$3:$M$14</definedName>
    <definedName name="Lookup20">Results!$A$3:$Z$106</definedName>
    <definedName name="Lots">Data!$C$3:$D$50</definedName>
    <definedName name="Lpts">Data!$D$76</definedName>
    <definedName name="Number">Settings!$C$2</definedName>
    <definedName name="Odds">Odds!$A$2:$E$410</definedName>
    <definedName name="_xlnm.Print_Area" localSheetId="27">Poster!$B$1:$AH$201</definedName>
    <definedName name="Random90">Settings!$C$8</definedName>
    <definedName name="RandomAET">Settings!$C$9</definedName>
    <definedName name="RandomPen">Settings!$C$10</definedName>
    <definedName name="Ranking" localSheetId="0">FGrpA!$A$30:$N$33</definedName>
    <definedName name="Ranking" localSheetId="1">FGrpB!$A$30:$N$33</definedName>
    <definedName name="Ranking" localSheetId="2">FGrpC!$A$30:$N$33</definedName>
    <definedName name="Ranking" localSheetId="3">FGrpD!$A$30:$N$33</definedName>
    <definedName name="Ranking" localSheetId="4">FGrpE!$A$30:$N$33</definedName>
    <definedName name="Ranking" localSheetId="5">FGrpF!$A$30:$N$33</definedName>
    <definedName name="Ranking" localSheetId="6">FGrpG!$A$30:$N$33</definedName>
    <definedName name="Ranking" localSheetId="7">FGrpH!$A$30:$N$33</definedName>
    <definedName name="Ranking" localSheetId="8">FGrpI!$A$30:$N$33</definedName>
    <definedName name="Ranking" localSheetId="9">FGrpJ!$A$30:$N$33</definedName>
    <definedName name="Ranking" localSheetId="10">FGrpK!$A$30:$N$33</definedName>
    <definedName name="Ranking" localSheetId="11">FGrpL!$A$30:$N$33</definedName>
    <definedName name="RankingA">GrpA!$A$30:$K$33</definedName>
    <definedName name="RankingB" localSheetId="14">GrpB!$A$30:$K$33</definedName>
    <definedName name="RankingC" localSheetId="15">GrpC!$A$30:$K$33</definedName>
    <definedName name="RankingD" localSheetId="16">GrpD!$A$30:$K$33</definedName>
    <definedName name="RankingE" localSheetId="17">GrpE!$A$30:$K$33</definedName>
    <definedName name="RankingF" localSheetId="18">GrpF!$A$30:$K$33</definedName>
    <definedName name="RankingG" localSheetId="19">GrpG!$A$30:$K$33</definedName>
    <definedName name="RankingH" localSheetId="20">GrpH!$A$30:$K$33</definedName>
    <definedName name="RankingI" localSheetId="21">GrpI!$A$30:$K$33</definedName>
    <definedName name="RankingJ" localSheetId="22">GrpJ!$A$30:$K$33</definedName>
    <definedName name="RankingK" localSheetId="23">GrpK!$A$30:$K$33</definedName>
    <definedName name="RankingL" localSheetId="24">GrpL!$A$30:$K$33</definedName>
    <definedName name="Ratings">Calculator!$A$3:$H$1476</definedName>
    <definedName name="RFactor">Settings!$C$4</definedName>
    <definedName name="RND90M">Random!$A$2:$B$107</definedName>
    <definedName name="RNDAET">Random!$A$109:$B$140</definedName>
    <definedName name="RNDPEN">Random!$A$142:$B$173</definedName>
    <definedName name="Rounds">Settings!$C$3</definedName>
    <definedName name="Stadium1">Stadia!$B$2</definedName>
    <definedName name="Stadium10">Stadia!$B$11</definedName>
    <definedName name="Stadium11">Stadia!$B$12</definedName>
    <definedName name="Stadium12">Stadia!$B$13</definedName>
    <definedName name="Stadium13">Stadia!$B$14</definedName>
    <definedName name="Stadium14">Stadia!$B$15</definedName>
    <definedName name="Stadium15">Stadia!$B$16</definedName>
    <definedName name="Stadium16">Stadia!$B$17</definedName>
    <definedName name="Stadium2">Stadia!$B$3</definedName>
    <definedName name="Stadium3">Stadia!$B$4</definedName>
    <definedName name="Stadium4">Stadia!$B$5</definedName>
    <definedName name="Stadium5">Stadia!$B$6</definedName>
    <definedName name="Stadium6">Stadia!$B$7</definedName>
    <definedName name="Stadium7">Stadia!$B$8</definedName>
    <definedName name="Stadium8">Stadia!$B$9</definedName>
    <definedName name="Stadium9">Stadia!$B$10</definedName>
    <definedName name="Team">Teams!$A$2:$L$49</definedName>
    <definedName name="TeamA1">Data!$C$3</definedName>
    <definedName name="TeamA2">Data!$C$4</definedName>
    <definedName name="TeamA3">Data!$C$5</definedName>
    <definedName name="TeamA4">Data!$C$6</definedName>
    <definedName name="TeamB1">Data!$C$7</definedName>
    <definedName name="TeamB2">Data!$C$8</definedName>
    <definedName name="TeamB3">Data!$C$9</definedName>
    <definedName name="TeamB4">Data!$C$10</definedName>
    <definedName name="TeamC1">Data!$C$11</definedName>
    <definedName name="TeamC2">Data!$C$12</definedName>
    <definedName name="TeamC3">Data!$C$13</definedName>
    <definedName name="TeamC4">Data!$C$14</definedName>
    <definedName name="TeamD1">Data!$C$15</definedName>
    <definedName name="TeamD2">Data!$C$16</definedName>
    <definedName name="TeamD3">Data!$C$17</definedName>
    <definedName name="TeamD4">Data!$C$18</definedName>
    <definedName name="TeamE1">Data!$C$19</definedName>
    <definedName name="TeamE2">Data!$C$20</definedName>
    <definedName name="TeamE3">Data!$C$21</definedName>
    <definedName name="TeamE4">Data!$C$22</definedName>
    <definedName name="TeamF1">Data!$C$23</definedName>
    <definedName name="TeamF2">Data!$C$24</definedName>
    <definedName name="TeamF3">Data!$C$25</definedName>
    <definedName name="TeamF4">Data!$C$26</definedName>
    <definedName name="TeamG1">Data!$C$27</definedName>
    <definedName name="TeamG2">Data!$C$28</definedName>
    <definedName name="TeamG3">Data!$C$29</definedName>
    <definedName name="TeamG4">Data!$C$30</definedName>
    <definedName name="TeamH1">Data!$C$31</definedName>
    <definedName name="TeamH2">Data!$C$32</definedName>
    <definedName name="TeamH3">Data!$C$33</definedName>
    <definedName name="TeamH4">Data!$C$34</definedName>
    <definedName name="TeamI1">Data!$C$35</definedName>
    <definedName name="TeamI2">Data!$C$36</definedName>
    <definedName name="TeamI3">Data!$C$37</definedName>
    <definedName name="TeamI4">Data!$C$38</definedName>
    <definedName name="TeamJ1">Data!$C$39</definedName>
    <definedName name="TeamJ2">Data!$C$40</definedName>
    <definedName name="TeamJ3">Data!$C$41</definedName>
    <definedName name="TeamJ4">Data!$C$42</definedName>
    <definedName name="TeamK1">Data!$C$43</definedName>
    <definedName name="TeamK2">Data!$C$44</definedName>
    <definedName name="TeamK3">Data!$C$45</definedName>
    <definedName name="TeamK4">Data!$C$46</definedName>
    <definedName name="TeamL1">Data!$C$47</definedName>
    <definedName name="TeamL2">Data!$C$48</definedName>
    <definedName name="TeamL3">Data!$C$49</definedName>
    <definedName name="TeamL4">Data!$C$50</definedName>
    <definedName name="Wpts">Data!$D$74</definedName>
    <definedName name="XFinalist">DataTable!$B$4:$C$1003</definedName>
    <definedName name="XGroup">DataTable!$F$4:$Q$1003</definedName>
    <definedName name="XSemi">DataTable!$B$4:$E$1003</definedName>
    <definedName name="XTable">DataTable!$A$3:$Q$1003</definedName>
    <definedName name="XWinner">DataTable!$B$4:$B$1003</definedName>
  </definedNames>
  <calcPr calcId="191029" calcMode="autoNoTable"/>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10" i="52" l="1"/>
  <c r="C9" i="52"/>
  <c r="A49" i="66"/>
  <c r="F48" i="66"/>
  <c r="A48" i="66"/>
  <c r="F47" i="66"/>
  <c r="A46" i="66"/>
  <c r="K45" i="66"/>
  <c r="A45" i="66"/>
  <c r="K44" i="66"/>
  <c r="A43" i="66"/>
  <c r="F42" i="66"/>
  <c r="A42" i="66"/>
  <c r="F41" i="66"/>
  <c r="A40" i="66"/>
  <c r="P39" i="66"/>
  <c r="A39" i="66"/>
  <c r="P38" i="66"/>
  <c r="A37" i="66"/>
  <c r="F36" i="66"/>
  <c r="A36" i="66"/>
  <c r="F35" i="66"/>
  <c r="A34" i="66"/>
  <c r="K33" i="66"/>
  <c r="A33" i="66"/>
  <c r="K32" i="66"/>
  <c r="A31" i="66"/>
  <c r="F30" i="66"/>
  <c r="A30" i="66"/>
  <c r="F29" i="66"/>
  <c r="A28" i="66"/>
  <c r="V27" i="66"/>
  <c r="A27" i="66"/>
  <c r="V26" i="66"/>
  <c r="A25" i="66"/>
  <c r="F24" i="66"/>
  <c r="A24" i="66"/>
  <c r="F23" i="66"/>
  <c r="A22" i="66"/>
  <c r="K21" i="66"/>
  <c r="A21" i="66"/>
  <c r="K20" i="66"/>
  <c r="A19" i="66"/>
  <c r="F18" i="66"/>
  <c r="A18" i="66"/>
  <c r="F17" i="66"/>
  <c r="A16" i="66"/>
  <c r="P15" i="66"/>
  <c r="A15" i="66"/>
  <c r="P14" i="66"/>
  <c r="A13" i="66"/>
  <c r="F12" i="66"/>
  <c r="A12" i="66"/>
  <c r="F11" i="66"/>
  <c r="A10" i="66"/>
  <c r="K9" i="66"/>
  <c r="A9" i="66"/>
  <c r="K8" i="66"/>
  <c r="A7" i="66"/>
  <c r="F6" i="66"/>
  <c r="A6" i="66"/>
  <c r="F5" i="66"/>
  <c r="A4" i="66"/>
  <c r="A3" i="66"/>
  <c r="C49" i="54"/>
  <c r="C49" i="55"/>
  <c r="C49" i="56"/>
  <c r="C49" i="57"/>
  <c r="C49" i="58"/>
  <c r="C49" i="59"/>
  <c r="C49" i="60"/>
  <c r="C49" i="61"/>
  <c r="C49" i="62"/>
  <c r="C49" i="63"/>
  <c r="C49" i="64"/>
  <c r="C49" i="53"/>
  <c r="C2" i="27"/>
  <c r="M106" i="2"/>
  <c r="L106" i="2"/>
  <c r="M105" i="2"/>
  <c r="L105" i="2"/>
  <c r="M104" i="2"/>
  <c r="L104" i="2"/>
  <c r="M103" i="2"/>
  <c r="L103" i="2"/>
  <c r="M102" i="2"/>
  <c r="L102" i="2"/>
  <c r="M101" i="2"/>
  <c r="L101" i="2"/>
  <c r="M100" i="2"/>
  <c r="L100" i="2"/>
  <c r="M99" i="2"/>
  <c r="L99" i="2"/>
  <c r="M98" i="2"/>
  <c r="L98" i="2"/>
  <c r="M97" i="2"/>
  <c r="L97" i="2"/>
  <c r="M96" i="2"/>
  <c r="L96" i="2"/>
  <c r="M95" i="2"/>
  <c r="L95" i="2"/>
  <c r="M94" i="2"/>
  <c r="L94" i="2"/>
  <c r="M93" i="2"/>
  <c r="L93" i="2"/>
  <c r="M92" i="2"/>
  <c r="L92" i="2"/>
  <c r="M91" i="2"/>
  <c r="L91" i="2"/>
  <c r="M90" i="2"/>
  <c r="L90" i="2"/>
  <c r="M89" i="2"/>
  <c r="L89" i="2"/>
  <c r="M88" i="2"/>
  <c r="L88" i="2"/>
  <c r="M87" i="2"/>
  <c r="L87" i="2"/>
  <c r="M86" i="2"/>
  <c r="L86" i="2"/>
  <c r="M85" i="2"/>
  <c r="L85" i="2"/>
  <c r="M84" i="2"/>
  <c r="L84" i="2"/>
  <c r="M83" i="2"/>
  <c r="L83" i="2"/>
  <c r="M82" i="2"/>
  <c r="L82" i="2"/>
  <c r="M81" i="2"/>
  <c r="L81" i="2"/>
  <c r="M80" i="2"/>
  <c r="L80" i="2"/>
  <c r="M79" i="2"/>
  <c r="L79" i="2"/>
  <c r="M78" i="2"/>
  <c r="L78" i="2"/>
  <c r="M77" i="2"/>
  <c r="L77" i="2"/>
  <c r="M76" i="2"/>
  <c r="L76" i="2"/>
  <c r="M75" i="2"/>
  <c r="L75" i="2"/>
  <c r="K106" i="2"/>
  <c r="J106" i="2"/>
  <c r="K105" i="2"/>
  <c r="J105" i="2"/>
  <c r="K104" i="2"/>
  <c r="J104" i="2"/>
  <c r="K103" i="2"/>
  <c r="J103" i="2"/>
  <c r="K102" i="2"/>
  <c r="J102" i="2"/>
  <c r="K101" i="2"/>
  <c r="J101" i="2"/>
  <c r="K100" i="2"/>
  <c r="J100" i="2"/>
  <c r="K99" i="2"/>
  <c r="J99" i="2"/>
  <c r="K98" i="2"/>
  <c r="J98" i="2"/>
  <c r="K97" i="2"/>
  <c r="J97" i="2"/>
  <c r="K96" i="2"/>
  <c r="J96" i="2"/>
  <c r="K95" i="2"/>
  <c r="J95" i="2"/>
  <c r="K94" i="2"/>
  <c r="J94" i="2"/>
  <c r="K93" i="2"/>
  <c r="J93" i="2"/>
  <c r="K92" i="2"/>
  <c r="J92" i="2"/>
  <c r="K91" i="2"/>
  <c r="J91" i="2"/>
  <c r="K90" i="2"/>
  <c r="J90" i="2"/>
  <c r="K89" i="2"/>
  <c r="J89" i="2"/>
  <c r="K88" i="2"/>
  <c r="J88" i="2"/>
  <c r="K87" i="2"/>
  <c r="J87" i="2"/>
  <c r="K86" i="2"/>
  <c r="J86" i="2"/>
  <c r="K85" i="2"/>
  <c r="J85" i="2"/>
  <c r="K84" i="2"/>
  <c r="J84" i="2"/>
  <c r="K83" i="2"/>
  <c r="J83" i="2"/>
  <c r="K82" i="2"/>
  <c r="J82" i="2"/>
  <c r="K81" i="2"/>
  <c r="J81" i="2"/>
  <c r="K80" i="2"/>
  <c r="J80" i="2"/>
  <c r="K79" i="2"/>
  <c r="J79" i="2"/>
  <c r="K78" i="2"/>
  <c r="J78" i="2"/>
  <c r="K77" i="2"/>
  <c r="J77" i="2"/>
  <c r="K76" i="2"/>
  <c r="J76" i="2"/>
  <c r="K75" i="2"/>
  <c r="J75" i="2"/>
  <c r="G79" i="27"/>
  <c r="G78" i="27"/>
  <c r="G77" i="27"/>
  <c r="G76" i="27"/>
  <c r="G75" i="27"/>
  <c r="G74" i="27"/>
  <c r="G73" i="27"/>
  <c r="G72" i="27"/>
  <c r="G71" i="27"/>
  <c r="G70" i="27"/>
  <c r="G69" i="27"/>
  <c r="G68" i="27"/>
  <c r="G67" i="27"/>
  <c r="G66" i="27"/>
  <c r="G65" i="27"/>
  <c r="G64" i="27"/>
  <c r="G63" i="27"/>
  <c r="G62" i="27"/>
  <c r="G61" i="27"/>
  <c r="G60" i="27"/>
  <c r="G59" i="27"/>
  <c r="G58" i="27"/>
  <c r="G57" i="27"/>
  <c r="G56" i="27"/>
  <c r="G55" i="27"/>
  <c r="G54" i="27"/>
  <c r="G53" i="27"/>
  <c r="G52" i="27"/>
  <c r="G51" i="27"/>
  <c r="G50" i="27"/>
  <c r="G49" i="27"/>
  <c r="G48" i="27"/>
  <c r="G47" i="27"/>
  <c r="G46" i="27"/>
  <c r="G45" i="27"/>
  <c r="G44" i="27"/>
  <c r="G43" i="27"/>
  <c r="G42" i="27"/>
  <c r="G41" i="27"/>
  <c r="G40" i="27"/>
  <c r="G39" i="27"/>
  <c r="G38" i="27"/>
  <c r="G37" i="27"/>
  <c r="G36" i="27"/>
  <c r="G35" i="27"/>
  <c r="G34" i="27"/>
  <c r="G33" i="27"/>
  <c r="G32" i="27"/>
  <c r="G31" i="27"/>
  <c r="G30" i="27"/>
  <c r="G29" i="27"/>
  <c r="G28" i="27"/>
  <c r="G27" i="27"/>
  <c r="G26" i="27"/>
  <c r="G25" i="27"/>
  <c r="G24" i="27"/>
  <c r="G23" i="27"/>
  <c r="G22" i="27"/>
  <c r="G21" i="27"/>
  <c r="G20" i="27"/>
  <c r="G19" i="27"/>
  <c r="G18" i="27"/>
  <c r="G17" i="27"/>
  <c r="G16" i="27"/>
  <c r="G15" i="27"/>
  <c r="G14" i="27"/>
  <c r="G13" i="27"/>
  <c r="G12" i="27"/>
  <c r="G11" i="27"/>
  <c r="G10" i="27"/>
  <c r="G9" i="27"/>
  <c r="D14" i="65"/>
  <c r="D13" i="65"/>
  <c r="D12" i="65"/>
  <c r="D11" i="65"/>
  <c r="D10" i="65"/>
  <c r="D9" i="65"/>
  <c r="D8" i="65"/>
  <c r="D7" i="65"/>
  <c r="D6" i="65"/>
  <c r="D5" i="65"/>
  <c r="D4" i="65"/>
  <c r="D3" i="65"/>
  <c r="T90" i="27"/>
  <c r="T89" i="27"/>
  <c r="T88" i="27"/>
  <c r="T87" i="27"/>
  <c r="T83" i="27"/>
  <c r="T82" i="27"/>
  <c r="T81" i="27"/>
  <c r="T80" i="27"/>
  <c r="T76" i="27"/>
  <c r="T75" i="27"/>
  <c r="T74" i="27"/>
  <c r="T73" i="27"/>
  <c r="T69" i="27"/>
  <c r="T68" i="27"/>
  <c r="T67" i="27"/>
  <c r="T66" i="27"/>
  <c r="T62" i="27"/>
  <c r="T61" i="27"/>
  <c r="T60" i="27"/>
  <c r="T59" i="27"/>
  <c r="T55" i="27"/>
  <c r="T54" i="27"/>
  <c r="T53" i="27"/>
  <c r="T52" i="27"/>
  <c r="T48" i="27"/>
  <c r="T47" i="27"/>
  <c r="T46" i="27"/>
  <c r="T45" i="27"/>
  <c r="T41" i="27"/>
  <c r="T40" i="27"/>
  <c r="T39" i="27"/>
  <c r="T38" i="27"/>
  <c r="T34" i="27"/>
  <c r="T33" i="27"/>
  <c r="T32" i="27"/>
  <c r="T31" i="27"/>
  <c r="T27" i="27"/>
  <c r="T26" i="27"/>
  <c r="T25" i="27"/>
  <c r="T24" i="27"/>
  <c r="T20" i="27"/>
  <c r="T19" i="27"/>
  <c r="T18" i="27"/>
  <c r="T17" i="27"/>
  <c r="T13" i="27"/>
  <c r="T12" i="27"/>
  <c r="T11" i="27"/>
  <c r="T10" i="27"/>
  <c r="C34" i="64"/>
  <c r="X13" i="64"/>
  <c r="R13" i="64"/>
  <c r="L13" i="64"/>
  <c r="K12" i="64"/>
  <c r="Q12" i="64" s="1"/>
  <c r="W12" i="64" s="1"/>
  <c r="V11" i="64"/>
  <c r="P11" i="64"/>
  <c r="J11" i="64"/>
  <c r="I10" i="64"/>
  <c r="O10" i="64" s="1"/>
  <c r="E1" i="64"/>
  <c r="D1" i="64"/>
  <c r="B38" i="64" s="1"/>
  <c r="C1" i="64"/>
  <c r="C2" i="64" s="1"/>
  <c r="B1" i="64"/>
  <c r="C34" i="63"/>
  <c r="L13" i="63"/>
  <c r="R13" i="63" s="1"/>
  <c r="X13" i="63" s="1"/>
  <c r="K12" i="63"/>
  <c r="Q12" i="63" s="1"/>
  <c r="W12" i="63" s="1"/>
  <c r="J11" i="63"/>
  <c r="P11" i="63" s="1"/>
  <c r="V11" i="63" s="1"/>
  <c r="I10" i="63"/>
  <c r="O10" i="63" s="1"/>
  <c r="E1" i="63"/>
  <c r="B42" i="63" s="1"/>
  <c r="D1" i="63"/>
  <c r="B38" i="63" s="1"/>
  <c r="C1" i="63"/>
  <c r="C2" i="63" s="1"/>
  <c r="B1" i="63"/>
  <c r="B2" i="63" s="1"/>
  <c r="B37" i="62"/>
  <c r="C34" i="62"/>
  <c r="L13" i="62"/>
  <c r="R13" i="62" s="1"/>
  <c r="X13" i="62" s="1"/>
  <c r="W12" i="62"/>
  <c r="Q12" i="62"/>
  <c r="K12" i="62"/>
  <c r="P11" i="62"/>
  <c r="V11" i="62" s="1"/>
  <c r="J11" i="62"/>
  <c r="I10" i="62"/>
  <c r="O10" i="62" s="1"/>
  <c r="C2" i="62"/>
  <c r="B18" i="62" s="1"/>
  <c r="H18" i="62" s="1"/>
  <c r="N18" i="62" s="1"/>
  <c r="T18" i="62" s="1"/>
  <c r="B2" i="62"/>
  <c r="C23" i="62" s="1"/>
  <c r="I23" i="62" s="1"/>
  <c r="O23" i="62" s="1"/>
  <c r="U23" i="62" s="1"/>
  <c r="E1" i="62"/>
  <c r="E2" i="62" s="1"/>
  <c r="D1" i="62"/>
  <c r="B38" i="62" s="1"/>
  <c r="C1" i="62"/>
  <c r="B1" i="62"/>
  <c r="C34" i="61"/>
  <c r="R13" i="61"/>
  <c r="X13" i="61" s="1"/>
  <c r="L13" i="61"/>
  <c r="K12" i="61"/>
  <c r="Q12" i="61" s="1"/>
  <c r="W12" i="61" s="1"/>
  <c r="J11" i="61"/>
  <c r="P11" i="61" s="1"/>
  <c r="V11" i="61" s="1"/>
  <c r="I10" i="61"/>
  <c r="O10" i="61" s="1"/>
  <c r="E1" i="61"/>
  <c r="D1" i="61"/>
  <c r="C1" i="61"/>
  <c r="C2" i="61" s="1"/>
  <c r="B1" i="61"/>
  <c r="B39" i="61" s="1"/>
  <c r="C34" i="60"/>
  <c r="L13" i="60"/>
  <c r="R13" i="60" s="1"/>
  <c r="X13" i="60" s="1"/>
  <c r="K12" i="60"/>
  <c r="Q12" i="60" s="1"/>
  <c r="W12" i="60" s="1"/>
  <c r="J11" i="60"/>
  <c r="P11" i="60" s="1"/>
  <c r="V11" i="60" s="1"/>
  <c r="I10" i="60"/>
  <c r="O10" i="60" s="1"/>
  <c r="B2" i="60"/>
  <c r="C23" i="60" s="1"/>
  <c r="I23" i="60" s="1"/>
  <c r="O23" i="60" s="1"/>
  <c r="U23" i="60" s="1"/>
  <c r="E1" i="60"/>
  <c r="D1" i="60"/>
  <c r="B38" i="60" s="1"/>
  <c r="C1" i="60"/>
  <c r="C2" i="60" s="1"/>
  <c r="B1" i="60"/>
  <c r="C34" i="59"/>
  <c r="L13" i="59"/>
  <c r="R13" i="59" s="1"/>
  <c r="X13" i="59" s="1"/>
  <c r="K12" i="59"/>
  <c r="Q12" i="59" s="1"/>
  <c r="W12" i="59" s="1"/>
  <c r="J11" i="59"/>
  <c r="P11" i="59" s="1"/>
  <c r="V11" i="59" s="1"/>
  <c r="I10" i="59"/>
  <c r="O10" i="59" s="1"/>
  <c r="E1" i="59"/>
  <c r="D1" i="59"/>
  <c r="B38" i="59" s="1"/>
  <c r="C1" i="59"/>
  <c r="C2" i="59" s="1"/>
  <c r="B1" i="59"/>
  <c r="B2" i="59" s="1"/>
  <c r="C23" i="59" s="1"/>
  <c r="I23" i="59" s="1"/>
  <c r="O23" i="59" s="1"/>
  <c r="U23" i="59" s="1"/>
  <c r="C34" i="58"/>
  <c r="X13" i="58"/>
  <c r="R13" i="58"/>
  <c r="L13" i="58"/>
  <c r="W12" i="58"/>
  <c r="Q12" i="58"/>
  <c r="K12" i="58"/>
  <c r="V11" i="58"/>
  <c r="P11" i="58"/>
  <c r="J11" i="58"/>
  <c r="O10" i="58"/>
  <c r="U10" i="58" s="1"/>
  <c r="I10" i="58"/>
  <c r="E1" i="58"/>
  <c r="E2" i="58" s="1"/>
  <c r="D1" i="58"/>
  <c r="D2" i="58" s="1"/>
  <c r="C1" i="58"/>
  <c r="C2" i="58" s="1"/>
  <c r="B1" i="58"/>
  <c r="B39" i="58" s="1"/>
  <c r="C34" i="57"/>
  <c r="R13" i="57"/>
  <c r="X13" i="57" s="1"/>
  <c r="L13" i="57"/>
  <c r="K12" i="57"/>
  <c r="Q12" i="57" s="1"/>
  <c r="W12" i="57" s="1"/>
  <c r="P11" i="57"/>
  <c r="V11" i="57" s="1"/>
  <c r="J11" i="57"/>
  <c r="I10" i="57"/>
  <c r="O10" i="57" s="1"/>
  <c r="B2" i="57"/>
  <c r="C23" i="57" s="1"/>
  <c r="I23" i="57" s="1"/>
  <c r="O23" i="57" s="1"/>
  <c r="U23" i="57" s="1"/>
  <c r="E1" i="57"/>
  <c r="D1" i="57"/>
  <c r="B38" i="57" s="1"/>
  <c r="C1" i="57"/>
  <c r="C2" i="57" s="1"/>
  <c r="B1" i="57"/>
  <c r="C34" i="56"/>
  <c r="L13" i="56"/>
  <c r="R13" i="56" s="1"/>
  <c r="X13" i="56" s="1"/>
  <c r="K12" i="56"/>
  <c r="Q12" i="56" s="1"/>
  <c r="W12" i="56" s="1"/>
  <c r="J11" i="56"/>
  <c r="P11" i="56" s="1"/>
  <c r="V11" i="56" s="1"/>
  <c r="I10" i="56"/>
  <c r="O10" i="56" s="1"/>
  <c r="B2" i="56"/>
  <c r="C23" i="56" s="1"/>
  <c r="I23" i="56" s="1"/>
  <c r="O23" i="56" s="1"/>
  <c r="U23" i="56" s="1"/>
  <c r="E1" i="56"/>
  <c r="B42" i="56" s="1"/>
  <c r="D1" i="56"/>
  <c r="C1" i="56"/>
  <c r="C2" i="56" s="1"/>
  <c r="B1" i="56"/>
  <c r="C34" i="55"/>
  <c r="L13" i="55"/>
  <c r="R13" i="55" s="1"/>
  <c r="X13" i="55" s="1"/>
  <c r="Q12" i="55"/>
  <c r="W12" i="55" s="1"/>
  <c r="K12" i="55"/>
  <c r="P11" i="55"/>
  <c r="V11" i="55" s="1"/>
  <c r="J11" i="55"/>
  <c r="O10" i="55"/>
  <c r="U10" i="55" s="1"/>
  <c r="I10" i="55"/>
  <c r="E1" i="55"/>
  <c r="E2" i="55" s="1"/>
  <c r="D1" i="55"/>
  <c r="B38" i="55" s="1"/>
  <c r="C1" i="55"/>
  <c r="C2" i="55" s="1"/>
  <c r="B18" i="55" s="1"/>
  <c r="H18" i="55" s="1"/>
  <c r="N18" i="55" s="1"/>
  <c r="T18" i="55" s="1"/>
  <c r="B1" i="55"/>
  <c r="B42" i="55" s="1"/>
  <c r="B37" i="54"/>
  <c r="C34" i="54"/>
  <c r="X13" i="54"/>
  <c r="R13" i="54"/>
  <c r="L13" i="54"/>
  <c r="Q12" i="54"/>
  <c r="W12" i="54" s="1"/>
  <c r="K12" i="54"/>
  <c r="J11" i="54"/>
  <c r="P11" i="54" s="1"/>
  <c r="V11" i="54" s="1"/>
  <c r="O10" i="54"/>
  <c r="U10" i="54" s="1"/>
  <c r="I10" i="54"/>
  <c r="B2" i="54"/>
  <c r="C23" i="54" s="1"/>
  <c r="I23" i="54" s="1"/>
  <c r="O23" i="54" s="1"/>
  <c r="U23" i="54" s="1"/>
  <c r="E1" i="54"/>
  <c r="B42" i="54" s="1"/>
  <c r="D1" i="54"/>
  <c r="C1" i="54"/>
  <c r="C2" i="54" s="1"/>
  <c r="B1" i="54"/>
  <c r="B107" i="33"/>
  <c r="B106" i="33"/>
  <c r="B105" i="33"/>
  <c r="Y106" i="31" s="1"/>
  <c r="B104" i="33"/>
  <c r="Y105" i="31" s="1"/>
  <c r="B103" i="33"/>
  <c r="Y104" i="31" s="1"/>
  <c r="B102" i="33"/>
  <c r="Y103" i="31" s="1"/>
  <c r="B101" i="33"/>
  <c r="Y102" i="31" s="1"/>
  <c r="B100" i="33"/>
  <c r="Y101" i="31" s="1"/>
  <c r="B99" i="33"/>
  <c r="Y100" i="31" s="1"/>
  <c r="B98" i="33"/>
  <c r="Y99" i="31" s="1"/>
  <c r="B97" i="33"/>
  <c r="Y98" i="31" s="1"/>
  <c r="B96" i="33"/>
  <c r="Y97" i="31" s="1"/>
  <c r="B95" i="33"/>
  <c r="Y96" i="31" s="1"/>
  <c r="B94" i="33"/>
  <c r="Y95" i="31" s="1"/>
  <c r="B93" i="33"/>
  <c r="Y94" i="31" s="1"/>
  <c r="B92" i="33"/>
  <c r="Y93" i="31" s="1"/>
  <c r="B91" i="33"/>
  <c r="Y91" i="31" s="1"/>
  <c r="B90" i="33"/>
  <c r="Y92" i="31" s="1"/>
  <c r="B89" i="33"/>
  <c r="Y88" i="31" s="1"/>
  <c r="B88" i="33"/>
  <c r="Y90" i="31" s="1"/>
  <c r="B87" i="33"/>
  <c r="Y89" i="31" s="1"/>
  <c r="B86" i="33"/>
  <c r="Y87" i="31" s="1"/>
  <c r="B85" i="33"/>
  <c r="Y85" i="31" s="1"/>
  <c r="B84" i="33"/>
  <c r="Y86" i="31" s="1"/>
  <c r="B83" i="33"/>
  <c r="Y83" i="31" s="1"/>
  <c r="B82" i="33"/>
  <c r="Y84" i="31" s="1"/>
  <c r="B81" i="33"/>
  <c r="Y82" i="31" s="1"/>
  <c r="B80" i="33"/>
  <c r="Y81" i="31" s="1"/>
  <c r="B79" i="33"/>
  <c r="Y79" i="31" s="1"/>
  <c r="B78" i="33"/>
  <c r="Y80" i="31" s="1"/>
  <c r="B77" i="33"/>
  <c r="Y76" i="31" s="1"/>
  <c r="B76" i="33"/>
  <c r="Y78" i="31" s="1"/>
  <c r="B75" i="33"/>
  <c r="Y77" i="31" s="1"/>
  <c r="B74" i="33"/>
  <c r="Y75" i="31" s="1"/>
  <c r="B73" i="33"/>
  <c r="Y74" i="31" s="1"/>
  <c r="B172" i="33"/>
  <c r="AG105" i="31" s="1"/>
  <c r="AH105" i="31" s="1"/>
  <c r="AI105" i="31" s="1"/>
  <c r="M105" i="31" s="1"/>
  <c r="B171" i="33"/>
  <c r="AG104" i="31" s="1"/>
  <c r="AH104" i="31" s="1"/>
  <c r="AI104" i="31" s="1"/>
  <c r="M104" i="31" s="1"/>
  <c r="B170" i="33"/>
  <c r="AG103" i="31" s="1"/>
  <c r="AH103" i="31" s="1"/>
  <c r="AI103" i="31" s="1"/>
  <c r="M103" i="31" s="1"/>
  <c r="B169" i="33"/>
  <c r="AG102" i="31" s="1"/>
  <c r="AH102" i="31" s="1"/>
  <c r="AI102" i="31" s="1"/>
  <c r="M102" i="31" s="1"/>
  <c r="B168" i="33"/>
  <c r="AG101" i="31" s="1"/>
  <c r="AH101" i="31" s="1"/>
  <c r="AI101" i="31" s="1"/>
  <c r="M101" i="31" s="1"/>
  <c r="B167" i="33"/>
  <c r="AG100" i="31" s="1"/>
  <c r="AH100" i="31" s="1"/>
  <c r="AI100" i="31" s="1"/>
  <c r="M100" i="31" s="1"/>
  <c r="B166" i="33"/>
  <c r="AG99" i="31" s="1"/>
  <c r="AH99" i="31" s="1"/>
  <c r="AI99" i="31" s="1"/>
  <c r="M99" i="31" s="1"/>
  <c r="B165" i="33"/>
  <c r="AG98" i="31" s="1"/>
  <c r="AH98" i="31" s="1"/>
  <c r="AI98" i="31" s="1"/>
  <c r="M98" i="31" s="1"/>
  <c r="B164" i="33"/>
  <c r="AG97" i="31" s="1"/>
  <c r="AH97" i="31" s="1"/>
  <c r="AI97" i="31" s="1"/>
  <c r="M97" i="31" s="1"/>
  <c r="B163" i="33"/>
  <c r="AG96" i="31" s="1"/>
  <c r="AH96" i="31" s="1"/>
  <c r="AI96" i="31" s="1"/>
  <c r="M96" i="31" s="1"/>
  <c r="B162" i="33"/>
  <c r="AG95" i="31" s="1"/>
  <c r="AH95" i="31" s="1"/>
  <c r="AI95" i="31" s="1"/>
  <c r="M95" i="31" s="1"/>
  <c r="B161" i="33"/>
  <c r="AG94" i="31" s="1"/>
  <c r="AH94" i="31" s="1"/>
  <c r="AI94" i="31" s="1"/>
  <c r="M94" i="31" s="1"/>
  <c r="B160" i="33"/>
  <c r="AG93" i="31" s="1"/>
  <c r="AH93" i="31" s="1"/>
  <c r="AI93" i="31" s="1"/>
  <c r="M93" i="31" s="1"/>
  <c r="B159" i="33"/>
  <c r="AG91" i="31" s="1"/>
  <c r="AH91" i="31" s="1"/>
  <c r="AI91" i="31" s="1"/>
  <c r="M91" i="31" s="1"/>
  <c r="B158" i="33"/>
  <c r="AG92" i="31" s="1"/>
  <c r="AH92" i="31" s="1"/>
  <c r="AI92" i="31" s="1"/>
  <c r="M92" i="31" s="1"/>
  <c r="B157" i="33"/>
  <c r="AG88" i="31" s="1"/>
  <c r="AH88" i="31" s="1"/>
  <c r="AI88" i="31" s="1"/>
  <c r="M88" i="31" s="1"/>
  <c r="B140" i="33"/>
  <c r="AD106" i="31" s="1"/>
  <c r="B139" i="33"/>
  <c r="AD105" i="31" s="1"/>
  <c r="B138" i="33"/>
  <c r="AD104" i="31" s="1"/>
  <c r="B137" i="33"/>
  <c r="AD103" i="31" s="1"/>
  <c r="B136" i="33"/>
  <c r="AD102" i="31" s="1"/>
  <c r="B135" i="33"/>
  <c r="AD101" i="31" s="1"/>
  <c r="B134" i="33"/>
  <c r="AD100" i="31" s="1"/>
  <c r="B133" i="33"/>
  <c r="AD99" i="31" s="1"/>
  <c r="B132" i="33"/>
  <c r="AD98" i="31" s="1"/>
  <c r="B131" i="33"/>
  <c r="AD97" i="31" s="1"/>
  <c r="B130" i="33"/>
  <c r="AD96" i="31" s="1"/>
  <c r="B129" i="33"/>
  <c r="AD95" i="31" s="1"/>
  <c r="B128" i="33"/>
  <c r="AD94" i="31" s="1"/>
  <c r="B127" i="33"/>
  <c r="AD93" i="31" s="1"/>
  <c r="B126" i="33"/>
  <c r="AD91" i="31" s="1"/>
  <c r="B125" i="33"/>
  <c r="AD92" i="31" s="1"/>
  <c r="B124" i="33"/>
  <c r="AD88" i="31" s="1"/>
  <c r="B123" i="33"/>
  <c r="AD90" i="31" s="1"/>
  <c r="B72" i="33"/>
  <c r="Y73" i="31" s="1"/>
  <c r="B71" i="33"/>
  <c r="Y72" i="31" s="1"/>
  <c r="B70" i="33"/>
  <c r="Y71" i="31" s="1"/>
  <c r="B69" i="33"/>
  <c r="Y70" i="31" s="1"/>
  <c r="B68" i="33"/>
  <c r="Y69" i="31" s="1"/>
  <c r="B67" i="33"/>
  <c r="Y68" i="31" s="1"/>
  <c r="B66" i="33"/>
  <c r="Y67" i="31" s="1"/>
  <c r="L13" i="53"/>
  <c r="R13" i="53" s="1"/>
  <c r="X13" i="53" s="1"/>
  <c r="K12" i="53"/>
  <c r="Q12" i="53" s="1"/>
  <c r="W12" i="53" s="1"/>
  <c r="J11" i="53"/>
  <c r="P11" i="53" s="1"/>
  <c r="V11" i="53" s="1"/>
  <c r="I10" i="53"/>
  <c r="O10" i="53" s="1"/>
  <c r="B2" i="53"/>
  <c r="E1" i="53"/>
  <c r="B42" i="53" s="1"/>
  <c r="D1" i="53"/>
  <c r="D2" i="53" s="1"/>
  <c r="C1" i="53"/>
  <c r="C2" i="53" s="1"/>
  <c r="B1" i="53"/>
  <c r="AC85" i="27"/>
  <c r="AC78" i="27"/>
  <c r="AC71" i="27"/>
  <c r="AC64" i="27"/>
  <c r="AC57" i="27"/>
  <c r="AC50" i="27"/>
  <c r="AC43" i="27"/>
  <c r="AC36" i="27"/>
  <c r="AC29" i="27"/>
  <c r="AC22" i="27"/>
  <c r="AC15" i="27"/>
  <c r="AC8" i="27"/>
  <c r="J195" i="27"/>
  <c r="C195" i="27"/>
  <c r="J186" i="27"/>
  <c r="C186" i="27"/>
  <c r="J180" i="27"/>
  <c r="J177" i="27"/>
  <c r="J171" i="27"/>
  <c r="J168" i="27"/>
  <c r="J165" i="27"/>
  <c r="J162" i="27"/>
  <c r="J156" i="27"/>
  <c r="J153" i="27"/>
  <c r="J150" i="27"/>
  <c r="J147" i="27"/>
  <c r="J144" i="27"/>
  <c r="J141" i="27"/>
  <c r="J138" i="27"/>
  <c r="J135" i="27"/>
  <c r="J129" i="27"/>
  <c r="J126" i="27"/>
  <c r="J123" i="27"/>
  <c r="J120" i="27"/>
  <c r="J117" i="27"/>
  <c r="J114" i="27"/>
  <c r="J111" i="27"/>
  <c r="J108" i="27"/>
  <c r="J105" i="27"/>
  <c r="J102" i="27"/>
  <c r="J99" i="27"/>
  <c r="J96" i="27"/>
  <c r="J93" i="27"/>
  <c r="J90" i="27"/>
  <c r="J87" i="27"/>
  <c r="J84" i="27"/>
  <c r="B8" i="66" s="1"/>
  <c r="J79" i="27"/>
  <c r="I79" i="27"/>
  <c r="E79" i="27"/>
  <c r="D79" i="27"/>
  <c r="K79" i="27" s="1"/>
  <c r="J78" i="27"/>
  <c r="I78" i="27"/>
  <c r="E78" i="27"/>
  <c r="D78" i="27"/>
  <c r="K78" i="27" s="1"/>
  <c r="J77" i="27"/>
  <c r="I77" i="27"/>
  <c r="E77" i="27"/>
  <c r="D77" i="27"/>
  <c r="K77" i="27" s="1"/>
  <c r="J76" i="27"/>
  <c r="I76" i="27"/>
  <c r="E76" i="27"/>
  <c r="D76" i="27"/>
  <c r="K76" i="27" s="1"/>
  <c r="J75" i="27"/>
  <c r="I75" i="27"/>
  <c r="E75" i="27"/>
  <c r="D75" i="27"/>
  <c r="K75" i="27" s="1"/>
  <c r="J74" i="27"/>
  <c r="I74" i="27"/>
  <c r="E74" i="27"/>
  <c r="D74" i="27"/>
  <c r="K74" i="27" s="1"/>
  <c r="J73" i="27"/>
  <c r="I73" i="27"/>
  <c r="E73" i="27"/>
  <c r="D73" i="27"/>
  <c r="K73" i="27" s="1"/>
  <c r="J72" i="27"/>
  <c r="I72" i="27"/>
  <c r="E72" i="27"/>
  <c r="D72" i="27"/>
  <c r="K72" i="27" s="1"/>
  <c r="J71" i="27"/>
  <c r="I71" i="27"/>
  <c r="E71" i="27"/>
  <c r="D71" i="27"/>
  <c r="K71" i="27" s="1"/>
  <c r="J70" i="27"/>
  <c r="I70" i="27"/>
  <c r="E70" i="27"/>
  <c r="D70" i="27"/>
  <c r="K70" i="27" s="1"/>
  <c r="J69" i="27"/>
  <c r="I69" i="27"/>
  <c r="E69" i="27"/>
  <c r="D69" i="27"/>
  <c r="K69" i="27" s="1"/>
  <c r="J68" i="27"/>
  <c r="I68" i="27"/>
  <c r="E68" i="27"/>
  <c r="D68" i="27"/>
  <c r="K68" i="27" s="1"/>
  <c r="J67" i="27"/>
  <c r="I67" i="27"/>
  <c r="E67" i="27"/>
  <c r="D67" i="27"/>
  <c r="K67" i="27" s="1"/>
  <c r="J66" i="27"/>
  <c r="I66" i="27"/>
  <c r="E66" i="27"/>
  <c r="D66" i="27"/>
  <c r="K66" i="27" s="1"/>
  <c r="J65" i="27"/>
  <c r="I65" i="27"/>
  <c r="E65" i="27"/>
  <c r="D65" i="27"/>
  <c r="K65" i="27" s="1"/>
  <c r="J64" i="27"/>
  <c r="I64" i="27"/>
  <c r="E64" i="27"/>
  <c r="D64" i="27"/>
  <c r="K64" i="27" s="1"/>
  <c r="J63" i="27"/>
  <c r="I63" i="27"/>
  <c r="E63" i="27"/>
  <c r="D63" i="27"/>
  <c r="K63" i="27" s="1"/>
  <c r="J62" i="27"/>
  <c r="I62" i="27"/>
  <c r="E62" i="27"/>
  <c r="D62" i="27"/>
  <c r="K62" i="27" s="1"/>
  <c r="J61" i="27"/>
  <c r="I61" i="27"/>
  <c r="E61" i="27"/>
  <c r="D61" i="27"/>
  <c r="K61" i="27" s="1"/>
  <c r="J60" i="27"/>
  <c r="I60" i="27"/>
  <c r="E60" i="27"/>
  <c r="D60" i="27"/>
  <c r="K60" i="27" s="1"/>
  <c r="J59" i="27"/>
  <c r="I59" i="27"/>
  <c r="E59" i="27"/>
  <c r="D59" i="27"/>
  <c r="K59" i="27" s="1"/>
  <c r="J58" i="27"/>
  <c r="I58" i="27"/>
  <c r="E58" i="27"/>
  <c r="D58" i="27"/>
  <c r="K58" i="27" s="1"/>
  <c r="J57" i="27"/>
  <c r="I57" i="27"/>
  <c r="E57" i="27"/>
  <c r="D57" i="27"/>
  <c r="K57" i="27" s="1"/>
  <c r="J56" i="27"/>
  <c r="I56" i="27"/>
  <c r="E56" i="27"/>
  <c r="D56" i="27"/>
  <c r="K56" i="27" s="1"/>
  <c r="J55" i="27"/>
  <c r="I55" i="27"/>
  <c r="E55" i="27"/>
  <c r="D55" i="27"/>
  <c r="K55" i="27" s="1"/>
  <c r="J54" i="27"/>
  <c r="I54" i="27"/>
  <c r="E54" i="27"/>
  <c r="D54" i="27"/>
  <c r="K54" i="27" s="1"/>
  <c r="J53" i="27"/>
  <c r="I53" i="27"/>
  <c r="E53" i="27"/>
  <c r="D53" i="27"/>
  <c r="K53" i="27" s="1"/>
  <c r="J52" i="27"/>
  <c r="I52" i="27"/>
  <c r="E52" i="27"/>
  <c r="D52" i="27"/>
  <c r="K52" i="27" s="1"/>
  <c r="J51" i="27"/>
  <c r="I51" i="27"/>
  <c r="E51" i="27"/>
  <c r="D51" i="27"/>
  <c r="K51" i="27" s="1"/>
  <c r="J50" i="27"/>
  <c r="I50" i="27"/>
  <c r="E50" i="27"/>
  <c r="D50" i="27"/>
  <c r="K50" i="27" s="1"/>
  <c r="J49" i="27"/>
  <c r="I49" i="27"/>
  <c r="E49" i="27"/>
  <c r="D49" i="27"/>
  <c r="K49" i="27" s="1"/>
  <c r="J48" i="27"/>
  <c r="I48" i="27"/>
  <c r="E48" i="27"/>
  <c r="D48" i="27"/>
  <c r="K48" i="27" s="1"/>
  <c r="J47" i="27"/>
  <c r="I47" i="27"/>
  <c r="E47" i="27"/>
  <c r="D47" i="27"/>
  <c r="K47" i="27" s="1"/>
  <c r="J46" i="27"/>
  <c r="I46" i="27"/>
  <c r="E46" i="27"/>
  <c r="D46" i="27"/>
  <c r="K46" i="27" s="1"/>
  <c r="J45" i="27"/>
  <c r="I45" i="27"/>
  <c r="E45" i="27"/>
  <c r="D45" i="27"/>
  <c r="K45" i="27" s="1"/>
  <c r="J44" i="27"/>
  <c r="I44" i="27"/>
  <c r="E44" i="27"/>
  <c r="D44" i="27"/>
  <c r="K44" i="27" s="1"/>
  <c r="J43" i="27"/>
  <c r="I43" i="27"/>
  <c r="E43" i="27"/>
  <c r="D43" i="27"/>
  <c r="K43" i="27" s="1"/>
  <c r="J42" i="27"/>
  <c r="I42" i="27"/>
  <c r="E42" i="27"/>
  <c r="D42" i="27"/>
  <c r="K42" i="27" s="1"/>
  <c r="J41" i="27"/>
  <c r="I41" i="27"/>
  <c r="E41" i="27"/>
  <c r="D41" i="27"/>
  <c r="K41" i="27" s="1"/>
  <c r="J40" i="27"/>
  <c r="I40" i="27"/>
  <c r="E40" i="27"/>
  <c r="D40" i="27"/>
  <c r="K40" i="27" s="1"/>
  <c r="J39" i="27"/>
  <c r="I39" i="27"/>
  <c r="E39" i="27"/>
  <c r="D39" i="27"/>
  <c r="K39" i="27" s="1"/>
  <c r="J38" i="27"/>
  <c r="I38" i="27"/>
  <c r="E38" i="27"/>
  <c r="D38" i="27"/>
  <c r="K38" i="27" s="1"/>
  <c r="J37" i="27"/>
  <c r="I37" i="27"/>
  <c r="E37" i="27"/>
  <c r="D37" i="27"/>
  <c r="K37" i="27" s="1"/>
  <c r="J36" i="27"/>
  <c r="I36" i="27"/>
  <c r="E36" i="27"/>
  <c r="D36" i="27"/>
  <c r="K36" i="27" s="1"/>
  <c r="J35" i="27"/>
  <c r="I35" i="27"/>
  <c r="E35" i="27"/>
  <c r="D35" i="27"/>
  <c r="K35" i="27" s="1"/>
  <c r="J34" i="27"/>
  <c r="I34" i="27"/>
  <c r="E34" i="27"/>
  <c r="D34" i="27"/>
  <c r="K34" i="27" s="1"/>
  <c r="J33" i="27"/>
  <c r="I33" i="27"/>
  <c r="E33" i="27"/>
  <c r="D33" i="27"/>
  <c r="K33" i="27" s="1"/>
  <c r="J32" i="27"/>
  <c r="I32" i="27"/>
  <c r="E32" i="27"/>
  <c r="D32" i="27"/>
  <c r="K32" i="27" s="1"/>
  <c r="J31" i="27"/>
  <c r="I31" i="27"/>
  <c r="E31" i="27"/>
  <c r="D31" i="27"/>
  <c r="K31" i="27" s="1"/>
  <c r="J30" i="27"/>
  <c r="I30" i="27"/>
  <c r="E30" i="27"/>
  <c r="D30" i="27"/>
  <c r="K30" i="27" s="1"/>
  <c r="J29" i="27"/>
  <c r="I29" i="27"/>
  <c r="E29" i="27"/>
  <c r="D29" i="27"/>
  <c r="K29" i="27" s="1"/>
  <c r="J28" i="27"/>
  <c r="I28" i="27"/>
  <c r="E28" i="27"/>
  <c r="D28" i="27"/>
  <c r="K28" i="27" s="1"/>
  <c r="J27" i="27"/>
  <c r="I27" i="27"/>
  <c r="E27" i="27"/>
  <c r="D27" i="27"/>
  <c r="K27" i="27" s="1"/>
  <c r="J26" i="27"/>
  <c r="I26" i="27"/>
  <c r="E26" i="27"/>
  <c r="D26" i="27"/>
  <c r="K26" i="27" s="1"/>
  <c r="J25" i="27"/>
  <c r="I25" i="27"/>
  <c r="E25" i="27"/>
  <c r="D25" i="27"/>
  <c r="K25" i="27" s="1"/>
  <c r="J24" i="27"/>
  <c r="I24" i="27"/>
  <c r="E24" i="27"/>
  <c r="D24" i="27"/>
  <c r="K24" i="27" s="1"/>
  <c r="J23" i="27"/>
  <c r="I23" i="27"/>
  <c r="E23" i="27"/>
  <c r="D23" i="27"/>
  <c r="K23" i="27" s="1"/>
  <c r="J22" i="27"/>
  <c r="I22" i="27"/>
  <c r="E22" i="27"/>
  <c r="D22" i="27"/>
  <c r="K22" i="27" s="1"/>
  <c r="J21" i="27"/>
  <c r="I21" i="27"/>
  <c r="E21" i="27"/>
  <c r="D21" i="27"/>
  <c r="K21" i="27" s="1"/>
  <c r="J20" i="27"/>
  <c r="I20" i="27"/>
  <c r="E20" i="27"/>
  <c r="D20" i="27"/>
  <c r="K20" i="27" s="1"/>
  <c r="J19" i="27"/>
  <c r="I19" i="27"/>
  <c r="E19" i="27"/>
  <c r="D19" i="27"/>
  <c r="K19" i="27" s="1"/>
  <c r="J18" i="27"/>
  <c r="I18" i="27"/>
  <c r="E18" i="27"/>
  <c r="D18" i="27"/>
  <c r="K18" i="27" s="1"/>
  <c r="J17" i="27"/>
  <c r="I17" i="27"/>
  <c r="E17" i="27"/>
  <c r="D17" i="27"/>
  <c r="K17" i="27" s="1"/>
  <c r="J16" i="27"/>
  <c r="I16" i="27"/>
  <c r="E16" i="27"/>
  <c r="D16" i="27"/>
  <c r="K16" i="27" s="1"/>
  <c r="J15" i="27"/>
  <c r="I15" i="27"/>
  <c r="E15" i="27"/>
  <c r="D15" i="27"/>
  <c r="K15" i="27" s="1"/>
  <c r="J14" i="27"/>
  <c r="I14" i="27"/>
  <c r="E14" i="27"/>
  <c r="D14" i="27"/>
  <c r="K14" i="27" s="1"/>
  <c r="J13" i="27"/>
  <c r="I13" i="27"/>
  <c r="E13" i="27"/>
  <c r="D13" i="27"/>
  <c r="K13" i="27" s="1"/>
  <c r="J12" i="27"/>
  <c r="I12" i="27"/>
  <c r="E12" i="27"/>
  <c r="D12" i="27"/>
  <c r="K12" i="27" s="1"/>
  <c r="J11" i="27"/>
  <c r="I11" i="27"/>
  <c r="E11" i="27"/>
  <c r="D11" i="27"/>
  <c r="K11" i="27" s="1"/>
  <c r="J10" i="27"/>
  <c r="I10" i="27"/>
  <c r="E10" i="27"/>
  <c r="D10" i="27"/>
  <c r="K10" i="27" s="1"/>
  <c r="J9" i="27"/>
  <c r="I9" i="27"/>
  <c r="E9" i="27"/>
  <c r="D9" i="27"/>
  <c r="K9" i="27" s="1"/>
  <c r="J8" i="27"/>
  <c r="I8" i="27"/>
  <c r="E8" i="27"/>
  <c r="D8" i="27"/>
  <c r="K8" i="27" s="1"/>
  <c r="AO106" i="2"/>
  <c r="AO105" i="2"/>
  <c r="AO104" i="2"/>
  <c r="AO103" i="2"/>
  <c r="AO102" i="2"/>
  <c r="AO101" i="2"/>
  <c r="AO100" i="2"/>
  <c r="AO99" i="2"/>
  <c r="AO98" i="2"/>
  <c r="AO97" i="2"/>
  <c r="AO96" i="2"/>
  <c r="AO95" i="2"/>
  <c r="AO94" i="2"/>
  <c r="AO93" i="2"/>
  <c r="AO92" i="2"/>
  <c r="AO91" i="2"/>
  <c r="AO90" i="2"/>
  <c r="AO89" i="2"/>
  <c r="AO88" i="2"/>
  <c r="AO87" i="2"/>
  <c r="AO86" i="2"/>
  <c r="AO85" i="2"/>
  <c r="AO84" i="2"/>
  <c r="AO83" i="2"/>
  <c r="AO82" i="2"/>
  <c r="AO81" i="2"/>
  <c r="AO80" i="2"/>
  <c r="AO79" i="2"/>
  <c r="AO78" i="2"/>
  <c r="AO77" i="2"/>
  <c r="AO76" i="2"/>
  <c r="AO75" i="2"/>
  <c r="AO74" i="2"/>
  <c r="AO73" i="2"/>
  <c r="AO72" i="2"/>
  <c r="AO71" i="2"/>
  <c r="AO70" i="2"/>
  <c r="AO69" i="2"/>
  <c r="AO68" i="2"/>
  <c r="AO67" i="2"/>
  <c r="AO66" i="2"/>
  <c r="AO65" i="2"/>
  <c r="AO64" i="2"/>
  <c r="AO63" i="2"/>
  <c r="AO62" i="2"/>
  <c r="AO61" i="2"/>
  <c r="AO60" i="2"/>
  <c r="AO59" i="2"/>
  <c r="AO58" i="2"/>
  <c r="AO57" i="2"/>
  <c r="AO56" i="2"/>
  <c r="AO55" i="2"/>
  <c r="AO54" i="2"/>
  <c r="AO53" i="2"/>
  <c r="AO52" i="2"/>
  <c r="AO51" i="2"/>
  <c r="AO50" i="2"/>
  <c r="AO49" i="2"/>
  <c r="AO48" i="2"/>
  <c r="AO47" i="2"/>
  <c r="AO46" i="2"/>
  <c r="AO45" i="2"/>
  <c r="AO44" i="2"/>
  <c r="AO43" i="2"/>
  <c r="AO42" i="2"/>
  <c r="AO41" i="2"/>
  <c r="AO40" i="2"/>
  <c r="AO39" i="2"/>
  <c r="AO38" i="2"/>
  <c r="AO37" i="2"/>
  <c r="AO36" i="2"/>
  <c r="AO35" i="2"/>
  <c r="AO34" i="2"/>
  <c r="AO33" i="2"/>
  <c r="AO32" i="2"/>
  <c r="AO31" i="2"/>
  <c r="AO30" i="2"/>
  <c r="AO29" i="2"/>
  <c r="AO28" i="2"/>
  <c r="AO27" i="2"/>
  <c r="AO26" i="2"/>
  <c r="AO25" i="2"/>
  <c r="AO24" i="2"/>
  <c r="AO23" i="2"/>
  <c r="AO22" i="2"/>
  <c r="AO21" i="2"/>
  <c r="AO20" i="2"/>
  <c r="AO19" i="2"/>
  <c r="AO18" i="2"/>
  <c r="AO17" i="2"/>
  <c r="AO16" i="2"/>
  <c r="AO15" i="2"/>
  <c r="AO14" i="2"/>
  <c r="AO13" i="2"/>
  <c r="AO12" i="2"/>
  <c r="AO11" i="2"/>
  <c r="AO10" i="2"/>
  <c r="AO9" i="2"/>
  <c r="AO8" i="2"/>
  <c r="AO7" i="2"/>
  <c r="AO6" i="2"/>
  <c r="AO5" i="2"/>
  <c r="AO4" i="2"/>
  <c r="I106" i="2"/>
  <c r="I105" i="2"/>
  <c r="I104" i="2"/>
  <c r="I103" i="2"/>
  <c r="I102" i="2"/>
  <c r="I101" i="2"/>
  <c r="I100" i="2"/>
  <c r="I99" i="2"/>
  <c r="I98" i="2"/>
  <c r="I97" i="2"/>
  <c r="I96" i="2"/>
  <c r="I95" i="2"/>
  <c r="I94" i="2"/>
  <c r="I93" i="2"/>
  <c r="I92" i="2"/>
  <c r="H106" i="2"/>
  <c r="H105" i="2"/>
  <c r="H104" i="2"/>
  <c r="H103" i="2"/>
  <c r="H102" i="2"/>
  <c r="H101" i="2"/>
  <c r="H100" i="2"/>
  <c r="H99" i="2"/>
  <c r="H98" i="2"/>
  <c r="H97" i="2"/>
  <c r="H96" i="2"/>
  <c r="H95" i="2"/>
  <c r="H94" i="2"/>
  <c r="H93" i="2"/>
  <c r="H92" i="2"/>
  <c r="I91" i="2"/>
  <c r="H91" i="2"/>
  <c r="I90" i="2"/>
  <c r="I89" i="2"/>
  <c r="I88" i="2"/>
  <c r="I87" i="2"/>
  <c r="I86" i="2"/>
  <c r="I85" i="2"/>
  <c r="I84" i="2"/>
  <c r="I83" i="2"/>
  <c r="I82" i="2"/>
  <c r="I81" i="2"/>
  <c r="I80" i="2"/>
  <c r="I79" i="2"/>
  <c r="I78" i="2"/>
  <c r="I77" i="2"/>
  <c r="I76" i="2"/>
  <c r="I75" i="2"/>
  <c r="H90" i="2"/>
  <c r="H89" i="2"/>
  <c r="H88" i="2"/>
  <c r="H87" i="2"/>
  <c r="H86" i="2"/>
  <c r="H85" i="2"/>
  <c r="H84" i="2"/>
  <c r="H83" i="2"/>
  <c r="N83" i="2" s="1"/>
  <c r="H82" i="2"/>
  <c r="H81" i="2"/>
  <c r="H80" i="2"/>
  <c r="H79" i="2"/>
  <c r="H78" i="2"/>
  <c r="H77" i="2"/>
  <c r="H76" i="2"/>
  <c r="H75" i="2"/>
  <c r="I74" i="2"/>
  <c r="H74" i="2"/>
  <c r="I73" i="2"/>
  <c r="H73" i="2"/>
  <c r="I72" i="2"/>
  <c r="H72" i="2"/>
  <c r="I71" i="2"/>
  <c r="H71" i="2"/>
  <c r="I70" i="2"/>
  <c r="H70" i="2"/>
  <c r="I69" i="2"/>
  <c r="H69" i="2"/>
  <c r="I68" i="2"/>
  <c r="H68" i="2"/>
  <c r="I67" i="2"/>
  <c r="H67" i="2"/>
  <c r="I66" i="2"/>
  <c r="H66" i="2"/>
  <c r="I65" i="2"/>
  <c r="H65" i="2"/>
  <c r="I64" i="2"/>
  <c r="H64" i="2"/>
  <c r="I63" i="2"/>
  <c r="H63" i="2"/>
  <c r="I62" i="2"/>
  <c r="H62" i="2"/>
  <c r="I61" i="2"/>
  <c r="H61" i="2"/>
  <c r="I60" i="2"/>
  <c r="H60" i="2"/>
  <c r="I59" i="2"/>
  <c r="H59" i="2"/>
  <c r="I58" i="2"/>
  <c r="H58" i="2"/>
  <c r="I57" i="2"/>
  <c r="H57" i="2"/>
  <c r="I56" i="2"/>
  <c r="H56" i="2"/>
  <c r="I55" i="2"/>
  <c r="H55" i="2"/>
  <c r="I54" i="2"/>
  <c r="H54" i="2"/>
  <c r="I53" i="2"/>
  <c r="H53" i="2"/>
  <c r="I52" i="2"/>
  <c r="H52" i="2"/>
  <c r="I51" i="2"/>
  <c r="H51" i="2"/>
  <c r="I50" i="2"/>
  <c r="H50" i="2"/>
  <c r="I49" i="2"/>
  <c r="H49" i="2"/>
  <c r="I48" i="2"/>
  <c r="H48" i="2"/>
  <c r="I47" i="2"/>
  <c r="H47" i="2"/>
  <c r="I46" i="2"/>
  <c r="H46" i="2"/>
  <c r="I45" i="2"/>
  <c r="H45" i="2"/>
  <c r="I44" i="2"/>
  <c r="H44" i="2"/>
  <c r="I43" i="2"/>
  <c r="H43" i="2"/>
  <c r="I42" i="2"/>
  <c r="H42" i="2"/>
  <c r="I41" i="2"/>
  <c r="H41" i="2"/>
  <c r="I40" i="2"/>
  <c r="H40" i="2"/>
  <c r="I39" i="2"/>
  <c r="H39" i="2"/>
  <c r="I38" i="2"/>
  <c r="H38" i="2"/>
  <c r="I37" i="2"/>
  <c r="H37" i="2"/>
  <c r="I36" i="2"/>
  <c r="H36" i="2"/>
  <c r="I35" i="2"/>
  <c r="H35" i="2"/>
  <c r="I34" i="2"/>
  <c r="H34" i="2"/>
  <c r="I33" i="2"/>
  <c r="H33" i="2"/>
  <c r="I32" i="2"/>
  <c r="H32" i="2"/>
  <c r="I31" i="2"/>
  <c r="H31" i="2"/>
  <c r="I30" i="2"/>
  <c r="H30" i="2"/>
  <c r="I29" i="2"/>
  <c r="H29" i="2"/>
  <c r="I28" i="2"/>
  <c r="H28" i="2"/>
  <c r="I27" i="2"/>
  <c r="H27" i="2"/>
  <c r="I26" i="2"/>
  <c r="H26" i="2"/>
  <c r="I25" i="2"/>
  <c r="H25" i="2"/>
  <c r="I24" i="2"/>
  <c r="H24" i="2"/>
  <c r="I23" i="2"/>
  <c r="H23" i="2"/>
  <c r="I22" i="2"/>
  <c r="H22" i="2"/>
  <c r="I21" i="2"/>
  <c r="H21" i="2"/>
  <c r="I20" i="2"/>
  <c r="H20" i="2"/>
  <c r="I19" i="2"/>
  <c r="H19" i="2"/>
  <c r="I18" i="2"/>
  <c r="H18" i="2"/>
  <c r="I17" i="2"/>
  <c r="H17" i="2"/>
  <c r="I16" i="2"/>
  <c r="H16" i="2"/>
  <c r="I15" i="2"/>
  <c r="H15" i="2"/>
  <c r="I14" i="2"/>
  <c r="H14" i="2"/>
  <c r="I13" i="2"/>
  <c r="H13" i="2"/>
  <c r="I12" i="2"/>
  <c r="H12" i="2"/>
  <c r="I11" i="2"/>
  <c r="H11" i="2"/>
  <c r="I10" i="2"/>
  <c r="H10" i="2"/>
  <c r="I9" i="2"/>
  <c r="H9" i="2"/>
  <c r="I8" i="2"/>
  <c r="H8" i="2"/>
  <c r="I7" i="2"/>
  <c r="H7" i="2"/>
  <c r="I6" i="2"/>
  <c r="H6" i="2"/>
  <c r="I5" i="2"/>
  <c r="H5" i="2"/>
  <c r="I4" i="2"/>
  <c r="H4" i="2"/>
  <c r="A27" i="52"/>
  <c r="V27" i="52"/>
  <c r="V26" i="52"/>
  <c r="L99" i="31" l="1"/>
  <c r="L104" i="31"/>
  <c r="L92" i="31"/>
  <c r="L97" i="31"/>
  <c r="L102" i="31"/>
  <c r="L88" i="31"/>
  <c r="L93" i="31"/>
  <c r="L98" i="31"/>
  <c r="L103" i="31"/>
  <c r="L94" i="31"/>
  <c r="L95" i="31"/>
  <c r="L100" i="31"/>
  <c r="L105" i="31"/>
  <c r="L91" i="31"/>
  <c r="L96" i="31"/>
  <c r="L101" i="31"/>
  <c r="B38" i="54"/>
  <c r="B40" i="55"/>
  <c r="B38" i="56"/>
  <c r="B42" i="57"/>
  <c r="B38" i="58"/>
  <c r="B40" i="58"/>
  <c r="B42" i="58"/>
  <c r="B2" i="58"/>
  <c r="B30" i="58" s="1"/>
  <c r="B42" i="59"/>
  <c r="B42" i="60"/>
  <c r="B38" i="61"/>
  <c r="B42" i="61"/>
  <c r="B2" i="61"/>
  <c r="C23" i="61" s="1"/>
  <c r="I23" i="61" s="1"/>
  <c r="O23" i="61" s="1"/>
  <c r="U23" i="61" s="1"/>
  <c r="B40" i="62"/>
  <c r="B42" i="62"/>
  <c r="B39" i="64"/>
  <c r="B42" i="64"/>
  <c r="B2" i="64"/>
  <c r="B10" i="64" s="1"/>
  <c r="H10" i="64" s="1"/>
  <c r="N10" i="64" s="1"/>
  <c r="T10" i="64" s="1"/>
  <c r="B18" i="64"/>
  <c r="H18" i="64" s="1"/>
  <c r="N18" i="64" s="1"/>
  <c r="T18" i="64" s="1"/>
  <c r="D23" i="64"/>
  <c r="J23" i="64" s="1"/>
  <c r="P23" i="64" s="1"/>
  <c r="V23" i="64" s="1"/>
  <c r="B25" i="64"/>
  <c r="H25" i="64" s="1"/>
  <c r="N25" i="64" s="1"/>
  <c r="T25" i="64" s="1"/>
  <c r="D9" i="64"/>
  <c r="J9" i="64" s="1"/>
  <c r="P9" i="64" s="1"/>
  <c r="V9" i="64" s="1"/>
  <c r="E37" i="64"/>
  <c r="B11" i="64"/>
  <c r="H11" i="64" s="1"/>
  <c r="N11" i="64" s="1"/>
  <c r="T11" i="64" s="1"/>
  <c r="D41" i="64"/>
  <c r="B31" i="64"/>
  <c r="H4" i="64"/>
  <c r="N4" i="64" s="1"/>
  <c r="T4" i="64" s="1"/>
  <c r="D16" i="64"/>
  <c r="J16" i="64" s="1"/>
  <c r="P16" i="64" s="1"/>
  <c r="V16" i="64" s="1"/>
  <c r="J2" i="64"/>
  <c r="P2" i="64" s="1"/>
  <c r="V2" i="64" s="1"/>
  <c r="E40" i="64"/>
  <c r="U10" i="64"/>
  <c r="B37" i="64"/>
  <c r="B41" i="64"/>
  <c r="D23" i="62"/>
  <c r="J23" i="62" s="1"/>
  <c r="P23" i="62" s="1"/>
  <c r="V23" i="62" s="1"/>
  <c r="D2" i="64"/>
  <c r="E2" i="64"/>
  <c r="B40" i="64"/>
  <c r="C23" i="63"/>
  <c r="I23" i="63" s="1"/>
  <c r="O23" i="63" s="1"/>
  <c r="U23" i="63" s="1"/>
  <c r="B17" i="63"/>
  <c r="H17" i="63" s="1"/>
  <c r="N17" i="63" s="1"/>
  <c r="T17" i="63" s="1"/>
  <c r="I2" i="63"/>
  <c r="O2" i="63" s="1"/>
  <c r="U2" i="63" s="1"/>
  <c r="B30" i="63"/>
  <c r="B24" i="63"/>
  <c r="H24" i="63" s="1"/>
  <c r="N24" i="63" s="1"/>
  <c r="T24" i="63" s="1"/>
  <c r="C9" i="63"/>
  <c r="I9" i="63" s="1"/>
  <c r="O9" i="63" s="1"/>
  <c r="U9" i="63" s="1"/>
  <c r="H3" i="63"/>
  <c r="N3" i="63" s="1"/>
  <c r="T3" i="63" s="1"/>
  <c r="D39" i="63"/>
  <c r="D37" i="63"/>
  <c r="A37" i="63"/>
  <c r="B10" i="63"/>
  <c r="H10" i="63" s="1"/>
  <c r="N10" i="63" s="1"/>
  <c r="T10" i="63" s="1"/>
  <c r="C16" i="63"/>
  <c r="I16" i="63" s="1"/>
  <c r="O16" i="63" s="1"/>
  <c r="U16" i="63" s="1"/>
  <c r="E42" i="63"/>
  <c r="B18" i="63"/>
  <c r="H18" i="63" s="1"/>
  <c r="N18" i="63" s="1"/>
  <c r="T18" i="63" s="1"/>
  <c r="B25" i="63"/>
  <c r="H25" i="63" s="1"/>
  <c r="N25" i="63" s="1"/>
  <c r="T25" i="63" s="1"/>
  <c r="D9" i="63"/>
  <c r="J9" i="63" s="1"/>
  <c r="P9" i="63" s="1"/>
  <c r="V9" i="63" s="1"/>
  <c r="E37" i="63"/>
  <c r="B11" i="63"/>
  <c r="H11" i="63" s="1"/>
  <c r="N11" i="63" s="1"/>
  <c r="T11" i="63" s="1"/>
  <c r="D23" i="63"/>
  <c r="J23" i="63" s="1"/>
  <c r="P23" i="63" s="1"/>
  <c r="V23" i="63" s="1"/>
  <c r="D41" i="63"/>
  <c r="B31" i="63"/>
  <c r="H4" i="63"/>
  <c r="N4" i="63" s="1"/>
  <c r="T4" i="63" s="1"/>
  <c r="J2" i="63"/>
  <c r="P2" i="63" s="1"/>
  <c r="V2" i="63" s="1"/>
  <c r="D16" i="63"/>
  <c r="J16" i="63" s="1"/>
  <c r="P16" i="63" s="1"/>
  <c r="V16" i="63" s="1"/>
  <c r="E40" i="63"/>
  <c r="U10" i="63"/>
  <c r="B37" i="63"/>
  <c r="B39" i="63"/>
  <c r="B41" i="63"/>
  <c r="J2" i="62"/>
  <c r="P2" i="62" s="1"/>
  <c r="V2" i="62" s="1"/>
  <c r="D2" i="63"/>
  <c r="A41" i="63" s="1"/>
  <c r="E2" i="63"/>
  <c r="B40" i="63"/>
  <c r="B20" i="62"/>
  <c r="H20" i="62" s="1"/>
  <c r="N20" i="62" s="1"/>
  <c r="T20" i="62" s="1"/>
  <c r="B13" i="62"/>
  <c r="H13" i="62" s="1"/>
  <c r="N13" i="62" s="1"/>
  <c r="T13" i="62" s="1"/>
  <c r="A42" i="62"/>
  <c r="A40" i="62"/>
  <c r="H6" i="62"/>
  <c r="N6" i="62" s="1"/>
  <c r="T6" i="62" s="1"/>
  <c r="B33" i="62"/>
  <c r="B27" i="62"/>
  <c r="H27" i="62" s="1"/>
  <c r="N27" i="62" s="1"/>
  <c r="T27" i="62" s="1"/>
  <c r="F9" i="62"/>
  <c r="L9" i="62" s="1"/>
  <c r="R9" i="62" s="1"/>
  <c r="X9" i="62" s="1"/>
  <c r="D42" i="62"/>
  <c r="F16" i="62"/>
  <c r="L16" i="62" s="1"/>
  <c r="R16" i="62" s="1"/>
  <c r="X16" i="62" s="1"/>
  <c r="D40" i="62"/>
  <c r="F23" i="62"/>
  <c r="L23" i="62" s="1"/>
  <c r="R23" i="62" s="1"/>
  <c r="X23" i="62" s="1"/>
  <c r="L2" i="62"/>
  <c r="R2" i="62" s="1"/>
  <c r="X2" i="62" s="1"/>
  <c r="E38" i="62"/>
  <c r="U10" i="62"/>
  <c r="E40" i="62"/>
  <c r="E42" i="62"/>
  <c r="C16" i="62"/>
  <c r="I16" i="62" s="1"/>
  <c r="O16" i="62" s="1"/>
  <c r="U16" i="62" s="1"/>
  <c r="D16" i="62"/>
  <c r="J16" i="62" s="1"/>
  <c r="P16" i="62" s="1"/>
  <c r="V16" i="62" s="1"/>
  <c r="H4" i="62"/>
  <c r="N4" i="62" s="1"/>
  <c r="T4" i="62" s="1"/>
  <c r="B10" i="62"/>
  <c r="H10" i="62" s="1"/>
  <c r="N10" i="62" s="1"/>
  <c r="T10" i="62" s="1"/>
  <c r="A37" i="62"/>
  <c r="B31" i="62"/>
  <c r="B39" i="62"/>
  <c r="B41" i="62"/>
  <c r="D37" i="62"/>
  <c r="D39" i="62"/>
  <c r="D41" i="62"/>
  <c r="H3" i="62"/>
  <c r="N3" i="62" s="1"/>
  <c r="T3" i="62" s="1"/>
  <c r="C9" i="62"/>
  <c r="I9" i="62" s="1"/>
  <c r="O9" i="62" s="1"/>
  <c r="U9" i="62" s="1"/>
  <c r="B11" i="62"/>
  <c r="H11" i="62" s="1"/>
  <c r="N11" i="62" s="1"/>
  <c r="T11" i="62" s="1"/>
  <c r="E37" i="62"/>
  <c r="D9" i="62"/>
  <c r="J9" i="62" s="1"/>
  <c r="P9" i="62" s="1"/>
  <c r="V9" i="62" s="1"/>
  <c r="B24" i="62"/>
  <c r="H24" i="62" s="1"/>
  <c r="N24" i="62" s="1"/>
  <c r="T24" i="62" s="1"/>
  <c r="B25" i="62"/>
  <c r="H25" i="62" s="1"/>
  <c r="N25" i="62" s="1"/>
  <c r="T25" i="62" s="1"/>
  <c r="B30" i="62"/>
  <c r="D2" i="62"/>
  <c r="A41" i="62" s="1"/>
  <c r="I2" i="62"/>
  <c r="O2" i="62" s="1"/>
  <c r="U2" i="62" s="1"/>
  <c r="B17" i="62"/>
  <c r="H17" i="62" s="1"/>
  <c r="N17" i="62" s="1"/>
  <c r="T17" i="62" s="1"/>
  <c r="B18" i="61"/>
  <c r="H18" i="61" s="1"/>
  <c r="N18" i="61" s="1"/>
  <c r="T18" i="61" s="1"/>
  <c r="B25" i="61"/>
  <c r="H25" i="61" s="1"/>
  <c r="N25" i="61" s="1"/>
  <c r="T25" i="61" s="1"/>
  <c r="D9" i="61"/>
  <c r="J9" i="61" s="1"/>
  <c r="P9" i="61" s="1"/>
  <c r="V9" i="61" s="1"/>
  <c r="E37" i="61"/>
  <c r="B11" i="61"/>
  <c r="H11" i="61" s="1"/>
  <c r="N11" i="61" s="1"/>
  <c r="T11" i="61" s="1"/>
  <c r="D41" i="61"/>
  <c r="E40" i="61"/>
  <c r="B31" i="61"/>
  <c r="H4" i="61"/>
  <c r="N4" i="61" s="1"/>
  <c r="T4" i="61" s="1"/>
  <c r="D16" i="61"/>
  <c r="J16" i="61" s="1"/>
  <c r="P16" i="61" s="1"/>
  <c r="V16" i="61" s="1"/>
  <c r="D23" i="61"/>
  <c r="J23" i="61" s="1"/>
  <c r="P23" i="61" s="1"/>
  <c r="V23" i="61" s="1"/>
  <c r="J2" i="61"/>
  <c r="P2" i="61" s="1"/>
  <c r="V2" i="61" s="1"/>
  <c r="U10" i="61"/>
  <c r="B37" i="61"/>
  <c r="B41" i="61"/>
  <c r="E42" i="60"/>
  <c r="D2" i="61"/>
  <c r="E2" i="61"/>
  <c r="B40" i="61"/>
  <c r="B18" i="60"/>
  <c r="H18" i="60" s="1"/>
  <c r="N18" i="60" s="1"/>
  <c r="T18" i="60" s="1"/>
  <c r="B25" i="60"/>
  <c r="H25" i="60" s="1"/>
  <c r="N25" i="60" s="1"/>
  <c r="T25" i="60" s="1"/>
  <c r="D9" i="60"/>
  <c r="J9" i="60" s="1"/>
  <c r="P9" i="60" s="1"/>
  <c r="V9" i="60" s="1"/>
  <c r="E37" i="60"/>
  <c r="B11" i="60"/>
  <c r="H11" i="60" s="1"/>
  <c r="N11" i="60" s="1"/>
  <c r="T11" i="60" s="1"/>
  <c r="D41" i="60"/>
  <c r="B31" i="60"/>
  <c r="H4" i="60"/>
  <c r="N4" i="60" s="1"/>
  <c r="T4" i="60" s="1"/>
  <c r="D16" i="60"/>
  <c r="J16" i="60" s="1"/>
  <c r="P16" i="60" s="1"/>
  <c r="V16" i="60" s="1"/>
  <c r="E40" i="60"/>
  <c r="D23" i="60"/>
  <c r="J23" i="60" s="1"/>
  <c r="P23" i="60" s="1"/>
  <c r="V23" i="60" s="1"/>
  <c r="J2" i="60"/>
  <c r="P2" i="60" s="1"/>
  <c r="V2" i="60" s="1"/>
  <c r="U10" i="60"/>
  <c r="C16" i="60"/>
  <c r="I16" i="60" s="1"/>
  <c r="O16" i="60" s="1"/>
  <c r="U16" i="60" s="1"/>
  <c r="B10" i="60"/>
  <c r="H10" i="60" s="1"/>
  <c r="N10" i="60" s="1"/>
  <c r="T10" i="60" s="1"/>
  <c r="A37" i="60"/>
  <c r="B37" i="60"/>
  <c r="B39" i="60"/>
  <c r="B41" i="60"/>
  <c r="D37" i="60"/>
  <c r="D39" i="60"/>
  <c r="H3" i="60"/>
  <c r="N3" i="60" s="1"/>
  <c r="T3" i="60" s="1"/>
  <c r="C9" i="60"/>
  <c r="I9" i="60" s="1"/>
  <c r="O9" i="60" s="1"/>
  <c r="U9" i="60" s="1"/>
  <c r="B24" i="60"/>
  <c r="H24" i="60" s="1"/>
  <c r="N24" i="60" s="1"/>
  <c r="T24" i="60" s="1"/>
  <c r="B30" i="60"/>
  <c r="D2" i="60"/>
  <c r="A39" i="60" s="1"/>
  <c r="E2" i="60"/>
  <c r="I2" i="60"/>
  <c r="O2" i="60" s="1"/>
  <c r="U2" i="60" s="1"/>
  <c r="B17" i="60"/>
  <c r="H17" i="60" s="1"/>
  <c r="N17" i="60" s="1"/>
  <c r="T17" i="60" s="1"/>
  <c r="B40" i="60"/>
  <c r="B18" i="59"/>
  <c r="H18" i="59" s="1"/>
  <c r="N18" i="59" s="1"/>
  <c r="T18" i="59" s="1"/>
  <c r="B25" i="59"/>
  <c r="H25" i="59" s="1"/>
  <c r="N25" i="59" s="1"/>
  <c r="T25" i="59" s="1"/>
  <c r="D9" i="59"/>
  <c r="J9" i="59" s="1"/>
  <c r="P9" i="59" s="1"/>
  <c r="V9" i="59" s="1"/>
  <c r="E37" i="59"/>
  <c r="B11" i="59"/>
  <c r="H11" i="59" s="1"/>
  <c r="N11" i="59" s="1"/>
  <c r="T11" i="59" s="1"/>
  <c r="D41" i="59"/>
  <c r="B31" i="59"/>
  <c r="H4" i="59"/>
  <c r="N4" i="59" s="1"/>
  <c r="T4" i="59" s="1"/>
  <c r="D16" i="59"/>
  <c r="J16" i="59" s="1"/>
  <c r="P16" i="59" s="1"/>
  <c r="V16" i="59" s="1"/>
  <c r="E40" i="59"/>
  <c r="D23" i="59"/>
  <c r="J23" i="59" s="1"/>
  <c r="P23" i="59" s="1"/>
  <c r="V23" i="59" s="1"/>
  <c r="J2" i="59"/>
  <c r="P2" i="59" s="1"/>
  <c r="V2" i="59" s="1"/>
  <c r="U10" i="59"/>
  <c r="E42" i="59"/>
  <c r="C16" i="59"/>
  <c r="I16" i="59" s="1"/>
  <c r="O16" i="59" s="1"/>
  <c r="U16" i="59" s="1"/>
  <c r="B10" i="59"/>
  <c r="H10" i="59" s="1"/>
  <c r="N10" i="59" s="1"/>
  <c r="T10" i="59" s="1"/>
  <c r="A37" i="59"/>
  <c r="B37" i="59"/>
  <c r="B39" i="59"/>
  <c r="B41" i="59"/>
  <c r="D37" i="59"/>
  <c r="D39" i="59"/>
  <c r="H3" i="59"/>
  <c r="N3" i="59" s="1"/>
  <c r="T3" i="59" s="1"/>
  <c r="C9" i="59"/>
  <c r="I9" i="59" s="1"/>
  <c r="O9" i="59" s="1"/>
  <c r="U9" i="59" s="1"/>
  <c r="B24" i="59"/>
  <c r="H24" i="59" s="1"/>
  <c r="N24" i="59" s="1"/>
  <c r="T24" i="59" s="1"/>
  <c r="B30" i="59"/>
  <c r="D2" i="59"/>
  <c r="A41" i="59" s="1"/>
  <c r="E2" i="59"/>
  <c r="I2" i="59"/>
  <c r="O2" i="59" s="1"/>
  <c r="U2" i="59" s="1"/>
  <c r="B17" i="59"/>
  <c r="H17" i="59" s="1"/>
  <c r="N17" i="59" s="1"/>
  <c r="T17" i="59" s="1"/>
  <c r="B40" i="59"/>
  <c r="B18" i="58"/>
  <c r="H18" i="58" s="1"/>
  <c r="N18" i="58" s="1"/>
  <c r="T18" i="58" s="1"/>
  <c r="B25" i="58"/>
  <c r="H25" i="58" s="1"/>
  <c r="N25" i="58" s="1"/>
  <c r="T25" i="58" s="1"/>
  <c r="D9" i="58"/>
  <c r="J9" i="58" s="1"/>
  <c r="P9" i="58" s="1"/>
  <c r="V9" i="58" s="1"/>
  <c r="E37" i="58"/>
  <c r="B11" i="58"/>
  <c r="H11" i="58" s="1"/>
  <c r="N11" i="58" s="1"/>
  <c r="T11" i="58" s="1"/>
  <c r="D41" i="58"/>
  <c r="B31" i="58"/>
  <c r="A41" i="58"/>
  <c r="H4" i="58"/>
  <c r="N4" i="58" s="1"/>
  <c r="T4" i="58" s="1"/>
  <c r="D16" i="58"/>
  <c r="J16" i="58" s="1"/>
  <c r="P16" i="58" s="1"/>
  <c r="V16" i="58" s="1"/>
  <c r="E40" i="58"/>
  <c r="D23" i="58"/>
  <c r="J23" i="58" s="1"/>
  <c r="P23" i="58" s="1"/>
  <c r="V23" i="58" s="1"/>
  <c r="J2" i="58"/>
  <c r="P2" i="58" s="1"/>
  <c r="V2" i="58" s="1"/>
  <c r="B19" i="58"/>
  <c r="H19" i="58" s="1"/>
  <c r="N19" i="58" s="1"/>
  <c r="T19" i="58" s="1"/>
  <c r="A38" i="58"/>
  <c r="B26" i="58"/>
  <c r="H26" i="58" s="1"/>
  <c r="N26" i="58" s="1"/>
  <c r="T26" i="58" s="1"/>
  <c r="B12" i="58"/>
  <c r="H12" i="58" s="1"/>
  <c r="N12" i="58" s="1"/>
  <c r="T12" i="58" s="1"/>
  <c r="E9" i="58"/>
  <c r="K9" i="58" s="1"/>
  <c r="Q9" i="58" s="1"/>
  <c r="W9" i="58" s="1"/>
  <c r="E41" i="58"/>
  <c r="E39" i="58"/>
  <c r="E16" i="58"/>
  <c r="K16" i="58" s="1"/>
  <c r="Q16" i="58" s="1"/>
  <c r="W16" i="58" s="1"/>
  <c r="D38" i="58"/>
  <c r="B32" i="58"/>
  <c r="E23" i="58"/>
  <c r="K23" i="58" s="1"/>
  <c r="Q23" i="58" s="1"/>
  <c r="W23" i="58" s="1"/>
  <c r="H5" i="58"/>
  <c r="N5" i="58" s="1"/>
  <c r="T5" i="58" s="1"/>
  <c r="K2" i="58"/>
  <c r="Q2" i="58" s="1"/>
  <c r="W2" i="58" s="1"/>
  <c r="B20" i="58"/>
  <c r="H20" i="58" s="1"/>
  <c r="N20" i="58" s="1"/>
  <c r="T20" i="58" s="1"/>
  <c r="B13" i="58"/>
  <c r="H13" i="58" s="1"/>
  <c r="N13" i="58" s="1"/>
  <c r="T13" i="58" s="1"/>
  <c r="A40" i="58"/>
  <c r="H6" i="58"/>
  <c r="N6" i="58" s="1"/>
  <c r="T6" i="58" s="1"/>
  <c r="B33" i="58"/>
  <c r="B27" i="58"/>
  <c r="H27" i="58" s="1"/>
  <c r="N27" i="58" s="1"/>
  <c r="T27" i="58" s="1"/>
  <c r="F9" i="58"/>
  <c r="L9" i="58" s="1"/>
  <c r="R9" i="58" s="1"/>
  <c r="X9" i="58" s="1"/>
  <c r="D40" i="58"/>
  <c r="F16" i="58"/>
  <c r="L16" i="58" s="1"/>
  <c r="R16" i="58" s="1"/>
  <c r="X16" i="58" s="1"/>
  <c r="F23" i="58"/>
  <c r="L23" i="58" s="1"/>
  <c r="R23" i="58" s="1"/>
  <c r="X23" i="58" s="1"/>
  <c r="L2" i="58"/>
  <c r="R2" i="58" s="1"/>
  <c r="X2" i="58" s="1"/>
  <c r="D42" i="58"/>
  <c r="E38" i="58"/>
  <c r="B37" i="58"/>
  <c r="B41" i="58"/>
  <c r="E42" i="57"/>
  <c r="B18" i="57"/>
  <c r="H18" i="57" s="1"/>
  <c r="N18" i="57" s="1"/>
  <c r="T18" i="57" s="1"/>
  <c r="B25" i="57"/>
  <c r="H25" i="57" s="1"/>
  <c r="N25" i="57" s="1"/>
  <c r="T25" i="57" s="1"/>
  <c r="D9" i="57"/>
  <c r="J9" i="57" s="1"/>
  <c r="P9" i="57" s="1"/>
  <c r="V9" i="57" s="1"/>
  <c r="E37" i="57"/>
  <c r="B11" i="57"/>
  <c r="H11" i="57" s="1"/>
  <c r="N11" i="57" s="1"/>
  <c r="T11" i="57" s="1"/>
  <c r="D41" i="57"/>
  <c r="B31" i="57"/>
  <c r="H4" i="57"/>
  <c r="N4" i="57" s="1"/>
  <c r="T4" i="57" s="1"/>
  <c r="D16" i="57"/>
  <c r="J16" i="57" s="1"/>
  <c r="P16" i="57" s="1"/>
  <c r="V16" i="57" s="1"/>
  <c r="E40" i="57"/>
  <c r="D23" i="57"/>
  <c r="J23" i="57" s="1"/>
  <c r="P23" i="57" s="1"/>
  <c r="V23" i="57" s="1"/>
  <c r="J2" i="57"/>
  <c r="P2" i="57" s="1"/>
  <c r="V2" i="57" s="1"/>
  <c r="U10" i="57"/>
  <c r="C16" i="57"/>
  <c r="I16" i="57" s="1"/>
  <c r="O16" i="57" s="1"/>
  <c r="U16" i="57" s="1"/>
  <c r="B10" i="57"/>
  <c r="H10" i="57" s="1"/>
  <c r="N10" i="57" s="1"/>
  <c r="T10" i="57" s="1"/>
  <c r="A37" i="57"/>
  <c r="B37" i="57"/>
  <c r="B39" i="57"/>
  <c r="B41" i="57"/>
  <c r="D37" i="57"/>
  <c r="D39" i="57"/>
  <c r="H3" i="57"/>
  <c r="N3" i="57" s="1"/>
  <c r="T3" i="57" s="1"/>
  <c r="C9" i="57"/>
  <c r="I9" i="57" s="1"/>
  <c r="O9" i="57" s="1"/>
  <c r="U9" i="57" s="1"/>
  <c r="B24" i="57"/>
  <c r="H24" i="57" s="1"/>
  <c r="N24" i="57" s="1"/>
  <c r="T24" i="57" s="1"/>
  <c r="B30" i="57"/>
  <c r="D2" i="57"/>
  <c r="A41" i="57" s="1"/>
  <c r="E2" i="57"/>
  <c r="I2" i="57"/>
  <c r="O2" i="57" s="1"/>
  <c r="U2" i="57" s="1"/>
  <c r="B17" i="57"/>
  <c r="H17" i="57" s="1"/>
  <c r="N17" i="57" s="1"/>
  <c r="T17" i="57" s="1"/>
  <c r="B40" i="57"/>
  <c r="B18" i="56"/>
  <c r="H18" i="56" s="1"/>
  <c r="N18" i="56" s="1"/>
  <c r="T18" i="56" s="1"/>
  <c r="B25" i="56"/>
  <c r="H25" i="56" s="1"/>
  <c r="N25" i="56" s="1"/>
  <c r="T25" i="56" s="1"/>
  <c r="D9" i="56"/>
  <c r="J9" i="56" s="1"/>
  <c r="P9" i="56" s="1"/>
  <c r="V9" i="56" s="1"/>
  <c r="E37" i="56"/>
  <c r="B11" i="56"/>
  <c r="H11" i="56" s="1"/>
  <c r="N11" i="56" s="1"/>
  <c r="T11" i="56" s="1"/>
  <c r="D41" i="56"/>
  <c r="B31" i="56"/>
  <c r="H4" i="56"/>
  <c r="N4" i="56" s="1"/>
  <c r="T4" i="56" s="1"/>
  <c r="D16" i="56"/>
  <c r="J16" i="56" s="1"/>
  <c r="P16" i="56" s="1"/>
  <c r="V16" i="56" s="1"/>
  <c r="E40" i="56"/>
  <c r="D23" i="56"/>
  <c r="J23" i="56" s="1"/>
  <c r="P23" i="56" s="1"/>
  <c r="V23" i="56" s="1"/>
  <c r="J2" i="56"/>
  <c r="P2" i="56" s="1"/>
  <c r="V2" i="56" s="1"/>
  <c r="U10" i="56"/>
  <c r="H4" i="55"/>
  <c r="N4" i="55" s="1"/>
  <c r="T4" i="55" s="1"/>
  <c r="E42" i="56"/>
  <c r="C16" i="56"/>
  <c r="I16" i="56" s="1"/>
  <c r="O16" i="56" s="1"/>
  <c r="U16" i="56" s="1"/>
  <c r="B10" i="56"/>
  <c r="H10" i="56" s="1"/>
  <c r="N10" i="56" s="1"/>
  <c r="T10" i="56" s="1"/>
  <c r="D23" i="55"/>
  <c r="J23" i="55" s="1"/>
  <c r="P23" i="55" s="1"/>
  <c r="V23" i="55" s="1"/>
  <c r="A37" i="56"/>
  <c r="B37" i="56"/>
  <c r="B39" i="56"/>
  <c r="B41" i="56"/>
  <c r="D37" i="56"/>
  <c r="D39" i="56"/>
  <c r="H3" i="56"/>
  <c r="N3" i="56" s="1"/>
  <c r="T3" i="56" s="1"/>
  <c r="C9" i="56"/>
  <c r="I9" i="56" s="1"/>
  <c r="O9" i="56" s="1"/>
  <c r="U9" i="56" s="1"/>
  <c r="B24" i="56"/>
  <c r="H24" i="56" s="1"/>
  <c r="N24" i="56" s="1"/>
  <c r="T24" i="56" s="1"/>
  <c r="B30" i="56"/>
  <c r="D2" i="56"/>
  <c r="A39" i="56" s="1"/>
  <c r="E2" i="56"/>
  <c r="J2" i="55"/>
  <c r="P2" i="55" s="1"/>
  <c r="V2" i="55" s="1"/>
  <c r="I2" i="56"/>
  <c r="O2" i="56" s="1"/>
  <c r="U2" i="56" s="1"/>
  <c r="B17" i="56"/>
  <c r="H17" i="56" s="1"/>
  <c r="N17" i="56" s="1"/>
  <c r="T17" i="56" s="1"/>
  <c r="B40" i="56"/>
  <c r="B20" i="55"/>
  <c r="H20" i="55" s="1"/>
  <c r="N20" i="55" s="1"/>
  <c r="T20" i="55" s="1"/>
  <c r="B13" i="55"/>
  <c r="H13" i="55" s="1"/>
  <c r="N13" i="55" s="1"/>
  <c r="T13" i="55" s="1"/>
  <c r="A40" i="55"/>
  <c r="H6" i="55"/>
  <c r="N6" i="55" s="1"/>
  <c r="T6" i="55" s="1"/>
  <c r="B33" i="55"/>
  <c r="B27" i="55"/>
  <c r="H27" i="55" s="1"/>
  <c r="N27" i="55" s="1"/>
  <c r="T27" i="55" s="1"/>
  <c r="F9" i="55"/>
  <c r="L9" i="55" s="1"/>
  <c r="R9" i="55" s="1"/>
  <c r="X9" i="55" s="1"/>
  <c r="F16" i="55"/>
  <c r="L16" i="55" s="1"/>
  <c r="R16" i="55" s="1"/>
  <c r="X16" i="55" s="1"/>
  <c r="F23" i="55"/>
  <c r="L23" i="55" s="1"/>
  <c r="R23" i="55" s="1"/>
  <c r="X23" i="55" s="1"/>
  <c r="L2" i="55"/>
  <c r="R2" i="55" s="1"/>
  <c r="X2" i="55" s="1"/>
  <c r="E38" i="55"/>
  <c r="D42" i="55"/>
  <c r="D40" i="55"/>
  <c r="E40" i="55"/>
  <c r="D16" i="55"/>
  <c r="J16" i="55" s="1"/>
  <c r="P16" i="55" s="1"/>
  <c r="V16" i="55" s="1"/>
  <c r="B31" i="55"/>
  <c r="B37" i="55"/>
  <c r="B39" i="55"/>
  <c r="B41" i="55"/>
  <c r="E42" i="54"/>
  <c r="D41" i="55"/>
  <c r="B11" i="55"/>
  <c r="H11" i="55" s="1"/>
  <c r="N11" i="55" s="1"/>
  <c r="T11" i="55" s="1"/>
  <c r="E37" i="55"/>
  <c r="D9" i="55"/>
  <c r="J9" i="55" s="1"/>
  <c r="P9" i="55" s="1"/>
  <c r="V9" i="55" s="1"/>
  <c r="B2" i="55"/>
  <c r="A42" i="55" s="1"/>
  <c r="B25" i="55"/>
  <c r="H25" i="55" s="1"/>
  <c r="N25" i="55" s="1"/>
  <c r="T25" i="55" s="1"/>
  <c r="D2" i="55"/>
  <c r="B18" i="54"/>
  <c r="H18" i="54" s="1"/>
  <c r="N18" i="54" s="1"/>
  <c r="T18" i="54" s="1"/>
  <c r="B25" i="54"/>
  <c r="H25" i="54" s="1"/>
  <c r="N25" i="54" s="1"/>
  <c r="T25" i="54" s="1"/>
  <c r="D23" i="54"/>
  <c r="J23" i="54" s="1"/>
  <c r="P23" i="54" s="1"/>
  <c r="V23" i="54" s="1"/>
  <c r="D9" i="54"/>
  <c r="J9" i="54" s="1"/>
  <c r="P9" i="54" s="1"/>
  <c r="V9" i="54" s="1"/>
  <c r="E37" i="54"/>
  <c r="B11" i="54"/>
  <c r="H11" i="54" s="1"/>
  <c r="N11" i="54" s="1"/>
  <c r="T11" i="54" s="1"/>
  <c r="D41" i="54"/>
  <c r="B31" i="54"/>
  <c r="J2" i="54"/>
  <c r="P2" i="54" s="1"/>
  <c r="V2" i="54" s="1"/>
  <c r="H4" i="54"/>
  <c r="N4" i="54" s="1"/>
  <c r="T4" i="54" s="1"/>
  <c r="D16" i="54"/>
  <c r="J16" i="54" s="1"/>
  <c r="P16" i="54" s="1"/>
  <c r="V16" i="54" s="1"/>
  <c r="E40" i="54"/>
  <c r="C16" i="54"/>
  <c r="I16" i="54" s="1"/>
  <c r="O16" i="54" s="1"/>
  <c r="U16" i="54" s="1"/>
  <c r="B10" i="54"/>
  <c r="H10" i="54" s="1"/>
  <c r="N10" i="54" s="1"/>
  <c r="T10" i="54" s="1"/>
  <c r="A37" i="54"/>
  <c r="B39" i="54"/>
  <c r="B41" i="54"/>
  <c r="D37" i="54"/>
  <c r="D39" i="54"/>
  <c r="H3" i="54"/>
  <c r="N3" i="54" s="1"/>
  <c r="T3" i="54" s="1"/>
  <c r="C9" i="54"/>
  <c r="I9" i="54" s="1"/>
  <c r="O9" i="54" s="1"/>
  <c r="U9" i="54" s="1"/>
  <c r="B24" i="54"/>
  <c r="H24" i="54" s="1"/>
  <c r="N24" i="54" s="1"/>
  <c r="T24" i="54" s="1"/>
  <c r="B30" i="54"/>
  <c r="D2" i="54"/>
  <c r="E2" i="54"/>
  <c r="I2" i="54"/>
  <c r="O2" i="54" s="1"/>
  <c r="U2" i="54" s="1"/>
  <c r="B17" i="54"/>
  <c r="H17" i="54" s="1"/>
  <c r="N17" i="54" s="1"/>
  <c r="T17" i="54" s="1"/>
  <c r="B40" i="54"/>
  <c r="B37" i="53"/>
  <c r="E2" i="53"/>
  <c r="B20" i="53" s="1"/>
  <c r="H20" i="53" s="1"/>
  <c r="N20" i="53" s="1"/>
  <c r="T20" i="53" s="1"/>
  <c r="D23" i="53"/>
  <c r="J23" i="53" s="1"/>
  <c r="P23" i="53" s="1"/>
  <c r="V23" i="53" s="1"/>
  <c r="J2" i="53"/>
  <c r="P2" i="53" s="1"/>
  <c r="V2" i="53" s="1"/>
  <c r="B18" i="53"/>
  <c r="H18" i="53" s="1"/>
  <c r="N18" i="53" s="1"/>
  <c r="T18" i="53" s="1"/>
  <c r="E40" i="53"/>
  <c r="B25" i="53"/>
  <c r="H25" i="53" s="1"/>
  <c r="N25" i="53" s="1"/>
  <c r="T25" i="53" s="1"/>
  <c r="D9" i="53"/>
  <c r="J9" i="53" s="1"/>
  <c r="P9" i="53" s="1"/>
  <c r="V9" i="53" s="1"/>
  <c r="B11" i="53"/>
  <c r="H11" i="53" s="1"/>
  <c r="N11" i="53" s="1"/>
  <c r="T11" i="53" s="1"/>
  <c r="D41" i="53"/>
  <c r="B31" i="53"/>
  <c r="H4" i="53"/>
  <c r="N4" i="53" s="1"/>
  <c r="T4" i="53" s="1"/>
  <c r="A41" i="53"/>
  <c r="E37" i="53"/>
  <c r="D16" i="53"/>
  <c r="J16" i="53" s="1"/>
  <c r="P16" i="53" s="1"/>
  <c r="V16" i="53" s="1"/>
  <c r="E23" i="53"/>
  <c r="K23" i="53" s="1"/>
  <c r="Q23" i="53" s="1"/>
  <c r="W23" i="53" s="1"/>
  <c r="H5" i="53"/>
  <c r="N5" i="53" s="1"/>
  <c r="T5" i="53" s="1"/>
  <c r="K2" i="53"/>
  <c r="Q2" i="53" s="1"/>
  <c r="W2" i="53" s="1"/>
  <c r="B19" i="53"/>
  <c r="H19" i="53" s="1"/>
  <c r="N19" i="53" s="1"/>
  <c r="T19" i="53" s="1"/>
  <c r="B32" i="53"/>
  <c r="B26" i="53"/>
  <c r="H26" i="53" s="1"/>
  <c r="N26" i="53" s="1"/>
  <c r="T26" i="53" s="1"/>
  <c r="B12" i="53"/>
  <c r="H12" i="53" s="1"/>
  <c r="N12" i="53" s="1"/>
  <c r="T12" i="53" s="1"/>
  <c r="D38" i="53"/>
  <c r="E9" i="53"/>
  <c r="K9" i="53" s="1"/>
  <c r="Q9" i="53" s="1"/>
  <c r="W9" i="53" s="1"/>
  <c r="E41" i="53"/>
  <c r="E39" i="53"/>
  <c r="E16" i="53"/>
  <c r="K16" i="53" s="1"/>
  <c r="Q16" i="53" s="1"/>
  <c r="W16" i="53" s="1"/>
  <c r="A37" i="53"/>
  <c r="U10" i="53"/>
  <c r="A39" i="53"/>
  <c r="C16" i="53"/>
  <c r="I16" i="53" s="1"/>
  <c r="O16" i="53" s="1"/>
  <c r="U16" i="53" s="1"/>
  <c r="D37" i="53"/>
  <c r="B39" i="53"/>
  <c r="D39" i="53"/>
  <c r="B41" i="53"/>
  <c r="B10" i="53"/>
  <c r="H10" i="53" s="1"/>
  <c r="N10" i="53" s="1"/>
  <c r="T10" i="53" s="1"/>
  <c r="H3" i="53"/>
  <c r="N3" i="53" s="1"/>
  <c r="T3" i="53" s="1"/>
  <c r="C9" i="53"/>
  <c r="I9" i="53" s="1"/>
  <c r="O9" i="53" s="1"/>
  <c r="U9" i="53" s="1"/>
  <c r="B38" i="53"/>
  <c r="B40" i="53"/>
  <c r="B24" i="53"/>
  <c r="H24" i="53" s="1"/>
  <c r="N24" i="53" s="1"/>
  <c r="T24" i="53" s="1"/>
  <c r="B30" i="53"/>
  <c r="I2" i="53"/>
  <c r="O2" i="53" s="1"/>
  <c r="U2" i="53" s="1"/>
  <c r="B17" i="53"/>
  <c r="H17" i="53" s="1"/>
  <c r="N17" i="53" s="1"/>
  <c r="T17" i="53" s="1"/>
  <c r="C23" i="53"/>
  <c r="I23" i="53" s="1"/>
  <c r="O23" i="53" s="1"/>
  <c r="U23" i="53" s="1"/>
  <c r="E42" i="53"/>
  <c r="O85" i="2"/>
  <c r="N76" i="2"/>
  <c r="O84" i="2"/>
  <c r="O75" i="2"/>
  <c r="O8" i="2"/>
  <c r="N18" i="2"/>
  <c r="O28" i="2"/>
  <c r="N38" i="2"/>
  <c r="O43" i="2"/>
  <c r="O48" i="2"/>
  <c r="O53" i="2"/>
  <c r="N58" i="2"/>
  <c r="N86" i="2"/>
  <c r="AD86" i="2" s="1"/>
  <c r="O95" i="2"/>
  <c r="N99" i="2"/>
  <c r="N67" i="2"/>
  <c r="O19" i="2"/>
  <c r="O24" i="2"/>
  <c r="O34" i="2"/>
  <c r="N39" i="2"/>
  <c r="N64" i="2"/>
  <c r="O78" i="2"/>
  <c r="N101" i="2"/>
  <c r="AD101" i="2" s="1"/>
  <c r="N79" i="2"/>
  <c r="O76" i="2"/>
  <c r="O46" i="2"/>
  <c r="O51" i="2"/>
  <c r="N7" i="2"/>
  <c r="N17" i="2"/>
  <c r="N27" i="2"/>
  <c r="N47" i="2"/>
  <c r="O57" i="2"/>
  <c r="O79" i="2"/>
  <c r="N98" i="2"/>
  <c r="N103" i="2"/>
  <c r="N80" i="2"/>
  <c r="N77" i="2"/>
  <c r="N100" i="2"/>
  <c r="AF100" i="2" s="1"/>
  <c r="O104" i="2"/>
  <c r="N78" i="2"/>
  <c r="AD78" i="2" s="1"/>
  <c r="O99" i="2"/>
  <c r="N23" i="2"/>
  <c r="O25" i="2"/>
  <c r="N40" i="2"/>
  <c r="O55" i="2"/>
  <c r="O77" i="2"/>
  <c r="O6" i="2"/>
  <c r="O26" i="2"/>
  <c r="N61" i="2"/>
  <c r="O105" i="2"/>
  <c r="N87" i="2"/>
  <c r="O90" i="2"/>
  <c r="N68" i="2"/>
  <c r="AE68" i="2" s="1"/>
  <c r="N20" i="2"/>
  <c r="O64" i="2"/>
  <c r="O88" i="2"/>
  <c r="O91" i="2"/>
  <c r="N96" i="2"/>
  <c r="O35" i="2"/>
  <c r="N106" i="2"/>
  <c r="N97" i="2"/>
  <c r="N10" i="2"/>
  <c r="O4" i="2"/>
  <c r="N90" i="2"/>
  <c r="N21" i="2"/>
  <c r="O70" i="2"/>
  <c r="N81" i="2"/>
  <c r="O71" i="2"/>
  <c r="N28" i="2"/>
  <c r="N84" i="2"/>
  <c r="N6" i="2"/>
  <c r="N46" i="2"/>
  <c r="N50" i="2"/>
  <c r="N37" i="2"/>
  <c r="N59" i="2"/>
  <c r="O21" i="2"/>
  <c r="N25" i="2"/>
  <c r="O38" i="2"/>
  <c r="N60" i="2"/>
  <c r="O65" i="2"/>
  <c r="N88" i="2"/>
  <c r="O17" i="2"/>
  <c r="O101" i="2"/>
  <c r="N91" i="2"/>
  <c r="AF91" i="2" s="1"/>
  <c r="N8" i="2"/>
  <c r="N26" i="2"/>
  <c r="N30" i="2"/>
  <c r="N48" i="2"/>
  <c r="N66" i="2"/>
  <c r="N70" i="2"/>
  <c r="N57" i="2"/>
  <c r="O96" i="2"/>
  <c r="O18" i="2"/>
  <c r="O97" i="2"/>
  <c r="O58" i="2"/>
  <c r="N71" i="2"/>
  <c r="AF71" i="2" s="1"/>
  <c r="N19" i="2"/>
  <c r="O81" i="2"/>
  <c r="N41" i="2"/>
  <c r="O98" i="2"/>
  <c r="AE83" i="2"/>
  <c r="O86" i="2"/>
  <c r="N12" i="2"/>
  <c r="N14" i="2"/>
  <c r="N4" i="2"/>
  <c r="O32" i="2"/>
  <c r="N32" i="2"/>
  <c r="O56" i="2"/>
  <c r="N56" i="2"/>
  <c r="O10" i="2"/>
  <c r="N24" i="2"/>
  <c r="N54" i="2"/>
  <c r="O61" i="2"/>
  <c r="O16" i="2"/>
  <c r="N16" i="2"/>
  <c r="N45" i="2"/>
  <c r="O30" i="2"/>
  <c r="O52" i="2"/>
  <c r="N52" i="2"/>
  <c r="N49" i="2"/>
  <c r="O49" i="2"/>
  <c r="N13" i="2"/>
  <c r="O45" i="2"/>
  <c r="O89" i="2"/>
  <c r="N89" i="2"/>
  <c r="N33" i="2"/>
  <c r="N5" i="2"/>
  <c r="O7" i="2"/>
  <c r="N11" i="2"/>
  <c r="O33" i="2"/>
  <c r="N43" i="2"/>
  <c r="AD83" i="2"/>
  <c r="O69" i="2"/>
  <c r="N69" i="2"/>
  <c r="O13" i="2"/>
  <c r="O59" i="2"/>
  <c r="O36" i="2"/>
  <c r="N36" i="2"/>
  <c r="O9" i="2"/>
  <c r="N9" i="2"/>
  <c r="O27" i="2"/>
  <c r="O31" i="2"/>
  <c r="O39" i="2"/>
  <c r="N53" i="2"/>
  <c r="O29" i="2"/>
  <c r="N29" i="2"/>
  <c r="O50" i="2"/>
  <c r="N44" i="2"/>
  <c r="N34" i="2"/>
  <c r="O63" i="2"/>
  <c r="O12" i="2"/>
  <c r="O14" i="2"/>
  <c r="O44" i="2"/>
  <c r="N63" i="2"/>
  <c r="O83" i="2"/>
  <c r="O103" i="2"/>
  <c r="N22" i="2"/>
  <c r="N42" i="2"/>
  <c r="N62" i="2"/>
  <c r="N82" i="2"/>
  <c r="AE82" i="2" s="1"/>
  <c r="N102" i="2"/>
  <c r="N15" i="2"/>
  <c r="O22" i="2"/>
  <c r="N35" i="2"/>
  <c r="O42" i="2"/>
  <c r="N55" i="2"/>
  <c r="N75" i="2"/>
  <c r="O82" i="2"/>
  <c r="N95" i="2"/>
  <c r="O102" i="2"/>
  <c r="N74" i="2"/>
  <c r="AD74" i="2" s="1"/>
  <c r="N94" i="2"/>
  <c r="O74" i="2"/>
  <c r="O94" i="2"/>
  <c r="O67" i="2"/>
  <c r="O87" i="2"/>
  <c r="O20" i="2"/>
  <c r="O40" i="2"/>
  <c r="O60" i="2"/>
  <c r="N73" i="2"/>
  <c r="N93" i="2"/>
  <c r="O100" i="2"/>
  <c r="O73" i="2"/>
  <c r="N72" i="2"/>
  <c r="N92" i="2"/>
  <c r="N65" i="2"/>
  <c r="O72" i="2"/>
  <c r="N85" i="2"/>
  <c r="O92" i="2"/>
  <c r="N105" i="2"/>
  <c r="N51" i="2"/>
  <c r="N31" i="2"/>
  <c r="N104" i="2"/>
  <c r="AF83" i="2"/>
  <c r="I2" i="58" l="1"/>
  <c r="O2" i="58" s="1"/>
  <c r="U2" i="58" s="1"/>
  <c r="A39" i="58"/>
  <c r="A42" i="58"/>
  <c r="B24" i="58"/>
  <c r="H24" i="58" s="1"/>
  <c r="N24" i="58" s="1"/>
  <c r="T24" i="58" s="1"/>
  <c r="C23" i="58"/>
  <c r="I23" i="58" s="1"/>
  <c r="O23" i="58" s="1"/>
  <c r="U23" i="58" s="1"/>
  <c r="H3" i="58"/>
  <c r="N3" i="58" s="1"/>
  <c r="T3" i="58" s="1"/>
  <c r="B10" i="58"/>
  <c r="H10" i="58" s="1"/>
  <c r="N10" i="58" s="1"/>
  <c r="T10" i="58" s="1"/>
  <c r="E42" i="58"/>
  <c r="D39" i="58"/>
  <c r="D37" i="58"/>
  <c r="C16" i="58"/>
  <c r="I16" i="58" s="1"/>
  <c r="O16" i="58" s="1"/>
  <c r="U16" i="58" s="1"/>
  <c r="B17" i="61"/>
  <c r="H17" i="61" s="1"/>
  <c r="N17" i="61" s="1"/>
  <c r="T17" i="61" s="1"/>
  <c r="I2" i="61"/>
  <c r="O2" i="61" s="1"/>
  <c r="U2" i="61" s="1"/>
  <c r="H3" i="61"/>
  <c r="N3" i="61" s="1"/>
  <c r="T3" i="61" s="1"/>
  <c r="D39" i="61"/>
  <c r="B17" i="58"/>
  <c r="H17" i="58" s="1"/>
  <c r="N17" i="58" s="1"/>
  <c r="T17" i="58" s="1"/>
  <c r="C16" i="61"/>
  <c r="I16" i="61" s="1"/>
  <c r="O16" i="61" s="1"/>
  <c r="U16" i="61" s="1"/>
  <c r="A39" i="63"/>
  <c r="C9" i="58"/>
  <c r="I9" i="58" s="1"/>
  <c r="O9" i="58" s="1"/>
  <c r="U9" i="58" s="1"/>
  <c r="B10" i="61"/>
  <c r="H10" i="61" s="1"/>
  <c r="N10" i="61" s="1"/>
  <c r="T10" i="61" s="1"/>
  <c r="B17" i="64"/>
  <c r="H17" i="64" s="1"/>
  <c r="N17" i="64" s="1"/>
  <c r="T17" i="64" s="1"/>
  <c r="I2" i="64"/>
  <c r="O2" i="64" s="1"/>
  <c r="U2" i="64" s="1"/>
  <c r="A37" i="58"/>
  <c r="D39" i="64"/>
  <c r="A39" i="61"/>
  <c r="B30" i="61"/>
  <c r="B24" i="61"/>
  <c r="H24" i="61" s="1"/>
  <c r="N24" i="61" s="1"/>
  <c r="T24" i="61" s="1"/>
  <c r="C9" i="61"/>
  <c r="I9" i="61" s="1"/>
  <c r="O9" i="61" s="1"/>
  <c r="U9" i="61" s="1"/>
  <c r="D37" i="61"/>
  <c r="E42" i="61"/>
  <c r="A37" i="61"/>
  <c r="B30" i="64"/>
  <c r="B24" i="64"/>
  <c r="H24" i="64" s="1"/>
  <c r="N24" i="64" s="1"/>
  <c r="T24" i="64" s="1"/>
  <c r="C9" i="64"/>
  <c r="I9" i="64" s="1"/>
  <c r="O9" i="64" s="1"/>
  <c r="U9" i="64" s="1"/>
  <c r="H3" i="64"/>
  <c r="N3" i="64" s="1"/>
  <c r="T3" i="64" s="1"/>
  <c r="D37" i="64"/>
  <c r="A39" i="64"/>
  <c r="A37" i="64"/>
  <c r="C23" i="64"/>
  <c r="I23" i="64" s="1"/>
  <c r="O23" i="64" s="1"/>
  <c r="U23" i="64" s="1"/>
  <c r="E42" i="64"/>
  <c r="C16" i="64"/>
  <c r="I16" i="64" s="1"/>
  <c r="O16" i="64" s="1"/>
  <c r="U16" i="64" s="1"/>
  <c r="B20" i="64"/>
  <c r="H20" i="64" s="1"/>
  <c r="N20" i="64" s="1"/>
  <c r="T20" i="64" s="1"/>
  <c r="B13" i="64"/>
  <c r="H13" i="64" s="1"/>
  <c r="N13" i="64" s="1"/>
  <c r="T13" i="64" s="1"/>
  <c r="A42" i="64"/>
  <c r="A40" i="64"/>
  <c r="H6" i="64"/>
  <c r="N6" i="64" s="1"/>
  <c r="T6" i="64" s="1"/>
  <c r="B33" i="64"/>
  <c r="B27" i="64"/>
  <c r="H27" i="64" s="1"/>
  <c r="N27" i="64" s="1"/>
  <c r="T27" i="64" s="1"/>
  <c r="D40" i="64"/>
  <c r="F9" i="64"/>
  <c r="L9" i="64" s="1"/>
  <c r="R9" i="64" s="1"/>
  <c r="X9" i="64" s="1"/>
  <c r="D42" i="64"/>
  <c r="F16" i="64"/>
  <c r="L16" i="64" s="1"/>
  <c r="R16" i="64" s="1"/>
  <c r="X16" i="64" s="1"/>
  <c r="F23" i="64"/>
  <c r="L23" i="64" s="1"/>
  <c r="R23" i="64" s="1"/>
  <c r="X23" i="64" s="1"/>
  <c r="L2" i="64"/>
  <c r="R2" i="64" s="1"/>
  <c r="X2" i="64" s="1"/>
  <c r="E38" i="64"/>
  <c r="B19" i="64"/>
  <c r="H19" i="64" s="1"/>
  <c r="N19" i="64" s="1"/>
  <c r="T19" i="64" s="1"/>
  <c r="A38" i="64"/>
  <c r="B26" i="64"/>
  <c r="H26" i="64" s="1"/>
  <c r="N26" i="64" s="1"/>
  <c r="T26" i="64" s="1"/>
  <c r="B12" i="64"/>
  <c r="H12" i="64" s="1"/>
  <c r="N12" i="64" s="1"/>
  <c r="T12" i="64" s="1"/>
  <c r="E9" i="64"/>
  <c r="K9" i="64" s="1"/>
  <c r="Q9" i="64" s="1"/>
  <c r="W9" i="64" s="1"/>
  <c r="E41" i="64"/>
  <c r="E39" i="64"/>
  <c r="D38" i="64"/>
  <c r="E16" i="64"/>
  <c r="K16" i="64" s="1"/>
  <c r="Q16" i="64" s="1"/>
  <c r="W16" i="64" s="1"/>
  <c r="B32" i="64"/>
  <c r="E23" i="64"/>
  <c r="K23" i="64" s="1"/>
  <c r="Q23" i="64" s="1"/>
  <c r="W23" i="64" s="1"/>
  <c r="H5" i="64"/>
  <c r="N5" i="64" s="1"/>
  <c r="T5" i="64" s="1"/>
  <c r="K2" i="64"/>
  <c r="Q2" i="64" s="1"/>
  <c r="W2" i="64" s="1"/>
  <c r="A41" i="64"/>
  <c r="A41" i="61"/>
  <c r="A39" i="62"/>
  <c r="B20" i="63"/>
  <c r="H20" i="63" s="1"/>
  <c r="N20" i="63" s="1"/>
  <c r="T20" i="63" s="1"/>
  <c r="B13" i="63"/>
  <c r="H13" i="63" s="1"/>
  <c r="N13" i="63" s="1"/>
  <c r="T13" i="63" s="1"/>
  <c r="A42" i="63"/>
  <c r="A40" i="63"/>
  <c r="D40" i="63"/>
  <c r="H6" i="63"/>
  <c r="N6" i="63" s="1"/>
  <c r="T6" i="63" s="1"/>
  <c r="B33" i="63"/>
  <c r="B27" i="63"/>
  <c r="H27" i="63" s="1"/>
  <c r="N27" i="63" s="1"/>
  <c r="T27" i="63" s="1"/>
  <c r="F9" i="63"/>
  <c r="L9" i="63" s="1"/>
  <c r="R9" i="63" s="1"/>
  <c r="X9" i="63" s="1"/>
  <c r="F16" i="63"/>
  <c r="L16" i="63" s="1"/>
  <c r="R16" i="63" s="1"/>
  <c r="X16" i="63" s="1"/>
  <c r="D42" i="63"/>
  <c r="F23" i="63"/>
  <c r="L23" i="63" s="1"/>
  <c r="R23" i="63" s="1"/>
  <c r="X23" i="63" s="1"/>
  <c r="L2" i="63"/>
  <c r="R2" i="63" s="1"/>
  <c r="X2" i="63" s="1"/>
  <c r="E38" i="63"/>
  <c r="B19" i="63"/>
  <c r="H19" i="63" s="1"/>
  <c r="N19" i="63" s="1"/>
  <c r="T19" i="63" s="1"/>
  <c r="A38" i="63"/>
  <c r="B26" i="63"/>
  <c r="H26" i="63" s="1"/>
  <c r="N26" i="63" s="1"/>
  <c r="T26" i="63" s="1"/>
  <c r="B12" i="63"/>
  <c r="H12" i="63" s="1"/>
  <c r="N12" i="63" s="1"/>
  <c r="T12" i="63" s="1"/>
  <c r="E9" i="63"/>
  <c r="K9" i="63" s="1"/>
  <c r="Q9" i="63" s="1"/>
  <c r="W9" i="63" s="1"/>
  <c r="D38" i="63"/>
  <c r="E41" i="63"/>
  <c r="E39" i="63"/>
  <c r="E16" i="63"/>
  <c r="K16" i="63" s="1"/>
  <c r="Q16" i="63" s="1"/>
  <c r="W16" i="63" s="1"/>
  <c r="E23" i="63"/>
  <c r="K23" i="63" s="1"/>
  <c r="Q23" i="63" s="1"/>
  <c r="W23" i="63" s="1"/>
  <c r="H5" i="63"/>
  <c r="N5" i="63" s="1"/>
  <c r="T5" i="63" s="1"/>
  <c r="B32" i="63"/>
  <c r="K2" i="63"/>
  <c r="Q2" i="63" s="1"/>
  <c r="W2" i="63" s="1"/>
  <c r="A39" i="59"/>
  <c r="B19" i="62"/>
  <c r="H19" i="62" s="1"/>
  <c r="N19" i="62" s="1"/>
  <c r="T19" i="62" s="1"/>
  <c r="A38" i="62"/>
  <c r="B26" i="62"/>
  <c r="H26" i="62" s="1"/>
  <c r="N26" i="62" s="1"/>
  <c r="T26" i="62" s="1"/>
  <c r="B12" i="62"/>
  <c r="H12" i="62" s="1"/>
  <c r="N12" i="62" s="1"/>
  <c r="T12" i="62" s="1"/>
  <c r="E9" i="62"/>
  <c r="K9" i="62" s="1"/>
  <c r="Q9" i="62" s="1"/>
  <c r="W9" i="62" s="1"/>
  <c r="E41" i="62"/>
  <c r="E39" i="62"/>
  <c r="D38" i="62"/>
  <c r="E16" i="62"/>
  <c r="K16" i="62" s="1"/>
  <c r="Q16" i="62" s="1"/>
  <c r="W16" i="62" s="1"/>
  <c r="B32" i="62"/>
  <c r="E23" i="62"/>
  <c r="K23" i="62" s="1"/>
  <c r="Q23" i="62" s="1"/>
  <c r="W23" i="62" s="1"/>
  <c r="H5" i="62"/>
  <c r="N5" i="62" s="1"/>
  <c r="T5" i="62" s="1"/>
  <c r="K2" i="62"/>
  <c r="Q2" i="62" s="1"/>
  <c r="W2" i="62" s="1"/>
  <c r="B20" i="61"/>
  <c r="H20" i="61" s="1"/>
  <c r="N20" i="61" s="1"/>
  <c r="T20" i="61" s="1"/>
  <c r="B13" i="61"/>
  <c r="H13" i="61" s="1"/>
  <c r="N13" i="61" s="1"/>
  <c r="T13" i="61" s="1"/>
  <c r="A42" i="61"/>
  <c r="A40" i="61"/>
  <c r="H6" i="61"/>
  <c r="N6" i="61" s="1"/>
  <c r="T6" i="61" s="1"/>
  <c r="B33" i="61"/>
  <c r="B27" i="61"/>
  <c r="H27" i="61" s="1"/>
  <c r="N27" i="61" s="1"/>
  <c r="T27" i="61" s="1"/>
  <c r="L2" i="61"/>
  <c r="R2" i="61" s="1"/>
  <c r="X2" i="61" s="1"/>
  <c r="F9" i="61"/>
  <c r="L9" i="61" s="1"/>
  <c r="R9" i="61" s="1"/>
  <c r="X9" i="61" s="1"/>
  <c r="F16" i="61"/>
  <c r="L16" i="61" s="1"/>
  <c r="R16" i="61" s="1"/>
  <c r="X16" i="61" s="1"/>
  <c r="F23" i="61"/>
  <c r="L23" i="61" s="1"/>
  <c r="R23" i="61" s="1"/>
  <c r="X23" i="61" s="1"/>
  <c r="D42" i="61"/>
  <c r="D40" i="61"/>
  <c r="E38" i="61"/>
  <c r="B19" i="61"/>
  <c r="H19" i="61" s="1"/>
  <c r="N19" i="61" s="1"/>
  <c r="T19" i="61" s="1"/>
  <c r="K2" i="61"/>
  <c r="Q2" i="61" s="1"/>
  <c r="W2" i="61" s="1"/>
  <c r="A38" i="61"/>
  <c r="B26" i="61"/>
  <c r="H26" i="61" s="1"/>
  <c r="N26" i="61" s="1"/>
  <c r="T26" i="61" s="1"/>
  <c r="B12" i="61"/>
  <c r="H12" i="61" s="1"/>
  <c r="N12" i="61" s="1"/>
  <c r="T12" i="61" s="1"/>
  <c r="E9" i="61"/>
  <c r="K9" i="61" s="1"/>
  <c r="Q9" i="61" s="1"/>
  <c r="W9" i="61" s="1"/>
  <c r="E23" i="61"/>
  <c r="K23" i="61" s="1"/>
  <c r="Q23" i="61" s="1"/>
  <c r="W23" i="61" s="1"/>
  <c r="E41" i="61"/>
  <c r="E39" i="61"/>
  <c r="E16" i="61"/>
  <c r="K16" i="61" s="1"/>
  <c r="Q16" i="61" s="1"/>
  <c r="W16" i="61" s="1"/>
  <c r="B32" i="61"/>
  <c r="D38" i="61"/>
  <c r="H5" i="61"/>
  <c r="N5" i="61" s="1"/>
  <c r="T5" i="61" s="1"/>
  <c r="B20" i="60"/>
  <c r="H20" i="60" s="1"/>
  <c r="N20" i="60" s="1"/>
  <c r="T20" i="60" s="1"/>
  <c r="B13" i="60"/>
  <c r="H13" i="60" s="1"/>
  <c r="N13" i="60" s="1"/>
  <c r="T13" i="60" s="1"/>
  <c r="A42" i="60"/>
  <c r="A40" i="60"/>
  <c r="H6" i="60"/>
  <c r="N6" i="60" s="1"/>
  <c r="T6" i="60" s="1"/>
  <c r="B33" i="60"/>
  <c r="B27" i="60"/>
  <c r="H27" i="60" s="1"/>
  <c r="N27" i="60" s="1"/>
  <c r="T27" i="60" s="1"/>
  <c r="F9" i="60"/>
  <c r="L9" i="60" s="1"/>
  <c r="R9" i="60" s="1"/>
  <c r="X9" i="60" s="1"/>
  <c r="F16" i="60"/>
  <c r="L16" i="60" s="1"/>
  <c r="R16" i="60" s="1"/>
  <c r="X16" i="60" s="1"/>
  <c r="F23" i="60"/>
  <c r="L23" i="60" s="1"/>
  <c r="R23" i="60" s="1"/>
  <c r="X23" i="60" s="1"/>
  <c r="L2" i="60"/>
  <c r="R2" i="60" s="1"/>
  <c r="X2" i="60" s="1"/>
  <c r="E38" i="60"/>
  <c r="D42" i="60"/>
  <c r="D40" i="60"/>
  <c r="B19" i="60"/>
  <c r="H19" i="60" s="1"/>
  <c r="N19" i="60" s="1"/>
  <c r="T19" i="60" s="1"/>
  <c r="A38" i="60"/>
  <c r="B26" i="60"/>
  <c r="H26" i="60" s="1"/>
  <c r="N26" i="60" s="1"/>
  <c r="T26" i="60" s="1"/>
  <c r="B12" i="60"/>
  <c r="H12" i="60" s="1"/>
  <c r="N12" i="60" s="1"/>
  <c r="T12" i="60" s="1"/>
  <c r="E9" i="60"/>
  <c r="K9" i="60" s="1"/>
  <c r="Q9" i="60" s="1"/>
  <c r="W9" i="60" s="1"/>
  <c r="E41" i="60"/>
  <c r="E39" i="60"/>
  <c r="E16" i="60"/>
  <c r="K16" i="60" s="1"/>
  <c r="Q16" i="60" s="1"/>
  <c r="W16" i="60" s="1"/>
  <c r="B32" i="60"/>
  <c r="E23" i="60"/>
  <c r="K23" i="60" s="1"/>
  <c r="Q23" i="60" s="1"/>
  <c r="W23" i="60" s="1"/>
  <c r="H5" i="60"/>
  <c r="N5" i="60" s="1"/>
  <c r="T5" i="60" s="1"/>
  <c r="K2" i="60"/>
  <c r="Q2" i="60" s="1"/>
  <c r="W2" i="60" s="1"/>
  <c r="D38" i="60"/>
  <c r="A41" i="60"/>
  <c r="A39" i="57"/>
  <c r="B20" i="59"/>
  <c r="H20" i="59" s="1"/>
  <c r="N20" i="59" s="1"/>
  <c r="T20" i="59" s="1"/>
  <c r="B13" i="59"/>
  <c r="H13" i="59" s="1"/>
  <c r="N13" i="59" s="1"/>
  <c r="T13" i="59" s="1"/>
  <c r="A42" i="59"/>
  <c r="A40" i="59"/>
  <c r="H6" i="59"/>
  <c r="N6" i="59" s="1"/>
  <c r="T6" i="59" s="1"/>
  <c r="B33" i="59"/>
  <c r="B27" i="59"/>
  <c r="H27" i="59" s="1"/>
  <c r="N27" i="59" s="1"/>
  <c r="T27" i="59" s="1"/>
  <c r="F9" i="59"/>
  <c r="L9" i="59" s="1"/>
  <c r="R9" i="59" s="1"/>
  <c r="X9" i="59" s="1"/>
  <c r="F16" i="59"/>
  <c r="L16" i="59" s="1"/>
  <c r="R16" i="59" s="1"/>
  <c r="X16" i="59" s="1"/>
  <c r="F23" i="59"/>
  <c r="L23" i="59" s="1"/>
  <c r="R23" i="59" s="1"/>
  <c r="X23" i="59" s="1"/>
  <c r="L2" i="59"/>
  <c r="R2" i="59" s="1"/>
  <c r="X2" i="59" s="1"/>
  <c r="E38" i="59"/>
  <c r="D42" i="59"/>
  <c r="D40" i="59"/>
  <c r="D42" i="53"/>
  <c r="B19" i="59"/>
  <c r="H19" i="59" s="1"/>
  <c r="N19" i="59" s="1"/>
  <c r="T19" i="59" s="1"/>
  <c r="A38" i="59"/>
  <c r="B26" i="59"/>
  <c r="H26" i="59" s="1"/>
  <c r="N26" i="59" s="1"/>
  <c r="T26" i="59" s="1"/>
  <c r="B12" i="59"/>
  <c r="H12" i="59" s="1"/>
  <c r="N12" i="59" s="1"/>
  <c r="T12" i="59" s="1"/>
  <c r="E9" i="59"/>
  <c r="K9" i="59" s="1"/>
  <c r="Q9" i="59" s="1"/>
  <c r="W9" i="59" s="1"/>
  <c r="E41" i="59"/>
  <c r="E39" i="59"/>
  <c r="E16" i="59"/>
  <c r="K16" i="59" s="1"/>
  <c r="Q16" i="59" s="1"/>
  <c r="W16" i="59" s="1"/>
  <c r="B32" i="59"/>
  <c r="E23" i="59"/>
  <c r="K23" i="59" s="1"/>
  <c r="Q23" i="59" s="1"/>
  <c r="W23" i="59" s="1"/>
  <c r="H5" i="59"/>
  <c r="N5" i="59" s="1"/>
  <c r="T5" i="59" s="1"/>
  <c r="K2" i="59"/>
  <c r="Q2" i="59" s="1"/>
  <c r="W2" i="59" s="1"/>
  <c r="D38" i="59"/>
  <c r="B20" i="57"/>
  <c r="H20" i="57" s="1"/>
  <c r="N20" i="57" s="1"/>
  <c r="T20" i="57" s="1"/>
  <c r="B13" i="57"/>
  <c r="H13" i="57" s="1"/>
  <c r="N13" i="57" s="1"/>
  <c r="T13" i="57" s="1"/>
  <c r="A42" i="57"/>
  <c r="A40" i="57"/>
  <c r="H6" i="57"/>
  <c r="N6" i="57" s="1"/>
  <c r="T6" i="57" s="1"/>
  <c r="B33" i="57"/>
  <c r="B27" i="57"/>
  <c r="H27" i="57" s="1"/>
  <c r="N27" i="57" s="1"/>
  <c r="T27" i="57" s="1"/>
  <c r="F9" i="57"/>
  <c r="L9" i="57" s="1"/>
  <c r="R9" i="57" s="1"/>
  <c r="X9" i="57" s="1"/>
  <c r="F16" i="57"/>
  <c r="L16" i="57" s="1"/>
  <c r="R16" i="57" s="1"/>
  <c r="X16" i="57" s="1"/>
  <c r="E38" i="57"/>
  <c r="F23" i="57"/>
  <c r="L23" i="57" s="1"/>
  <c r="R23" i="57" s="1"/>
  <c r="X23" i="57" s="1"/>
  <c r="L2" i="57"/>
  <c r="R2" i="57" s="1"/>
  <c r="X2" i="57" s="1"/>
  <c r="D42" i="57"/>
  <c r="D40" i="57"/>
  <c r="B19" i="57"/>
  <c r="H19" i="57" s="1"/>
  <c r="N19" i="57" s="1"/>
  <c r="T19" i="57" s="1"/>
  <c r="A38" i="57"/>
  <c r="E23" i="57"/>
  <c r="K23" i="57" s="1"/>
  <c r="Q23" i="57" s="1"/>
  <c r="W23" i="57" s="1"/>
  <c r="B26" i="57"/>
  <c r="H26" i="57" s="1"/>
  <c r="N26" i="57" s="1"/>
  <c r="T26" i="57" s="1"/>
  <c r="B12" i="57"/>
  <c r="H12" i="57" s="1"/>
  <c r="N12" i="57" s="1"/>
  <c r="T12" i="57" s="1"/>
  <c r="E9" i="57"/>
  <c r="K9" i="57" s="1"/>
  <c r="Q9" i="57" s="1"/>
  <c r="W9" i="57" s="1"/>
  <c r="E41" i="57"/>
  <c r="E39" i="57"/>
  <c r="H5" i="57"/>
  <c r="N5" i="57" s="1"/>
  <c r="T5" i="57" s="1"/>
  <c r="E16" i="57"/>
  <c r="K16" i="57" s="1"/>
  <c r="Q16" i="57" s="1"/>
  <c r="W16" i="57" s="1"/>
  <c r="K2" i="57"/>
  <c r="Q2" i="57" s="1"/>
  <c r="W2" i="57" s="1"/>
  <c r="B32" i="57"/>
  <c r="D38" i="57"/>
  <c r="A41" i="56"/>
  <c r="F9" i="53"/>
  <c r="L9" i="53" s="1"/>
  <c r="R9" i="53" s="1"/>
  <c r="X9" i="53" s="1"/>
  <c r="A40" i="53"/>
  <c r="A38" i="53"/>
  <c r="B20" i="56"/>
  <c r="H20" i="56" s="1"/>
  <c r="N20" i="56" s="1"/>
  <c r="T20" i="56" s="1"/>
  <c r="B13" i="56"/>
  <c r="H13" i="56" s="1"/>
  <c r="N13" i="56" s="1"/>
  <c r="T13" i="56" s="1"/>
  <c r="A42" i="56"/>
  <c r="A40" i="56"/>
  <c r="H6" i="56"/>
  <c r="N6" i="56" s="1"/>
  <c r="T6" i="56" s="1"/>
  <c r="B33" i="56"/>
  <c r="B27" i="56"/>
  <c r="H27" i="56" s="1"/>
  <c r="N27" i="56" s="1"/>
  <c r="T27" i="56" s="1"/>
  <c r="F9" i="56"/>
  <c r="L9" i="56" s="1"/>
  <c r="R9" i="56" s="1"/>
  <c r="X9" i="56" s="1"/>
  <c r="F16" i="56"/>
  <c r="L16" i="56" s="1"/>
  <c r="R16" i="56" s="1"/>
  <c r="X16" i="56" s="1"/>
  <c r="F23" i="56"/>
  <c r="L23" i="56" s="1"/>
  <c r="R23" i="56" s="1"/>
  <c r="X23" i="56" s="1"/>
  <c r="L2" i="56"/>
  <c r="R2" i="56" s="1"/>
  <c r="X2" i="56" s="1"/>
  <c r="E38" i="56"/>
  <c r="D42" i="56"/>
  <c r="D40" i="56"/>
  <c r="B19" i="56"/>
  <c r="H19" i="56" s="1"/>
  <c r="N19" i="56" s="1"/>
  <c r="T19" i="56" s="1"/>
  <c r="A38" i="56"/>
  <c r="B26" i="56"/>
  <c r="H26" i="56" s="1"/>
  <c r="N26" i="56" s="1"/>
  <c r="T26" i="56" s="1"/>
  <c r="B12" i="56"/>
  <c r="H12" i="56" s="1"/>
  <c r="N12" i="56" s="1"/>
  <c r="T12" i="56" s="1"/>
  <c r="E9" i="56"/>
  <c r="K9" i="56" s="1"/>
  <c r="Q9" i="56" s="1"/>
  <c r="W9" i="56" s="1"/>
  <c r="E41" i="56"/>
  <c r="E39" i="56"/>
  <c r="E16" i="56"/>
  <c r="K16" i="56" s="1"/>
  <c r="Q16" i="56" s="1"/>
  <c r="W16" i="56" s="1"/>
  <c r="B32" i="56"/>
  <c r="E23" i="56"/>
  <c r="K23" i="56" s="1"/>
  <c r="Q23" i="56" s="1"/>
  <c r="W23" i="56" s="1"/>
  <c r="H5" i="56"/>
  <c r="N5" i="56" s="1"/>
  <c r="T5" i="56" s="1"/>
  <c r="K2" i="56"/>
  <c r="Q2" i="56" s="1"/>
  <c r="W2" i="56" s="1"/>
  <c r="D38" i="56"/>
  <c r="B19" i="55"/>
  <c r="H19" i="55" s="1"/>
  <c r="N19" i="55" s="1"/>
  <c r="T19" i="55" s="1"/>
  <c r="A38" i="55"/>
  <c r="B26" i="55"/>
  <c r="H26" i="55" s="1"/>
  <c r="N26" i="55" s="1"/>
  <c r="T26" i="55" s="1"/>
  <c r="B12" i="55"/>
  <c r="H12" i="55" s="1"/>
  <c r="N12" i="55" s="1"/>
  <c r="T12" i="55" s="1"/>
  <c r="E9" i="55"/>
  <c r="K9" i="55" s="1"/>
  <c r="Q9" i="55" s="1"/>
  <c r="W9" i="55" s="1"/>
  <c r="E41" i="55"/>
  <c r="E39" i="55"/>
  <c r="E16" i="55"/>
  <c r="K16" i="55" s="1"/>
  <c r="Q16" i="55" s="1"/>
  <c r="W16" i="55" s="1"/>
  <c r="B32" i="55"/>
  <c r="E23" i="55"/>
  <c r="K23" i="55" s="1"/>
  <c r="Q23" i="55" s="1"/>
  <c r="W23" i="55" s="1"/>
  <c r="H5" i="55"/>
  <c r="N5" i="55" s="1"/>
  <c r="T5" i="55" s="1"/>
  <c r="K2" i="55"/>
  <c r="Q2" i="55" s="1"/>
  <c r="W2" i="55" s="1"/>
  <c r="D38" i="55"/>
  <c r="A41" i="55"/>
  <c r="C23" i="55"/>
  <c r="I23" i="55" s="1"/>
  <c r="O23" i="55" s="1"/>
  <c r="U23" i="55" s="1"/>
  <c r="B17" i="55"/>
  <c r="H17" i="55" s="1"/>
  <c r="N17" i="55" s="1"/>
  <c r="T17" i="55" s="1"/>
  <c r="I2" i="55"/>
  <c r="O2" i="55" s="1"/>
  <c r="U2" i="55" s="1"/>
  <c r="B30" i="55"/>
  <c r="B24" i="55"/>
  <c r="H24" i="55" s="1"/>
  <c r="N24" i="55" s="1"/>
  <c r="T24" i="55" s="1"/>
  <c r="C9" i="55"/>
  <c r="I9" i="55" s="1"/>
  <c r="O9" i="55" s="1"/>
  <c r="U9" i="55" s="1"/>
  <c r="H3" i="55"/>
  <c r="N3" i="55" s="1"/>
  <c r="T3" i="55" s="1"/>
  <c r="D39" i="55"/>
  <c r="D37" i="55"/>
  <c r="A39" i="55"/>
  <c r="A37" i="55"/>
  <c r="B10" i="55"/>
  <c r="H10" i="55" s="1"/>
  <c r="N10" i="55" s="1"/>
  <c r="T10" i="55" s="1"/>
  <c r="C16" i="55"/>
  <c r="I16" i="55" s="1"/>
  <c r="O16" i="55" s="1"/>
  <c r="U16" i="55" s="1"/>
  <c r="E42" i="55"/>
  <c r="B13" i="53"/>
  <c r="H13" i="53" s="1"/>
  <c r="N13" i="53" s="1"/>
  <c r="T13" i="53" s="1"/>
  <c r="B19" i="54"/>
  <c r="H19" i="54" s="1"/>
  <c r="N19" i="54" s="1"/>
  <c r="T19" i="54" s="1"/>
  <c r="A38" i="54"/>
  <c r="B26" i="54"/>
  <c r="H26" i="54" s="1"/>
  <c r="N26" i="54" s="1"/>
  <c r="T26" i="54" s="1"/>
  <c r="B12" i="54"/>
  <c r="H12" i="54" s="1"/>
  <c r="N12" i="54" s="1"/>
  <c r="T12" i="54" s="1"/>
  <c r="E9" i="54"/>
  <c r="K9" i="54" s="1"/>
  <c r="Q9" i="54" s="1"/>
  <c r="W9" i="54" s="1"/>
  <c r="E41" i="54"/>
  <c r="E39" i="54"/>
  <c r="D38" i="54"/>
  <c r="E16" i="54"/>
  <c r="K16" i="54" s="1"/>
  <c r="Q16" i="54" s="1"/>
  <c r="W16" i="54" s="1"/>
  <c r="B32" i="54"/>
  <c r="E23" i="54"/>
  <c r="K23" i="54" s="1"/>
  <c r="Q23" i="54" s="1"/>
  <c r="W23" i="54" s="1"/>
  <c r="H5" i="54"/>
  <c r="N5" i="54" s="1"/>
  <c r="T5" i="54" s="1"/>
  <c r="K2" i="54"/>
  <c r="Q2" i="54" s="1"/>
  <c r="W2" i="54" s="1"/>
  <c r="D40" i="53"/>
  <c r="H6" i="53"/>
  <c r="N6" i="53" s="1"/>
  <c r="T6" i="53" s="1"/>
  <c r="F23" i="53"/>
  <c r="L23" i="53" s="1"/>
  <c r="R23" i="53" s="1"/>
  <c r="X23" i="53" s="1"/>
  <c r="A42" i="53"/>
  <c r="L2" i="53"/>
  <c r="R2" i="53" s="1"/>
  <c r="X2" i="53" s="1"/>
  <c r="E38" i="53"/>
  <c r="A39" i="54"/>
  <c r="B27" i="53"/>
  <c r="H27" i="53" s="1"/>
  <c r="N27" i="53" s="1"/>
  <c r="T27" i="53" s="1"/>
  <c r="B20" i="54"/>
  <c r="H20" i="54" s="1"/>
  <c r="N20" i="54" s="1"/>
  <c r="T20" i="54" s="1"/>
  <c r="B13" i="54"/>
  <c r="H13" i="54" s="1"/>
  <c r="N13" i="54" s="1"/>
  <c r="T13" i="54" s="1"/>
  <c r="A42" i="54"/>
  <c r="A40" i="54"/>
  <c r="H6" i="54"/>
  <c r="N6" i="54" s="1"/>
  <c r="T6" i="54" s="1"/>
  <c r="B33" i="54"/>
  <c r="B27" i="54"/>
  <c r="H27" i="54" s="1"/>
  <c r="N27" i="54" s="1"/>
  <c r="T27" i="54" s="1"/>
  <c r="F9" i="54"/>
  <c r="L9" i="54" s="1"/>
  <c r="R9" i="54" s="1"/>
  <c r="X9" i="54" s="1"/>
  <c r="D40" i="54"/>
  <c r="F16" i="54"/>
  <c r="L16" i="54" s="1"/>
  <c r="R16" i="54" s="1"/>
  <c r="X16" i="54" s="1"/>
  <c r="F23" i="54"/>
  <c r="L23" i="54" s="1"/>
  <c r="R23" i="54" s="1"/>
  <c r="X23" i="54" s="1"/>
  <c r="L2" i="54"/>
  <c r="R2" i="54" s="1"/>
  <c r="X2" i="54" s="1"/>
  <c r="E38" i="54"/>
  <c r="D42" i="54"/>
  <c r="A41" i="54"/>
  <c r="B33" i="53"/>
  <c r="F16" i="53"/>
  <c r="L16" i="53" s="1"/>
  <c r="R16" i="53" s="1"/>
  <c r="X16" i="53" s="1"/>
  <c r="AE86" i="2"/>
  <c r="AF86" i="2"/>
  <c r="AF101" i="2"/>
  <c r="AD100" i="2"/>
  <c r="AE78" i="2"/>
  <c r="AE101" i="2"/>
  <c r="AF78" i="2"/>
  <c r="AF68" i="2"/>
  <c r="AD103" i="2"/>
  <c r="AE103" i="2"/>
  <c r="AF103" i="2"/>
  <c r="AE100" i="2"/>
  <c r="AD68" i="2"/>
  <c r="AE88" i="2"/>
  <c r="AD88" i="2"/>
  <c r="AF88" i="2"/>
  <c r="AF73" i="2"/>
  <c r="AD70" i="2"/>
  <c r="AF70" i="2"/>
  <c r="AE71" i="2"/>
  <c r="AF89" i="2"/>
  <c r="AD71" i="2"/>
  <c r="AD91" i="2"/>
  <c r="AE70" i="2"/>
  <c r="AE91" i="2"/>
  <c r="AD94" i="2"/>
  <c r="AE94" i="2"/>
  <c r="AF82" i="2"/>
  <c r="AD85" i="2"/>
  <c r="AE85" i="2"/>
  <c r="AF85" i="2"/>
  <c r="AE89" i="2"/>
  <c r="AD82" i="2"/>
  <c r="AF94" i="2"/>
  <c r="AD89" i="2"/>
  <c r="AD76" i="2"/>
  <c r="AF76" i="2"/>
  <c r="AE76" i="2"/>
  <c r="AF77" i="2"/>
  <c r="AE77" i="2"/>
  <c r="AD77" i="2"/>
  <c r="AF93" i="2"/>
  <c r="AE93" i="2"/>
  <c r="AD93" i="2"/>
  <c r="AF102" i="2"/>
  <c r="AE102" i="2"/>
  <c r="AD102" i="2"/>
  <c r="AF106" i="2"/>
  <c r="AE106" i="2"/>
  <c r="AD106" i="2"/>
  <c r="AE84" i="2"/>
  <c r="AD84" i="2"/>
  <c r="AF84" i="2"/>
  <c r="AD92" i="2"/>
  <c r="AF92" i="2"/>
  <c r="AE92" i="2"/>
  <c r="AF99" i="2"/>
  <c r="AE99" i="2"/>
  <c r="AD99" i="2"/>
  <c r="AF75" i="2"/>
  <c r="AE75" i="2"/>
  <c r="AD75" i="2"/>
  <c r="AF87" i="2"/>
  <c r="AE87" i="2"/>
  <c r="AD87" i="2"/>
  <c r="AD79" i="2"/>
  <c r="AE79" i="2"/>
  <c r="AF79" i="2"/>
  <c r="AF98" i="2"/>
  <c r="AE98" i="2"/>
  <c r="AD98" i="2"/>
  <c r="AF80" i="2"/>
  <c r="AE80" i="2"/>
  <c r="AD80" i="2"/>
  <c r="AF104" i="2"/>
  <c r="AE104" i="2"/>
  <c r="AD104" i="2"/>
  <c r="AE95" i="2"/>
  <c r="AD95" i="2"/>
  <c r="AF95" i="2"/>
  <c r="AF96" i="2"/>
  <c r="AE96" i="2"/>
  <c r="AD96" i="2"/>
  <c r="AF105" i="2"/>
  <c r="AE105" i="2"/>
  <c r="AD105" i="2"/>
  <c r="AF97" i="2"/>
  <c r="AE97" i="2"/>
  <c r="AD97" i="2"/>
  <c r="AF90" i="2"/>
  <c r="AD90" i="2"/>
  <c r="AE90" i="2"/>
  <c r="AD81" i="2"/>
  <c r="AF81" i="2"/>
  <c r="AE81" i="2"/>
  <c r="AE74" i="2"/>
  <c r="AE73" i="2"/>
  <c r="AD73" i="2"/>
  <c r="AF74" i="2"/>
  <c r="AE67" i="2"/>
  <c r="AD67" i="2"/>
  <c r="AF67" i="2"/>
  <c r="AF66" i="2"/>
  <c r="AE66" i="2"/>
  <c r="AD66" i="2"/>
  <c r="AE72" i="2"/>
  <c r="AD72" i="2"/>
  <c r="AF72" i="2"/>
  <c r="AF69" i="2"/>
  <c r="AD69" i="2"/>
  <c r="AE69" i="2"/>
  <c r="P15" i="52"/>
  <c r="P14" i="52"/>
  <c r="P39" i="52"/>
  <c r="P38" i="52"/>
  <c r="K45" i="52"/>
  <c r="K44" i="52"/>
  <c r="K33" i="52"/>
  <c r="K32" i="52"/>
  <c r="K21" i="52"/>
  <c r="K20" i="52"/>
  <c r="K9" i="52"/>
  <c r="K8" i="52"/>
  <c r="F48" i="52"/>
  <c r="F47" i="52"/>
  <c r="F42" i="52"/>
  <c r="F41" i="52"/>
  <c r="F36" i="52"/>
  <c r="F35" i="52"/>
  <c r="F30" i="52"/>
  <c r="F29" i="52"/>
  <c r="F24" i="52"/>
  <c r="F23" i="52"/>
  <c r="F18" i="52"/>
  <c r="F17" i="52"/>
  <c r="F12" i="52"/>
  <c r="F11" i="52"/>
  <c r="F6" i="52"/>
  <c r="F5" i="52"/>
  <c r="D197" i="26"/>
  <c r="D131" i="26"/>
  <c r="A49" i="52"/>
  <c r="A48" i="52"/>
  <c r="A46" i="52"/>
  <c r="A45" i="52"/>
  <c r="A43" i="52"/>
  <c r="A42" i="52"/>
  <c r="A40" i="52"/>
  <c r="A39" i="52"/>
  <c r="A37" i="52"/>
  <c r="A36" i="52"/>
  <c r="A34" i="52"/>
  <c r="A33" i="52"/>
  <c r="A31" i="52"/>
  <c r="A30" i="52"/>
  <c r="A28" i="52"/>
  <c r="A25" i="52"/>
  <c r="A24" i="52"/>
  <c r="A22" i="52"/>
  <c r="A21" i="52"/>
  <c r="A19" i="52"/>
  <c r="A18" i="52"/>
  <c r="A16" i="52"/>
  <c r="A15" i="52"/>
  <c r="A13" i="52"/>
  <c r="A12" i="52"/>
  <c r="A10" i="52"/>
  <c r="A9" i="52"/>
  <c r="A7" i="52"/>
  <c r="A6" i="52"/>
  <c r="A4" i="52"/>
  <c r="A3" i="52"/>
  <c r="J195" i="26" l="1"/>
  <c r="J186" i="26"/>
  <c r="J180" i="26"/>
  <c r="J177" i="26"/>
  <c r="J171" i="26"/>
  <c r="J168" i="26"/>
  <c r="J165" i="26"/>
  <c r="J162" i="26"/>
  <c r="J156" i="26"/>
  <c r="J153" i="26"/>
  <c r="J150" i="26"/>
  <c r="J147" i="26"/>
  <c r="J144" i="26"/>
  <c r="J141" i="26"/>
  <c r="J138" i="26"/>
  <c r="J135" i="26"/>
  <c r="J129" i="26"/>
  <c r="J126" i="26"/>
  <c r="J123" i="26"/>
  <c r="J120" i="26"/>
  <c r="J117" i="26"/>
  <c r="J114" i="26"/>
  <c r="J111" i="26"/>
  <c r="J108" i="26"/>
  <c r="J105" i="26"/>
  <c r="J102" i="26"/>
  <c r="J99" i="26"/>
  <c r="J96" i="26"/>
  <c r="J93" i="26"/>
  <c r="J90" i="26"/>
  <c r="J87" i="26"/>
  <c r="J84" i="26"/>
  <c r="AC85" i="26"/>
  <c r="AC78" i="26"/>
  <c r="AC71" i="26"/>
  <c r="AC64" i="26"/>
  <c r="AC57" i="26"/>
  <c r="AC50" i="26"/>
  <c r="AC43" i="26"/>
  <c r="AC36" i="26"/>
  <c r="AC29" i="26"/>
  <c r="AC22" i="26"/>
  <c r="AC15" i="26"/>
  <c r="AC8" i="26"/>
  <c r="B41" i="49"/>
  <c r="L13" i="49"/>
  <c r="R13" i="49" s="1"/>
  <c r="X13" i="49" s="1"/>
  <c r="K12" i="49"/>
  <c r="Q12" i="49" s="1"/>
  <c r="W12" i="49" s="1"/>
  <c r="P11" i="49"/>
  <c r="V11" i="49" s="1"/>
  <c r="J11" i="49"/>
  <c r="I10" i="49"/>
  <c r="O10" i="49" s="1"/>
  <c r="E1" i="49"/>
  <c r="E2" i="49" s="1"/>
  <c r="D1" i="49"/>
  <c r="D2" i="49" s="1"/>
  <c r="C1" i="49"/>
  <c r="C2" i="49" s="1"/>
  <c r="B1" i="49"/>
  <c r="B2" i="49" s="1"/>
  <c r="B41" i="48"/>
  <c r="B39" i="48"/>
  <c r="L13" i="48"/>
  <c r="R13" i="48" s="1"/>
  <c r="X13" i="48" s="1"/>
  <c r="K12" i="48"/>
  <c r="Q12" i="48" s="1"/>
  <c r="W12" i="48" s="1"/>
  <c r="P11" i="48"/>
  <c r="V11" i="48" s="1"/>
  <c r="J11" i="48"/>
  <c r="I10" i="48"/>
  <c r="O10" i="48" s="1"/>
  <c r="E1" i="48"/>
  <c r="E2" i="48" s="1"/>
  <c r="D1" i="48"/>
  <c r="D2" i="48" s="1"/>
  <c r="C1" i="48"/>
  <c r="C2" i="48" s="1"/>
  <c r="B1" i="48"/>
  <c r="B37" i="48" s="1"/>
  <c r="L13" i="47"/>
  <c r="R13" i="47" s="1"/>
  <c r="X13" i="47" s="1"/>
  <c r="K12" i="47"/>
  <c r="Q12" i="47" s="1"/>
  <c r="W12" i="47" s="1"/>
  <c r="P11" i="47"/>
  <c r="V11" i="47" s="1"/>
  <c r="J11" i="47"/>
  <c r="I10" i="47"/>
  <c r="O10" i="47" s="1"/>
  <c r="E1" i="47"/>
  <c r="E2" i="47" s="1"/>
  <c r="D1" i="47"/>
  <c r="D2" i="47" s="1"/>
  <c r="C1" i="47"/>
  <c r="C2" i="47" s="1"/>
  <c r="B1" i="47"/>
  <c r="B37" i="47" s="1"/>
  <c r="L13" i="46"/>
  <c r="R13" i="46" s="1"/>
  <c r="X13" i="46" s="1"/>
  <c r="K12" i="46"/>
  <c r="Q12" i="46" s="1"/>
  <c r="W12" i="46" s="1"/>
  <c r="P11" i="46"/>
  <c r="V11" i="46" s="1"/>
  <c r="J11" i="46"/>
  <c r="I10" i="46"/>
  <c r="O10" i="46" s="1"/>
  <c r="E1" i="46"/>
  <c r="E2" i="46" s="1"/>
  <c r="D1" i="46"/>
  <c r="D2" i="46" s="1"/>
  <c r="C1" i="46"/>
  <c r="C2" i="46" s="1"/>
  <c r="B1" i="46"/>
  <c r="B41" i="45"/>
  <c r="L13" i="45"/>
  <c r="R13" i="45" s="1"/>
  <c r="X13" i="45" s="1"/>
  <c r="K12" i="45"/>
  <c r="Q12" i="45" s="1"/>
  <c r="W12" i="45" s="1"/>
  <c r="P11" i="45"/>
  <c r="V11" i="45" s="1"/>
  <c r="J11" i="45"/>
  <c r="I10" i="45"/>
  <c r="O10" i="45" s="1"/>
  <c r="E1" i="45"/>
  <c r="E2" i="45" s="1"/>
  <c r="D1" i="45"/>
  <c r="D2" i="45" s="1"/>
  <c r="C1" i="45"/>
  <c r="C2" i="45" s="1"/>
  <c r="B1" i="45"/>
  <c r="L13" i="44"/>
  <c r="R13" i="44" s="1"/>
  <c r="X13" i="44" s="1"/>
  <c r="K12" i="44"/>
  <c r="Q12" i="44" s="1"/>
  <c r="W12" i="44" s="1"/>
  <c r="P11" i="44"/>
  <c r="V11" i="44" s="1"/>
  <c r="J11" i="44"/>
  <c r="I10" i="44"/>
  <c r="O10" i="44" s="1"/>
  <c r="E1" i="44"/>
  <c r="E2" i="44" s="1"/>
  <c r="D1" i="44"/>
  <c r="D2" i="44" s="1"/>
  <c r="C1" i="44"/>
  <c r="C2" i="44" s="1"/>
  <c r="B1" i="44"/>
  <c r="B37" i="44" s="1"/>
  <c r="B41" i="43"/>
  <c r="B39" i="43"/>
  <c r="L13" i="43"/>
  <c r="R13" i="43" s="1"/>
  <c r="X13" i="43" s="1"/>
  <c r="K12" i="43"/>
  <c r="Q12" i="43" s="1"/>
  <c r="W12" i="43" s="1"/>
  <c r="P11" i="43"/>
  <c r="V11" i="43" s="1"/>
  <c r="J11" i="43"/>
  <c r="I10" i="43"/>
  <c r="O10" i="43" s="1"/>
  <c r="E1" i="43"/>
  <c r="E2" i="43" s="1"/>
  <c r="D1" i="43"/>
  <c r="D2" i="43" s="1"/>
  <c r="C1" i="43"/>
  <c r="C2" i="43" s="1"/>
  <c r="B1" i="43"/>
  <c r="B37" i="43" s="1"/>
  <c r="L13" i="42"/>
  <c r="R13" i="42" s="1"/>
  <c r="X13" i="42" s="1"/>
  <c r="K12" i="42"/>
  <c r="Q12" i="42" s="1"/>
  <c r="W12" i="42" s="1"/>
  <c r="P11" i="42"/>
  <c r="V11" i="42" s="1"/>
  <c r="J11" i="42"/>
  <c r="I10" i="42"/>
  <c r="O10" i="42" s="1"/>
  <c r="E1" i="42"/>
  <c r="E2" i="42" s="1"/>
  <c r="D1" i="42"/>
  <c r="D2" i="42" s="1"/>
  <c r="C1" i="42"/>
  <c r="C2" i="42" s="1"/>
  <c r="B1" i="42"/>
  <c r="B37" i="42" s="1"/>
  <c r="B41" i="41"/>
  <c r="B39" i="41"/>
  <c r="L13" i="41"/>
  <c r="R13" i="41" s="1"/>
  <c r="X13" i="41" s="1"/>
  <c r="K12" i="41"/>
  <c r="Q12" i="41" s="1"/>
  <c r="W12" i="41" s="1"/>
  <c r="P11" i="41"/>
  <c r="V11" i="41" s="1"/>
  <c r="J11" i="41"/>
  <c r="I10" i="41"/>
  <c r="O10" i="41" s="1"/>
  <c r="E1" i="41"/>
  <c r="E2" i="41" s="1"/>
  <c r="D1" i="41"/>
  <c r="D2" i="41" s="1"/>
  <c r="C1" i="41"/>
  <c r="C2" i="41" s="1"/>
  <c r="B1" i="41"/>
  <c r="B37" i="41" s="1"/>
  <c r="L13" i="40"/>
  <c r="R13" i="40" s="1"/>
  <c r="X13" i="40" s="1"/>
  <c r="K12" i="40"/>
  <c r="Q12" i="40" s="1"/>
  <c r="W12" i="40" s="1"/>
  <c r="P11" i="40"/>
  <c r="V11" i="40" s="1"/>
  <c r="J11" i="40"/>
  <c r="I10" i="40"/>
  <c r="O10" i="40" s="1"/>
  <c r="E1" i="40"/>
  <c r="E2" i="40" s="1"/>
  <c r="D1" i="40"/>
  <c r="D2" i="40" s="1"/>
  <c r="C1" i="40"/>
  <c r="C2" i="40" s="1"/>
  <c r="B1" i="40"/>
  <c r="B37" i="40" s="1"/>
  <c r="B39" i="39"/>
  <c r="L13" i="39"/>
  <c r="R13" i="39" s="1"/>
  <c r="X13" i="39" s="1"/>
  <c r="K12" i="39"/>
  <c r="Q12" i="39" s="1"/>
  <c r="W12" i="39" s="1"/>
  <c r="P11" i="39"/>
  <c r="V11" i="39" s="1"/>
  <c r="J11" i="39"/>
  <c r="I10" i="39"/>
  <c r="O10" i="39" s="1"/>
  <c r="E1" i="39"/>
  <c r="E2" i="39" s="1"/>
  <c r="D1" i="39"/>
  <c r="D2" i="39" s="1"/>
  <c r="C1" i="39"/>
  <c r="C2" i="39" s="1"/>
  <c r="B1" i="39"/>
  <c r="B37" i="39" s="1"/>
  <c r="E1" i="37"/>
  <c r="B42" i="37" s="1"/>
  <c r="D1" i="37"/>
  <c r="C1" i="37"/>
  <c r="B1" i="37"/>
  <c r="X13" i="37"/>
  <c r="W12" i="37"/>
  <c r="V11" i="37"/>
  <c r="U10" i="37"/>
  <c r="R13" i="37"/>
  <c r="Q12" i="37"/>
  <c r="P11" i="37"/>
  <c r="O10" i="37"/>
  <c r="L13" i="37"/>
  <c r="K12" i="37"/>
  <c r="J11" i="37"/>
  <c r="I10" i="37"/>
  <c r="J79" i="26"/>
  <c r="J78" i="26"/>
  <c r="J77" i="26"/>
  <c r="J76" i="26"/>
  <c r="J75" i="26"/>
  <c r="J74" i="26"/>
  <c r="J73" i="26"/>
  <c r="J72" i="26"/>
  <c r="J71" i="26"/>
  <c r="J70" i="26"/>
  <c r="J69" i="26"/>
  <c r="J68" i="26"/>
  <c r="J67" i="26"/>
  <c r="J66" i="26"/>
  <c r="J65" i="26"/>
  <c r="J64" i="26"/>
  <c r="J63" i="26"/>
  <c r="J62" i="26"/>
  <c r="J61" i="26"/>
  <c r="J60" i="26"/>
  <c r="J59" i="26"/>
  <c r="J58" i="26"/>
  <c r="J57" i="26"/>
  <c r="J56" i="26"/>
  <c r="J55" i="26"/>
  <c r="J54" i="26"/>
  <c r="J53" i="26"/>
  <c r="J52" i="26"/>
  <c r="J51" i="26"/>
  <c r="J50" i="26"/>
  <c r="J49" i="26"/>
  <c r="J48" i="26"/>
  <c r="J47" i="26"/>
  <c r="J46" i="26"/>
  <c r="J45" i="26"/>
  <c r="J44" i="26"/>
  <c r="J43" i="26"/>
  <c r="J42" i="26"/>
  <c r="J41" i="26"/>
  <c r="J40" i="26"/>
  <c r="J39" i="26"/>
  <c r="J38" i="26"/>
  <c r="J37" i="26"/>
  <c r="J36" i="26"/>
  <c r="J35" i="26"/>
  <c r="J34" i="26"/>
  <c r="J33" i="26"/>
  <c r="J32" i="26"/>
  <c r="J31" i="26"/>
  <c r="J30" i="26"/>
  <c r="J29" i="26"/>
  <c r="J28" i="26"/>
  <c r="J27" i="26"/>
  <c r="J26" i="26"/>
  <c r="J25" i="26"/>
  <c r="J24" i="26"/>
  <c r="J23" i="26"/>
  <c r="J22" i="26"/>
  <c r="J21" i="26"/>
  <c r="J20" i="26"/>
  <c r="J19" i="26"/>
  <c r="J18" i="26"/>
  <c r="J17" i="26"/>
  <c r="J16" i="26"/>
  <c r="J15" i="26"/>
  <c r="J14" i="26"/>
  <c r="J50" i="34"/>
  <c r="J49" i="34"/>
  <c r="J48" i="34"/>
  <c r="J47" i="34"/>
  <c r="J46" i="34"/>
  <c r="J45" i="34"/>
  <c r="J44" i="34"/>
  <c r="J43" i="34"/>
  <c r="J42" i="34"/>
  <c r="J41" i="34"/>
  <c r="J40" i="34"/>
  <c r="J39" i="34"/>
  <c r="J38" i="34"/>
  <c r="J37" i="34"/>
  <c r="J36" i="34"/>
  <c r="J35" i="34"/>
  <c r="J34" i="34"/>
  <c r="J33" i="34"/>
  <c r="J32" i="34"/>
  <c r="J31" i="34"/>
  <c r="J30" i="34"/>
  <c r="J29" i="34"/>
  <c r="J28" i="34"/>
  <c r="J27" i="34"/>
  <c r="J26" i="34"/>
  <c r="J25" i="34"/>
  <c r="J24" i="34"/>
  <c r="J23" i="34"/>
  <c r="J22" i="34"/>
  <c r="J21" i="34"/>
  <c r="J20" i="34"/>
  <c r="J19" i="34"/>
  <c r="J18" i="34"/>
  <c r="J17" i="34"/>
  <c r="J16" i="34"/>
  <c r="J15" i="34"/>
  <c r="J14" i="34"/>
  <c r="J13" i="34"/>
  <c r="J12" i="34"/>
  <c r="J11" i="34"/>
  <c r="J10" i="34"/>
  <c r="J9" i="34"/>
  <c r="J8" i="34"/>
  <c r="J7" i="34"/>
  <c r="J6" i="34"/>
  <c r="J5" i="34"/>
  <c r="J4" i="34"/>
  <c r="J3" i="34"/>
  <c r="T50" i="34"/>
  <c r="T49" i="34"/>
  <c r="T48" i="34"/>
  <c r="T47" i="34"/>
  <c r="T46" i="34"/>
  <c r="T45" i="34"/>
  <c r="T44" i="34"/>
  <c r="T43" i="34"/>
  <c r="T42" i="34"/>
  <c r="T41" i="34"/>
  <c r="T40" i="34"/>
  <c r="T39" i="34"/>
  <c r="T38" i="34"/>
  <c r="T37" i="34"/>
  <c r="T36" i="34"/>
  <c r="T35" i="34"/>
  <c r="T34" i="34"/>
  <c r="T33" i="34"/>
  <c r="T32" i="34"/>
  <c r="T31" i="34"/>
  <c r="T30" i="34"/>
  <c r="T29" i="34"/>
  <c r="T28" i="34"/>
  <c r="T27" i="34"/>
  <c r="T26" i="34"/>
  <c r="T25" i="34"/>
  <c r="T24" i="34"/>
  <c r="T23" i="34"/>
  <c r="T22" i="34"/>
  <c r="T21" i="34"/>
  <c r="T20" i="34"/>
  <c r="T19" i="34"/>
  <c r="T18" i="34"/>
  <c r="T17" i="34"/>
  <c r="T16" i="34"/>
  <c r="T15" i="34"/>
  <c r="T14" i="34"/>
  <c r="T13" i="34"/>
  <c r="T12" i="34"/>
  <c r="T11" i="34"/>
  <c r="T10" i="34"/>
  <c r="T9" i="34"/>
  <c r="T8" i="34"/>
  <c r="T7" i="34"/>
  <c r="T6" i="34"/>
  <c r="T5" i="34"/>
  <c r="T4" i="34"/>
  <c r="T3" i="34"/>
  <c r="C50" i="34"/>
  <c r="G50" i="34" s="1"/>
  <c r="C49" i="34"/>
  <c r="G49" i="34" s="1"/>
  <c r="C48" i="34"/>
  <c r="G48" i="34" s="1"/>
  <c r="C47" i="34"/>
  <c r="G47" i="34" s="1"/>
  <c r="C46" i="34"/>
  <c r="G46" i="34" s="1"/>
  <c r="C45" i="34"/>
  <c r="G45" i="34" s="1"/>
  <c r="C44" i="34"/>
  <c r="G44" i="34" s="1"/>
  <c r="C43" i="34"/>
  <c r="G43" i="34" s="1"/>
  <c r="C42" i="34"/>
  <c r="G42" i="34" s="1"/>
  <c r="C41" i="34"/>
  <c r="G41" i="34" s="1"/>
  <c r="C40" i="34"/>
  <c r="G40" i="34" s="1"/>
  <c r="C39" i="34"/>
  <c r="G39" i="34" s="1"/>
  <c r="C38" i="34"/>
  <c r="G38" i="34" s="1"/>
  <c r="C37" i="34"/>
  <c r="G37" i="34" s="1"/>
  <c r="C36" i="34"/>
  <c r="G36" i="34" s="1"/>
  <c r="C35" i="34"/>
  <c r="G35" i="34" s="1"/>
  <c r="C34" i="34"/>
  <c r="G34" i="34" s="1"/>
  <c r="C33" i="34"/>
  <c r="G33" i="34" s="1"/>
  <c r="C32" i="34"/>
  <c r="G32" i="34" s="1"/>
  <c r="C31" i="34"/>
  <c r="G31" i="34" s="1"/>
  <c r="D41" i="34" l="1"/>
  <c r="D42" i="34"/>
  <c r="D43" i="34"/>
  <c r="D44" i="34"/>
  <c r="D45" i="34"/>
  <c r="D46" i="34"/>
  <c r="D47" i="34"/>
  <c r="D48" i="34"/>
  <c r="D49" i="34"/>
  <c r="D50" i="34"/>
  <c r="D31" i="34"/>
  <c r="D32" i="34"/>
  <c r="D33" i="34"/>
  <c r="D34" i="34"/>
  <c r="D35" i="34"/>
  <c r="D36" i="34"/>
  <c r="D37" i="34"/>
  <c r="D38" i="34"/>
  <c r="D39" i="34"/>
  <c r="D40" i="34"/>
  <c r="I23" i="34"/>
  <c r="I31" i="34"/>
  <c r="I27" i="34"/>
  <c r="I35" i="34"/>
  <c r="I19" i="34"/>
  <c r="I39" i="34"/>
  <c r="I3" i="34"/>
  <c r="I43" i="34"/>
  <c r="I11" i="34"/>
  <c r="I15" i="34"/>
  <c r="S3" i="34"/>
  <c r="I7" i="34"/>
  <c r="I47" i="34"/>
  <c r="B8" i="52"/>
  <c r="B39" i="44"/>
  <c r="B41" i="44"/>
  <c r="B41" i="39"/>
  <c r="B41" i="40"/>
  <c r="B39" i="40"/>
  <c r="B39" i="42"/>
  <c r="B41" i="42"/>
  <c r="B37" i="45"/>
  <c r="B39" i="45"/>
  <c r="B41" i="46"/>
  <c r="B39" i="46"/>
  <c r="B37" i="46"/>
  <c r="B39" i="47"/>
  <c r="B41" i="47"/>
  <c r="B37" i="49"/>
  <c r="B39" i="49"/>
  <c r="A37" i="49"/>
  <c r="E42" i="49"/>
  <c r="C23" i="49"/>
  <c r="I23" i="49" s="1"/>
  <c r="O23" i="49" s="1"/>
  <c r="U23" i="49" s="1"/>
  <c r="B17" i="49"/>
  <c r="H17" i="49" s="1"/>
  <c r="N17" i="49" s="1"/>
  <c r="T17" i="49" s="1"/>
  <c r="I2" i="49"/>
  <c r="O2" i="49" s="1"/>
  <c r="U2" i="49" s="1"/>
  <c r="B30" i="49"/>
  <c r="D39" i="49"/>
  <c r="B24" i="49"/>
  <c r="H24" i="49" s="1"/>
  <c r="N24" i="49" s="1"/>
  <c r="T24" i="49" s="1"/>
  <c r="C9" i="49"/>
  <c r="I9" i="49" s="1"/>
  <c r="O9" i="49" s="1"/>
  <c r="U9" i="49" s="1"/>
  <c r="H3" i="49"/>
  <c r="N3" i="49" s="1"/>
  <c r="T3" i="49" s="1"/>
  <c r="B10" i="49"/>
  <c r="H10" i="49" s="1"/>
  <c r="N10" i="49" s="1"/>
  <c r="T10" i="49" s="1"/>
  <c r="D37" i="49"/>
  <c r="C16" i="49"/>
  <c r="I16" i="49" s="1"/>
  <c r="O16" i="49" s="1"/>
  <c r="U16" i="49" s="1"/>
  <c r="A39" i="49"/>
  <c r="D23" i="49"/>
  <c r="J23" i="49" s="1"/>
  <c r="P23" i="49" s="1"/>
  <c r="V23" i="49" s="1"/>
  <c r="J2" i="49"/>
  <c r="P2" i="49" s="1"/>
  <c r="V2" i="49" s="1"/>
  <c r="B18" i="49"/>
  <c r="H18" i="49" s="1"/>
  <c r="N18" i="49" s="1"/>
  <c r="T18" i="49" s="1"/>
  <c r="E40" i="49"/>
  <c r="B25" i="49"/>
  <c r="H25" i="49" s="1"/>
  <c r="N25" i="49" s="1"/>
  <c r="T25" i="49" s="1"/>
  <c r="D9" i="49"/>
  <c r="J9" i="49" s="1"/>
  <c r="P9" i="49" s="1"/>
  <c r="V9" i="49" s="1"/>
  <c r="B11" i="49"/>
  <c r="H11" i="49" s="1"/>
  <c r="N11" i="49" s="1"/>
  <c r="T11" i="49" s="1"/>
  <c r="D41" i="49"/>
  <c r="B31" i="49"/>
  <c r="H4" i="49"/>
  <c r="N4" i="49" s="1"/>
  <c r="T4" i="49" s="1"/>
  <c r="A41" i="49"/>
  <c r="E37" i="49"/>
  <c r="D16" i="49"/>
  <c r="J16" i="49" s="1"/>
  <c r="P16" i="49" s="1"/>
  <c r="V16" i="49" s="1"/>
  <c r="E23" i="49"/>
  <c r="K23" i="49" s="1"/>
  <c r="Q23" i="49" s="1"/>
  <c r="W23" i="49" s="1"/>
  <c r="H5" i="49"/>
  <c r="N5" i="49" s="1"/>
  <c r="T5" i="49" s="1"/>
  <c r="K2" i="49"/>
  <c r="Q2" i="49" s="1"/>
  <c r="W2" i="49" s="1"/>
  <c r="B19" i="49"/>
  <c r="H19" i="49" s="1"/>
  <c r="N19" i="49" s="1"/>
  <c r="T19" i="49" s="1"/>
  <c r="B32" i="49"/>
  <c r="E16" i="49"/>
  <c r="K16" i="49" s="1"/>
  <c r="Q16" i="49" s="1"/>
  <c r="W16" i="49" s="1"/>
  <c r="B26" i="49"/>
  <c r="H26" i="49" s="1"/>
  <c r="N26" i="49" s="1"/>
  <c r="T26" i="49" s="1"/>
  <c r="B12" i="49"/>
  <c r="H12" i="49" s="1"/>
  <c r="N12" i="49" s="1"/>
  <c r="T12" i="49" s="1"/>
  <c r="D38" i="49"/>
  <c r="E9" i="49"/>
  <c r="K9" i="49" s="1"/>
  <c r="Q9" i="49" s="1"/>
  <c r="W9" i="49" s="1"/>
  <c r="A38" i="49"/>
  <c r="E41" i="49"/>
  <c r="E39" i="49"/>
  <c r="B20" i="49"/>
  <c r="H20" i="49" s="1"/>
  <c r="N20" i="49" s="1"/>
  <c r="T20" i="49" s="1"/>
  <c r="B13" i="49"/>
  <c r="H13" i="49" s="1"/>
  <c r="N13" i="49" s="1"/>
  <c r="T13" i="49" s="1"/>
  <c r="D42" i="49"/>
  <c r="D40" i="49"/>
  <c r="H6" i="49"/>
  <c r="N6" i="49" s="1"/>
  <c r="T6" i="49" s="1"/>
  <c r="A42" i="49"/>
  <c r="E38" i="49"/>
  <c r="B27" i="49"/>
  <c r="H27" i="49" s="1"/>
  <c r="N27" i="49" s="1"/>
  <c r="T27" i="49" s="1"/>
  <c r="F9" i="49"/>
  <c r="L9" i="49" s="1"/>
  <c r="R9" i="49" s="1"/>
  <c r="X9" i="49" s="1"/>
  <c r="A40" i="49"/>
  <c r="B33" i="49"/>
  <c r="F16" i="49"/>
  <c r="L16" i="49" s="1"/>
  <c r="R16" i="49" s="1"/>
  <c r="X16" i="49" s="1"/>
  <c r="F23" i="49"/>
  <c r="L23" i="49" s="1"/>
  <c r="R23" i="49" s="1"/>
  <c r="X23" i="49" s="1"/>
  <c r="L2" i="49"/>
  <c r="R2" i="49" s="1"/>
  <c r="X2" i="49" s="1"/>
  <c r="U10" i="49"/>
  <c r="B38" i="49"/>
  <c r="B40" i="49"/>
  <c r="B42" i="49"/>
  <c r="D23" i="48"/>
  <c r="J23" i="48" s="1"/>
  <c r="P23" i="48" s="1"/>
  <c r="V23" i="48" s="1"/>
  <c r="J2" i="48"/>
  <c r="P2" i="48" s="1"/>
  <c r="V2" i="48" s="1"/>
  <c r="B18" i="48"/>
  <c r="H18" i="48" s="1"/>
  <c r="N18" i="48" s="1"/>
  <c r="T18" i="48" s="1"/>
  <c r="E40" i="48"/>
  <c r="B25" i="48"/>
  <c r="H25" i="48" s="1"/>
  <c r="N25" i="48" s="1"/>
  <c r="T25" i="48" s="1"/>
  <c r="D9" i="48"/>
  <c r="J9" i="48" s="1"/>
  <c r="P9" i="48" s="1"/>
  <c r="V9" i="48" s="1"/>
  <c r="B11" i="48"/>
  <c r="H11" i="48" s="1"/>
  <c r="N11" i="48" s="1"/>
  <c r="T11" i="48" s="1"/>
  <c r="D41" i="48"/>
  <c r="B31" i="48"/>
  <c r="H4" i="48"/>
  <c r="N4" i="48" s="1"/>
  <c r="T4" i="48" s="1"/>
  <c r="A41" i="48"/>
  <c r="E37" i="48"/>
  <c r="D16" i="48"/>
  <c r="J16" i="48" s="1"/>
  <c r="P16" i="48" s="1"/>
  <c r="V16" i="48" s="1"/>
  <c r="E23" i="48"/>
  <c r="K23" i="48" s="1"/>
  <c r="Q23" i="48" s="1"/>
  <c r="W23" i="48" s="1"/>
  <c r="H5" i="48"/>
  <c r="N5" i="48" s="1"/>
  <c r="T5" i="48" s="1"/>
  <c r="K2" i="48"/>
  <c r="Q2" i="48" s="1"/>
  <c r="W2" i="48" s="1"/>
  <c r="B19" i="48"/>
  <c r="H19" i="48" s="1"/>
  <c r="N19" i="48" s="1"/>
  <c r="T19" i="48" s="1"/>
  <c r="B32" i="48"/>
  <c r="B26" i="48"/>
  <c r="H26" i="48" s="1"/>
  <c r="N26" i="48" s="1"/>
  <c r="T26" i="48" s="1"/>
  <c r="B12" i="48"/>
  <c r="H12" i="48" s="1"/>
  <c r="N12" i="48" s="1"/>
  <c r="T12" i="48" s="1"/>
  <c r="D38" i="48"/>
  <c r="E9" i="48"/>
  <c r="K9" i="48" s="1"/>
  <c r="Q9" i="48" s="1"/>
  <c r="W9" i="48" s="1"/>
  <c r="A38" i="48"/>
  <c r="E41" i="48"/>
  <c r="E39" i="48"/>
  <c r="E16" i="48"/>
  <c r="K16" i="48" s="1"/>
  <c r="Q16" i="48" s="1"/>
  <c r="W16" i="48" s="1"/>
  <c r="B20" i="48"/>
  <c r="H20" i="48" s="1"/>
  <c r="N20" i="48" s="1"/>
  <c r="T20" i="48" s="1"/>
  <c r="B13" i="48"/>
  <c r="H13" i="48" s="1"/>
  <c r="N13" i="48" s="1"/>
  <c r="T13" i="48" s="1"/>
  <c r="D42" i="48"/>
  <c r="D40" i="48"/>
  <c r="H6" i="48"/>
  <c r="N6" i="48" s="1"/>
  <c r="T6" i="48" s="1"/>
  <c r="E38" i="48"/>
  <c r="B27" i="48"/>
  <c r="H27" i="48" s="1"/>
  <c r="N27" i="48" s="1"/>
  <c r="T27" i="48" s="1"/>
  <c r="F9" i="48"/>
  <c r="L9" i="48" s="1"/>
  <c r="R9" i="48" s="1"/>
  <c r="X9" i="48" s="1"/>
  <c r="A40" i="48"/>
  <c r="B33" i="48"/>
  <c r="F16" i="48"/>
  <c r="L16" i="48" s="1"/>
  <c r="R16" i="48" s="1"/>
  <c r="X16" i="48" s="1"/>
  <c r="F23" i="48"/>
  <c r="L23" i="48" s="1"/>
  <c r="R23" i="48" s="1"/>
  <c r="X23" i="48" s="1"/>
  <c r="L2" i="48"/>
  <c r="R2" i="48" s="1"/>
  <c r="X2" i="48" s="1"/>
  <c r="U10" i="48"/>
  <c r="B38" i="48"/>
  <c r="B40" i="48"/>
  <c r="B2" i="48"/>
  <c r="A42" i="48" s="1"/>
  <c r="B42" i="48"/>
  <c r="D23" i="47"/>
  <c r="J23" i="47" s="1"/>
  <c r="P23" i="47" s="1"/>
  <c r="V23" i="47" s="1"/>
  <c r="J2" i="47"/>
  <c r="P2" i="47" s="1"/>
  <c r="V2" i="47" s="1"/>
  <c r="B18" i="47"/>
  <c r="H18" i="47" s="1"/>
  <c r="N18" i="47" s="1"/>
  <c r="T18" i="47" s="1"/>
  <c r="E40" i="47"/>
  <c r="B25" i="47"/>
  <c r="H25" i="47" s="1"/>
  <c r="N25" i="47" s="1"/>
  <c r="T25" i="47" s="1"/>
  <c r="D9" i="47"/>
  <c r="J9" i="47" s="1"/>
  <c r="P9" i="47" s="1"/>
  <c r="V9" i="47" s="1"/>
  <c r="B11" i="47"/>
  <c r="H11" i="47" s="1"/>
  <c r="N11" i="47" s="1"/>
  <c r="T11" i="47" s="1"/>
  <c r="D41" i="47"/>
  <c r="B31" i="47"/>
  <c r="H4" i="47"/>
  <c r="N4" i="47" s="1"/>
  <c r="T4" i="47" s="1"/>
  <c r="A41" i="47"/>
  <c r="E37" i="47"/>
  <c r="D16" i="47"/>
  <c r="J16" i="47" s="1"/>
  <c r="P16" i="47" s="1"/>
  <c r="V16" i="47" s="1"/>
  <c r="E23" i="47"/>
  <c r="K23" i="47" s="1"/>
  <c r="Q23" i="47" s="1"/>
  <c r="W23" i="47" s="1"/>
  <c r="H5" i="47"/>
  <c r="N5" i="47" s="1"/>
  <c r="T5" i="47" s="1"/>
  <c r="K2" i="47"/>
  <c r="Q2" i="47" s="1"/>
  <c r="W2" i="47" s="1"/>
  <c r="B19" i="47"/>
  <c r="H19" i="47" s="1"/>
  <c r="N19" i="47" s="1"/>
  <c r="T19" i="47" s="1"/>
  <c r="B32" i="47"/>
  <c r="B26" i="47"/>
  <c r="H26" i="47" s="1"/>
  <c r="N26" i="47" s="1"/>
  <c r="T26" i="47" s="1"/>
  <c r="B12" i="47"/>
  <c r="H12" i="47" s="1"/>
  <c r="N12" i="47" s="1"/>
  <c r="T12" i="47" s="1"/>
  <c r="D38" i="47"/>
  <c r="E9" i="47"/>
  <c r="K9" i="47" s="1"/>
  <c r="Q9" i="47" s="1"/>
  <c r="W9" i="47" s="1"/>
  <c r="A38" i="47"/>
  <c r="E41" i="47"/>
  <c r="E39" i="47"/>
  <c r="E16" i="47"/>
  <c r="K16" i="47" s="1"/>
  <c r="Q16" i="47" s="1"/>
  <c r="W16" i="47" s="1"/>
  <c r="B20" i="47"/>
  <c r="H20" i="47" s="1"/>
  <c r="N20" i="47" s="1"/>
  <c r="T20" i="47" s="1"/>
  <c r="B13" i="47"/>
  <c r="H13" i="47" s="1"/>
  <c r="N13" i="47" s="1"/>
  <c r="T13" i="47" s="1"/>
  <c r="D42" i="47"/>
  <c r="D40" i="47"/>
  <c r="H6" i="47"/>
  <c r="N6" i="47" s="1"/>
  <c r="T6" i="47" s="1"/>
  <c r="E38" i="47"/>
  <c r="B27" i="47"/>
  <c r="H27" i="47" s="1"/>
  <c r="N27" i="47" s="1"/>
  <c r="T27" i="47" s="1"/>
  <c r="F9" i="47"/>
  <c r="L9" i="47" s="1"/>
  <c r="R9" i="47" s="1"/>
  <c r="X9" i="47" s="1"/>
  <c r="A40" i="47"/>
  <c r="B33" i="47"/>
  <c r="F16" i="47"/>
  <c r="L16" i="47" s="1"/>
  <c r="R16" i="47" s="1"/>
  <c r="X16" i="47" s="1"/>
  <c r="F23" i="47"/>
  <c r="L23" i="47" s="1"/>
  <c r="R23" i="47" s="1"/>
  <c r="X23" i="47" s="1"/>
  <c r="L2" i="47"/>
  <c r="R2" i="47" s="1"/>
  <c r="X2" i="47" s="1"/>
  <c r="U10" i="47"/>
  <c r="B38" i="47"/>
  <c r="B40" i="47"/>
  <c r="B2" i="47"/>
  <c r="A42" i="47" s="1"/>
  <c r="B42" i="47"/>
  <c r="D23" i="46"/>
  <c r="J23" i="46" s="1"/>
  <c r="P23" i="46" s="1"/>
  <c r="V23" i="46" s="1"/>
  <c r="J2" i="46"/>
  <c r="P2" i="46" s="1"/>
  <c r="V2" i="46" s="1"/>
  <c r="B18" i="46"/>
  <c r="H18" i="46" s="1"/>
  <c r="N18" i="46" s="1"/>
  <c r="T18" i="46" s="1"/>
  <c r="E40" i="46"/>
  <c r="B25" i="46"/>
  <c r="H25" i="46" s="1"/>
  <c r="N25" i="46" s="1"/>
  <c r="T25" i="46" s="1"/>
  <c r="D9" i="46"/>
  <c r="J9" i="46" s="1"/>
  <c r="P9" i="46" s="1"/>
  <c r="V9" i="46" s="1"/>
  <c r="B11" i="46"/>
  <c r="H11" i="46" s="1"/>
  <c r="N11" i="46" s="1"/>
  <c r="T11" i="46" s="1"/>
  <c r="D41" i="46"/>
  <c r="B31" i="46"/>
  <c r="H4" i="46"/>
  <c r="N4" i="46" s="1"/>
  <c r="T4" i="46" s="1"/>
  <c r="A41" i="46"/>
  <c r="E37" i="46"/>
  <c r="D16" i="46"/>
  <c r="J16" i="46" s="1"/>
  <c r="P16" i="46" s="1"/>
  <c r="V16" i="46" s="1"/>
  <c r="E23" i="46"/>
  <c r="K23" i="46" s="1"/>
  <c r="Q23" i="46" s="1"/>
  <c r="W23" i="46" s="1"/>
  <c r="H5" i="46"/>
  <c r="N5" i="46" s="1"/>
  <c r="T5" i="46" s="1"/>
  <c r="K2" i="46"/>
  <c r="Q2" i="46" s="1"/>
  <c r="W2" i="46" s="1"/>
  <c r="B19" i="46"/>
  <c r="H19" i="46" s="1"/>
  <c r="N19" i="46" s="1"/>
  <c r="T19" i="46" s="1"/>
  <c r="B32" i="46"/>
  <c r="B26" i="46"/>
  <c r="H26" i="46" s="1"/>
  <c r="N26" i="46" s="1"/>
  <c r="T26" i="46" s="1"/>
  <c r="B12" i="46"/>
  <c r="H12" i="46" s="1"/>
  <c r="N12" i="46" s="1"/>
  <c r="T12" i="46" s="1"/>
  <c r="D38" i="46"/>
  <c r="E9" i="46"/>
  <c r="K9" i="46" s="1"/>
  <c r="Q9" i="46" s="1"/>
  <c r="W9" i="46" s="1"/>
  <c r="A38" i="46"/>
  <c r="E41" i="46"/>
  <c r="E39" i="46"/>
  <c r="E16" i="46"/>
  <c r="K16" i="46" s="1"/>
  <c r="Q16" i="46" s="1"/>
  <c r="W16" i="46" s="1"/>
  <c r="B20" i="46"/>
  <c r="H20" i="46" s="1"/>
  <c r="N20" i="46" s="1"/>
  <c r="T20" i="46" s="1"/>
  <c r="B13" i="46"/>
  <c r="H13" i="46" s="1"/>
  <c r="N13" i="46" s="1"/>
  <c r="T13" i="46" s="1"/>
  <c r="D42" i="46"/>
  <c r="D40" i="46"/>
  <c r="H6" i="46"/>
  <c r="N6" i="46" s="1"/>
  <c r="T6" i="46" s="1"/>
  <c r="E38" i="46"/>
  <c r="B27" i="46"/>
  <c r="H27" i="46" s="1"/>
  <c r="N27" i="46" s="1"/>
  <c r="T27" i="46" s="1"/>
  <c r="F9" i="46"/>
  <c r="L9" i="46" s="1"/>
  <c r="R9" i="46" s="1"/>
  <c r="X9" i="46" s="1"/>
  <c r="A40" i="46"/>
  <c r="B33" i="46"/>
  <c r="F16" i="46"/>
  <c r="L16" i="46" s="1"/>
  <c r="R16" i="46" s="1"/>
  <c r="X16" i="46" s="1"/>
  <c r="F23" i="46"/>
  <c r="L23" i="46" s="1"/>
  <c r="R23" i="46" s="1"/>
  <c r="X23" i="46" s="1"/>
  <c r="L2" i="46"/>
  <c r="R2" i="46" s="1"/>
  <c r="X2" i="46" s="1"/>
  <c r="U10" i="46"/>
  <c r="B38" i="46"/>
  <c r="B40" i="46"/>
  <c r="B2" i="46"/>
  <c r="A42" i="46" s="1"/>
  <c r="B42" i="46"/>
  <c r="D23" i="45"/>
  <c r="J23" i="45" s="1"/>
  <c r="P23" i="45" s="1"/>
  <c r="V23" i="45" s="1"/>
  <c r="J2" i="45"/>
  <c r="P2" i="45" s="1"/>
  <c r="V2" i="45" s="1"/>
  <c r="B18" i="45"/>
  <c r="H18" i="45" s="1"/>
  <c r="N18" i="45" s="1"/>
  <c r="T18" i="45" s="1"/>
  <c r="E40" i="45"/>
  <c r="B25" i="45"/>
  <c r="H25" i="45" s="1"/>
  <c r="N25" i="45" s="1"/>
  <c r="T25" i="45" s="1"/>
  <c r="D9" i="45"/>
  <c r="J9" i="45" s="1"/>
  <c r="P9" i="45" s="1"/>
  <c r="V9" i="45" s="1"/>
  <c r="B11" i="45"/>
  <c r="H11" i="45" s="1"/>
  <c r="N11" i="45" s="1"/>
  <c r="T11" i="45" s="1"/>
  <c r="D41" i="45"/>
  <c r="B31" i="45"/>
  <c r="H4" i="45"/>
  <c r="N4" i="45" s="1"/>
  <c r="T4" i="45" s="1"/>
  <c r="A41" i="45"/>
  <c r="E37" i="45"/>
  <c r="D16" i="45"/>
  <c r="J16" i="45" s="1"/>
  <c r="P16" i="45" s="1"/>
  <c r="V16" i="45" s="1"/>
  <c r="E23" i="45"/>
  <c r="K23" i="45" s="1"/>
  <c r="Q23" i="45" s="1"/>
  <c r="W23" i="45" s="1"/>
  <c r="H5" i="45"/>
  <c r="N5" i="45" s="1"/>
  <c r="T5" i="45" s="1"/>
  <c r="K2" i="45"/>
  <c r="Q2" i="45" s="1"/>
  <c r="W2" i="45" s="1"/>
  <c r="B19" i="45"/>
  <c r="H19" i="45" s="1"/>
  <c r="N19" i="45" s="1"/>
  <c r="T19" i="45" s="1"/>
  <c r="B32" i="45"/>
  <c r="B26" i="45"/>
  <c r="H26" i="45" s="1"/>
  <c r="N26" i="45" s="1"/>
  <c r="T26" i="45" s="1"/>
  <c r="B12" i="45"/>
  <c r="H12" i="45" s="1"/>
  <c r="N12" i="45" s="1"/>
  <c r="T12" i="45" s="1"/>
  <c r="D38" i="45"/>
  <c r="E9" i="45"/>
  <c r="K9" i="45" s="1"/>
  <c r="Q9" i="45" s="1"/>
  <c r="W9" i="45" s="1"/>
  <c r="A38" i="45"/>
  <c r="E41" i="45"/>
  <c r="E39" i="45"/>
  <c r="E16" i="45"/>
  <c r="K16" i="45" s="1"/>
  <c r="Q16" i="45" s="1"/>
  <c r="W16" i="45" s="1"/>
  <c r="B20" i="45"/>
  <c r="H20" i="45" s="1"/>
  <c r="N20" i="45" s="1"/>
  <c r="T20" i="45" s="1"/>
  <c r="B13" i="45"/>
  <c r="H13" i="45" s="1"/>
  <c r="N13" i="45" s="1"/>
  <c r="T13" i="45" s="1"/>
  <c r="D42" i="45"/>
  <c r="D40" i="45"/>
  <c r="H6" i="45"/>
  <c r="N6" i="45" s="1"/>
  <c r="T6" i="45" s="1"/>
  <c r="E38" i="45"/>
  <c r="B27" i="45"/>
  <c r="H27" i="45" s="1"/>
  <c r="N27" i="45" s="1"/>
  <c r="T27" i="45" s="1"/>
  <c r="F9" i="45"/>
  <c r="L9" i="45" s="1"/>
  <c r="R9" i="45" s="1"/>
  <c r="X9" i="45" s="1"/>
  <c r="A40" i="45"/>
  <c r="B33" i="45"/>
  <c r="F16" i="45"/>
  <c r="L16" i="45" s="1"/>
  <c r="R16" i="45" s="1"/>
  <c r="X16" i="45" s="1"/>
  <c r="F23" i="45"/>
  <c r="L23" i="45" s="1"/>
  <c r="R23" i="45" s="1"/>
  <c r="X23" i="45" s="1"/>
  <c r="L2" i="45"/>
  <c r="R2" i="45" s="1"/>
  <c r="X2" i="45" s="1"/>
  <c r="U10" i="45"/>
  <c r="B38" i="45"/>
  <c r="B40" i="45"/>
  <c r="B2" i="45"/>
  <c r="A42" i="45" s="1"/>
  <c r="B42" i="45"/>
  <c r="D23" i="44"/>
  <c r="J23" i="44" s="1"/>
  <c r="P23" i="44" s="1"/>
  <c r="V23" i="44" s="1"/>
  <c r="J2" i="44"/>
  <c r="P2" i="44" s="1"/>
  <c r="V2" i="44" s="1"/>
  <c r="B18" i="44"/>
  <c r="H18" i="44" s="1"/>
  <c r="N18" i="44" s="1"/>
  <c r="T18" i="44" s="1"/>
  <c r="E40" i="44"/>
  <c r="B25" i="44"/>
  <c r="H25" i="44" s="1"/>
  <c r="N25" i="44" s="1"/>
  <c r="T25" i="44" s="1"/>
  <c r="D9" i="44"/>
  <c r="J9" i="44" s="1"/>
  <c r="P9" i="44" s="1"/>
  <c r="V9" i="44" s="1"/>
  <c r="B11" i="44"/>
  <c r="H11" i="44" s="1"/>
  <c r="N11" i="44" s="1"/>
  <c r="T11" i="44" s="1"/>
  <c r="D41" i="44"/>
  <c r="B31" i="44"/>
  <c r="H4" i="44"/>
  <c r="N4" i="44" s="1"/>
  <c r="T4" i="44" s="1"/>
  <c r="A41" i="44"/>
  <c r="E37" i="44"/>
  <c r="D16" i="44"/>
  <c r="J16" i="44" s="1"/>
  <c r="P16" i="44" s="1"/>
  <c r="V16" i="44" s="1"/>
  <c r="E23" i="44"/>
  <c r="K23" i="44" s="1"/>
  <c r="Q23" i="44" s="1"/>
  <c r="W23" i="44" s="1"/>
  <c r="H5" i="44"/>
  <c r="N5" i="44" s="1"/>
  <c r="T5" i="44" s="1"/>
  <c r="K2" i="44"/>
  <c r="Q2" i="44" s="1"/>
  <c r="W2" i="44" s="1"/>
  <c r="B19" i="44"/>
  <c r="H19" i="44" s="1"/>
  <c r="N19" i="44" s="1"/>
  <c r="T19" i="44" s="1"/>
  <c r="B32" i="44"/>
  <c r="B26" i="44"/>
  <c r="H26" i="44" s="1"/>
  <c r="N26" i="44" s="1"/>
  <c r="T26" i="44" s="1"/>
  <c r="B12" i="44"/>
  <c r="H12" i="44" s="1"/>
  <c r="N12" i="44" s="1"/>
  <c r="T12" i="44" s="1"/>
  <c r="D38" i="44"/>
  <c r="E9" i="44"/>
  <c r="K9" i="44" s="1"/>
  <c r="Q9" i="44" s="1"/>
  <c r="W9" i="44" s="1"/>
  <c r="A38" i="44"/>
  <c r="E41" i="44"/>
  <c r="E39" i="44"/>
  <c r="E16" i="44"/>
  <c r="K16" i="44" s="1"/>
  <c r="Q16" i="44" s="1"/>
  <c r="W16" i="44" s="1"/>
  <c r="B20" i="44"/>
  <c r="H20" i="44" s="1"/>
  <c r="N20" i="44" s="1"/>
  <c r="T20" i="44" s="1"/>
  <c r="B13" i="44"/>
  <c r="H13" i="44" s="1"/>
  <c r="N13" i="44" s="1"/>
  <c r="T13" i="44" s="1"/>
  <c r="D42" i="44"/>
  <c r="F23" i="44"/>
  <c r="L23" i="44" s="1"/>
  <c r="R23" i="44" s="1"/>
  <c r="X23" i="44" s="1"/>
  <c r="L2" i="44"/>
  <c r="R2" i="44" s="1"/>
  <c r="X2" i="44" s="1"/>
  <c r="D40" i="44"/>
  <c r="H6" i="44"/>
  <c r="N6" i="44" s="1"/>
  <c r="T6" i="44" s="1"/>
  <c r="E38" i="44"/>
  <c r="B27" i="44"/>
  <c r="H27" i="44" s="1"/>
  <c r="N27" i="44" s="1"/>
  <c r="T27" i="44" s="1"/>
  <c r="F9" i="44"/>
  <c r="L9" i="44" s="1"/>
  <c r="R9" i="44" s="1"/>
  <c r="X9" i="44" s="1"/>
  <c r="A40" i="44"/>
  <c r="B33" i="44"/>
  <c r="F16" i="44"/>
  <c r="L16" i="44" s="1"/>
  <c r="R16" i="44" s="1"/>
  <c r="X16" i="44" s="1"/>
  <c r="U10" i="44"/>
  <c r="B38" i="44"/>
  <c r="B40" i="44"/>
  <c r="B2" i="44"/>
  <c r="A42" i="44" s="1"/>
  <c r="B42" i="44"/>
  <c r="D23" i="43"/>
  <c r="J23" i="43" s="1"/>
  <c r="P23" i="43" s="1"/>
  <c r="V23" i="43" s="1"/>
  <c r="J2" i="43"/>
  <c r="P2" i="43" s="1"/>
  <c r="V2" i="43" s="1"/>
  <c r="B18" i="43"/>
  <c r="H18" i="43" s="1"/>
  <c r="N18" i="43" s="1"/>
  <c r="T18" i="43" s="1"/>
  <c r="E40" i="43"/>
  <c r="B25" i="43"/>
  <c r="H25" i="43" s="1"/>
  <c r="N25" i="43" s="1"/>
  <c r="T25" i="43" s="1"/>
  <c r="D9" i="43"/>
  <c r="J9" i="43" s="1"/>
  <c r="P9" i="43" s="1"/>
  <c r="V9" i="43" s="1"/>
  <c r="B11" i="43"/>
  <c r="H11" i="43" s="1"/>
  <c r="N11" i="43" s="1"/>
  <c r="T11" i="43" s="1"/>
  <c r="D41" i="43"/>
  <c r="B31" i="43"/>
  <c r="H4" i="43"/>
  <c r="N4" i="43" s="1"/>
  <c r="T4" i="43" s="1"/>
  <c r="A41" i="43"/>
  <c r="E37" i="43"/>
  <c r="D16" i="43"/>
  <c r="J16" i="43" s="1"/>
  <c r="P16" i="43" s="1"/>
  <c r="V16" i="43" s="1"/>
  <c r="E23" i="43"/>
  <c r="K23" i="43" s="1"/>
  <c r="Q23" i="43" s="1"/>
  <c r="W23" i="43" s="1"/>
  <c r="H5" i="43"/>
  <c r="N5" i="43" s="1"/>
  <c r="T5" i="43" s="1"/>
  <c r="K2" i="43"/>
  <c r="Q2" i="43" s="1"/>
  <c r="W2" i="43" s="1"/>
  <c r="B19" i="43"/>
  <c r="H19" i="43" s="1"/>
  <c r="N19" i="43" s="1"/>
  <c r="T19" i="43" s="1"/>
  <c r="B32" i="43"/>
  <c r="B26" i="43"/>
  <c r="H26" i="43" s="1"/>
  <c r="N26" i="43" s="1"/>
  <c r="T26" i="43" s="1"/>
  <c r="B12" i="43"/>
  <c r="H12" i="43" s="1"/>
  <c r="N12" i="43" s="1"/>
  <c r="T12" i="43" s="1"/>
  <c r="D38" i="43"/>
  <c r="E9" i="43"/>
  <c r="K9" i="43" s="1"/>
  <c r="Q9" i="43" s="1"/>
  <c r="W9" i="43" s="1"/>
  <c r="A38" i="43"/>
  <c r="E41" i="43"/>
  <c r="E39" i="43"/>
  <c r="E16" i="43"/>
  <c r="K16" i="43" s="1"/>
  <c r="Q16" i="43" s="1"/>
  <c r="W16" i="43" s="1"/>
  <c r="B20" i="43"/>
  <c r="H20" i="43" s="1"/>
  <c r="N20" i="43" s="1"/>
  <c r="T20" i="43" s="1"/>
  <c r="B13" i="43"/>
  <c r="H13" i="43" s="1"/>
  <c r="N13" i="43" s="1"/>
  <c r="T13" i="43" s="1"/>
  <c r="D42" i="43"/>
  <c r="D40" i="43"/>
  <c r="H6" i="43"/>
  <c r="N6" i="43" s="1"/>
  <c r="T6" i="43" s="1"/>
  <c r="E38" i="43"/>
  <c r="B27" i="43"/>
  <c r="H27" i="43" s="1"/>
  <c r="N27" i="43" s="1"/>
  <c r="T27" i="43" s="1"/>
  <c r="F9" i="43"/>
  <c r="L9" i="43" s="1"/>
  <c r="R9" i="43" s="1"/>
  <c r="X9" i="43" s="1"/>
  <c r="A40" i="43"/>
  <c r="B33" i="43"/>
  <c r="F16" i="43"/>
  <c r="L16" i="43" s="1"/>
  <c r="R16" i="43" s="1"/>
  <c r="X16" i="43" s="1"/>
  <c r="F23" i="43"/>
  <c r="L23" i="43" s="1"/>
  <c r="R23" i="43" s="1"/>
  <c r="X23" i="43" s="1"/>
  <c r="L2" i="43"/>
  <c r="R2" i="43" s="1"/>
  <c r="X2" i="43" s="1"/>
  <c r="U10" i="43"/>
  <c r="B38" i="43"/>
  <c r="B40" i="43"/>
  <c r="B2" i="43"/>
  <c r="A42" i="43" s="1"/>
  <c r="B42" i="43"/>
  <c r="D23" i="42"/>
  <c r="J23" i="42" s="1"/>
  <c r="P23" i="42" s="1"/>
  <c r="V23" i="42" s="1"/>
  <c r="J2" i="42"/>
  <c r="P2" i="42" s="1"/>
  <c r="V2" i="42" s="1"/>
  <c r="B18" i="42"/>
  <c r="H18" i="42" s="1"/>
  <c r="N18" i="42" s="1"/>
  <c r="T18" i="42" s="1"/>
  <c r="E40" i="42"/>
  <c r="B25" i="42"/>
  <c r="H25" i="42" s="1"/>
  <c r="N25" i="42" s="1"/>
  <c r="T25" i="42" s="1"/>
  <c r="D9" i="42"/>
  <c r="J9" i="42" s="1"/>
  <c r="P9" i="42" s="1"/>
  <c r="V9" i="42" s="1"/>
  <c r="B11" i="42"/>
  <c r="H11" i="42" s="1"/>
  <c r="N11" i="42" s="1"/>
  <c r="T11" i="42" s="1"/>
  <c r="D41" i="42"/>
  <c r="B31" i="42"/>
  <c r="H4" i="42"/>
  <c r="N4" i="42" s="1"/>
  <c r="T4" i="42" s="1"/>
  <c r="A41" i="42"/>
  <c r="E37" i="42"/>
  <c r="D16" i="42"/>
  <c r="J16" i="42" s="1"/>
  <c r="P16" i="42" s="1"/>
  <c r="V16" i="42" s="1"/>
  <c r="E23" i="42"/>
  <c r="K23" i="42" s="1"/>
  <c r="Q23" i="42" s="1"/>
  <c r="W23" i="42" s="1"/>
  <c r="H5" i="42"/>
  <c r="N5" i="42" s="1"/>
  <c r="T5" i="42" s="1"/>
  <c r="K2" i="42"/>
  <c r="Q2" i="42" s="1"/>
  <c r="W2" i="42" s="1"/>
  <c r="B19" i="42"/>
  <c r="H19" i="42" s="1"/>
  <c r="N19" i="42" s="1"/>
  <c r="T19" i="42" s="1"/>
  <c r="B32" i="42"/>
  <c r="B26" i="42"/>
  <c r="H26" i="42" s="1"/>
  <c r="N26" i="42" s="1"/>
  <c r="T26" i="42" s="1"/>
  <c r="B12" i="42"/>
  <c r="H12" i="42" s="1"/>
  <c r="N12" i="42" s="1"/>
  <c r="T12" i="42" s="1"/>
  <c r="D38" i="42"/>
  <c r="E9" i="42"/>
  <c r="K9" i="42" s="1"/>
  <c r="Q9" i="42" s="1"/>
  <c r="W9" i="42" s="1"/>
  <c r="A38" i="42"/>
  <c r="E41" i="42"/>
  <c r="E39" i="42"/>
  <c r="E16" i="42"/>
  <c r="K16" i="42" s="1"/>
  <c r="Q16" i="42" s="1"/>
  <c r="W16" i="42" s="1"/>
  <c r="B20" i="42"/>
  <c r="H20" i="42" s="1"/>
  <c r="N20" i="42" s="1"/>
  <c r="T20" i="42" s="1"/>
  <c r="B13" i="42"/>
  <c r="H13" i="42" s="1"/>
  <c r="N13" i="42" s="1"/>
  <c r="T13" i="42" s="1"/>
  <c r="D42" i="42"/>
  <c r="D40" i="42"/>
  <c r="H6" i="42"/>
  <c r="N6" i="42" s="1"/>
  <c r="T6" i="42" s="1"/>
  <c r="E38" i="42"/>
  <c r="B27" i="42"/>
  <c r="H27" i="42" s="1"/>
  <c r="N27" i="42" s="1"/>
  <c r="T27" i="42" s="1"/>
  <c r="F9" i="42"/>
  <c r="L9" i="42" s="1"/>
  <c r="R9" i="42" s="1"/>
  <c r="X9" i="42" s="1"/>
  <c r="A40" i="42"/>
  <c r="B33" i="42"/>
  <c r="F16" i="42"/>
  <c r="L16" i="42" s="1"/>
  <c r="R16" i="42" s="1"/>
  <c r="X16" i="42" s="1"/>
  <c r="F23" i="42"/>
  <c r="L23" i="42" s="1"/>
  <c r="R23" i="42" s="1"/>
  <c r="X23" i="42" s="1"/>
  <c r="L2" i="42"/>
  <c r="R2" i="42" s="1"/>
  <c r="X2" i="42" s="1"/>
  <c r="U10" i="42"/>
  <c r="B38" i="42"/>
  <c r="B40" i="42"/>
  <c r="B2" i="42"/>
  <c r="A42" i="42" s="1"/>
  <c r="B42" i="42"/>
  <c r="D23" i="41"/>
  <c r="J23" i="41" s="1"/>
  <c r="P23" i="41" s="1"/>
  <c r="V23" i="41" s="1"/>
  <c r="J2" i="41"/>
  <c r="P2" i="41" s="1"/>
  <c r="V2" i="41" s="1"/>
  <c r="B18" i="41"/>
  <c r="H18" i="41" s="1"/>
  <c r="N18" i="41" s="1"/>
  <c r="T18" i="41" s="1"/>
  <c r="E40" i="41"/>
  <c r="B25" i="41"/>
  <c r="H25" i="41" s="1"/>
  <c r="N25" i="41" s="1"/>
  <c r="T25" i="41" s="1"/>
  <c r="D9" i="41"/>
  <c r="J9" i="41" s="1"/>
  <c r="P9" i="41" s="1"/>
  <c r="V9" i="41" s="1"/>
  <c r="B11" i="41"/>
  <c r="H11" i="41" s="1"/>
  <c r="N11" i="41" s="1"/>
  <c r="T11" i="41" s="1"/>
  <c r="D41" i="41"/>
  <c r="B31" i="41"/>
  <c r="H4" i="41"/>
  <c r="N4" i="41" s="1"/>
  <c r="T4" i="41" s="1"/>
  <c r="A41" i="41"/>
  <c r="E37" i="41"/>
  <c r="D16" i="41"/>
  <c r="J16" i="41" s="1"/>
  <c r="P16" i="41" s="1"/>
  <c r="V16" i="41" s="1"/>
  <c r="E23" i="41"/>
  <c r="K23" i="41" s="1"/>
  <c r="Q23" i="41" s="1"/>
  <c r="W23" i="41" s="1"/>
  <c r="H5" i="41"/>
  <c r="N5" i="41" s="1"/>
  <c r="T5" i="41" s="1"/>
  <c r="K2" i="41"/>
  <c r="Q2" i="41" s="1"/>
  <c r="W2" i="41" s="1"/>
  <c r="B19" i="41"/>
  <c r="H19" i="41" s="1"/>
  <c r="N19" i="41" s="1"/>
  <c r="T19" i="41" s="1"/>
  <c r="B32" i="41"/>
  <c r="B26" i="41"/>
  <c r="H26" i="41" s="1"/>
  <c r="N26" i="41" s="1"/>
  <c r="T26" i="41" s="1"/>
  <c r="B12" i="41"/>
  <c r="H12" i="41" s="1"/>
  <c r="N12" i="41" s="1"/>
  <c r="T12" i="41" s="1"/>
  <c r="D38" i="41"/>
  <c r="E9" i="41"/>
  <c r="K9" i="41" s="1"/>
  <c r="Q9" i="41" s="1"/>
  <c r="W9" i="41" s="1"/>
  <c r="A38" i="41"/>
  <c r="E41" i="41"/>
  <c r="E39" i="41"/>
  <c r="E16" i="41"/>
  <c r="K16" i="41" s="1"/>
  <c r="Q16" i="41" s="1"/>
  <c r="W16" i="41" s="1"/>
  <c r="B20" i="41"/>
  <c r="H20" i="41" s="1"/>
  <c r="N20" i="41" s="1"/>
  <c r="T20" i="41" s="1"/>
  <c r="B13" i="41"/>
  <c r="H13" i="41" s="1"/>
  <c r="N13" i="41" s="1"/>
  <c r="T13" i="41" s="1"/>
  <c r="D42" i="41"/>
  <c r="D40" i="41"/>
  <c r="H6" i="41"/>
  <c r="N6" i="41" s="1"/>
  <c r="T6" i="41" s="1"/>
  <c r="E38" i="41"/>
  <c r="B27" i="41"/>
  <c r="H27" i="41" s="1"/>
  <c r="N27" i="41" s="1"/>
  <c r="T27" i="41" s="1"/>
  <c r="F9" i="41"/>
  <c r="L9" i="41" s="1"/>
  <c r="R9" i="41" s="1"/>
  <c r="X9" i="41" s="1"/>
  <c r="A40" i="41"/>
  <c r="B33" i="41"/>
  <c r="F16" i="41"/>
  <c r="L16" i="41" s="1"/>
  <c r="R16" i="41" s="1"/>
  <c r="X16" i="41" s="1"/>
  <c r="F23" i="41"/>
  <c r="L23" i="41" s="1"/>
  <c r="R23" i="41" s="1"/>
  <c r="X23" i="41" s="1"/>
  <c r="L2" i="41"/>
  <c r="R2" i="41" s="1"/>
  <c r="X2" i="41" s="1"/>
  <c r="U10" i="41"/>
  <c r="B38" i="41"/>
  <c r="B40" i="41"/>
  <c r="B2" i="41"/>
  <c r="A42" i="41" s="1"/>
  <c r="B42" i="41"/>
  <c r="D23" i="40"/>
  <c r="J23" i="40" s="1"/>
  <c r="P23" i="40" s="1"/>
  <c r="V23" i="40" s="1"/>
  <c r="J2" i="40"/>
  <c r="P2" i="40" s="1"/>
  <c r="V2" i="40" s="1"/>
  <c r="B18" i="40"/>
  <c r="H18" i="40" s="1"/>
  <c r="N18" i="40" s="1"/>
  <c r="T18" i="40" s="1"/>
  <c r="E40" i="40"/>
  <c r="B25" i="40"/>
  <c r="H25" i="40" s="1"/>
  <c r="N25" i="40" s="1"/>
  <c r="T25" i="40" s="1"/>
  <c r="D9" i="40"/>
  <c r="J9" i="40" s="1"/>
  <c r="P9" i="40" s="1"/>
  <c r="V9" i="40" s="1"/>
  <c r="B11" i="40"/>
  <c r="H11" i="40" s="1"/>
  <c r="N11" i="40" s="1"/>
  <c r="T11" i="40" s="1"/>
  <c r="D41" i="40"/>
  <c r="B31" i="40"/>
  <c r="H4" i="40"/>
  <c r="N4" i="40" s="1"/>
  <c r="T4" i="40" s="1"/>
  <c r="A41" i="40"/>
  <c r="E37" i="40"/>
  <c r="D16" i="40"/>
  <c r="J16" i="40" s="1"/>
  <c r="P16" i="40" s="1"/>
  <c r="V16" i="40" s="1"/>
  <c r="F23" i="40"/>
  <c r="L23" i="40" s="1"/>
  <c r="R23" i="40" s="1"/>
  <c r="X23" i="40" s="1"/>
  <c r="B20" i="40"/>
  <c r="H20" i="40" s="1"/>
  <c r="N20" i="40" s="1"/>
  <c r="T20" i="40" s="1"/>
  <c r="B13" i="40"/>
  <c r="H13" i="40" s="1"/>
  <c r="N13" i="40" s="1"/>
  <c r="T13" i="40" s="1"/>
  <c r="L2" i="40"/>
  <c r="R2" i="40" s="1"/>
  <c r="X2" i="40" s="1"/>
  <c r="D42" i="40"/>
  <c r="D40" i="40"/>
  <c r="H6" i="40"/>
  <c r="N6" i="40" s="1"/>
  <c r="T6" i="40" s="1"/>
  <c r="E38" i="40"/>
  <c r="B27" i="40"/>
  <c r="H27" i="40" s="1"/>
  <c r="N27" i="40" s="1"/>
  <c r="T27" i="40" s="1"/>
  <c r="F9" i="40"/>
  <c r="L9" i="40" s="1"/>
  <c r="R9" i="40" s="1"/>
  <c r="X9" i="40" s="1"/>
  <c r="A40" i="40"/>
  <c r="B33" i="40"/>
  <c r="F16" i="40"/>
  <c r="L16" i="40" s="1"/>
  <c r="R16" i="40" s="1"/>
  <c r="X16" i="40" s="1"/>
  <c r="U10" i="40"/>
  <c r="E23" i="40"/>
  <c r="K23" i="40" s="1"/>
  <c r="Q23" i="40" s="1"/>
  <c r="W23" i="40" s="1"/>
  <c r="H5" i="40"/>
  <c r="N5" i="40" s="1"/>
  <c r="T5" i="40" s="1"/>
  <c r="K2" i="40"/>
  <c r="Q2" i="40" s="1"/>
  <c r="W2" i="40" s="1"/>
  <c r="B19" i="40"/>
  <c r="H19" i="40" s="1"/>
  <c r="N19" i="40" s="1"/>
  <c r="T19" i="40" s="1"/>
  <c r="B32" i="40"/>
  <c r="B26" i="40"/>
  <c r="H26" i="40" s="1"/>
  <c r="N26" i="40" s="1"/>
  <c r="T26" i="40" s="1"/>
  <c r="B12" i="40"/>
  <c r="H12" i="40" s="1"/>
  <c r="N12" i="40" s="1"/>
  <c r="T12" i="40" s="1"/>
  <c r="D38" i="40"/>
  <c r="E9" i="40"/>
  <c r="K9" i="40" s="1"/>
  <c r="Q9" i="40" s="1"/>
  <c r="W9" i="40" s="1"/>
  <c r="A38" i="40"/>
  <c r="E41" i="40"/>
  <c r="E39" i="40"/>
  <c r="E16" i="40"/>
  <c r="K16" i="40" s="1"/>
  <c r="Q16" i="40" s="1"/>
  <c r="W16" i="40" s="1"/>
  <c r="B38" i="40"/>
  <c r="B40" i="40"/>
  <c r="B2" i="40"/>
  <c r="B42" i="40"/>
  <c r="D23" i="39"/>
  <c r="J23" i="39" s="1"/>
  <c r="P23" i="39" s="1"/>
  <c r="V23" i="39" s="1"/>
  <c r="J2" i="39"/>
  <c r="P2" i="39" s="1"/>
  <c r="V2" i="39" s="1"/>
  <c r="B18" i="39"/>
  <c r="H18" i="39" s="1"/>
  <c r="N18" i="39" s="1"/>
  <c r="T18" i="39" s="1"/>
  <c r="E40" i="39"/>
  <c r="B25" i="39"/>
  <c r="H25" i="39" s="1"/>
  <c r="N25" i="39" s="1"/>
  <c r="T25" i="39" s="1"/>
  <c r="D9" i="39"/>
  <c r="J9" i="39" s="1"/>
  <c r="P9" i="39" s="1"/>
  <c r="V9" i="39" s="1"/>
  <c r="B11" i="39"/>
  <c r="H11" i="39" s="1"/>
  <c r="N11" i="39" s="1"/>
  <c r="T11" i="39" s="1"/>
  <c r="D41" i="39"/>
  <c r="B31" i="39"/>
  <c r="H4" i="39"/>
  <c r="N4" i="39" s="1"/>
  <c r="T4" i="39" s="1"/>
  <c r="A41" i="39"/>
  <c r="E37" i="39"/>
  <c r="D16" i="39"/>
  <c r="J16" i="39" s="1"/>
  <c r="P16" i="39" s="1"/>
  <c r="V16" i="39" s="1"/>
  <c r="E23" i="39"/>
  <c r="K23" i="39" s="1"/>
  <c r="Q23" i="39" s="1"/>
  <c r="W23" i="39" s="1"/>
  <c r="H5" i="39"/>
  <c r="N5" i="39" s="1"/>
  <c r="T5" i="39" s="1"/>
  <c r="K2" i="39"/>
  <c r="Q2" i="39" s="1"/>
  <c r="W2" i="39" s="1"/>
  <c r="B19" i="39"/>
  <c r="H19" i="39" s="1"/>
  <c r="N19" i="39" s="1"/>
  <c r="T19" i="39" s="1"/>
  <c r="B32" i="39"/>
  <c r="B26" i="39"/>
  <c r="H26" i="39" s="1"/>
  <c r="N26" i="39" s="1"/>
  <c r="T26" i="39" s="1"/>
  <c r="B12" i="39"/>
  <c r="H12" i="39" s="1"/>
  <c r="N12" i="39" s="1"/>
  <c r="T12" i="39" s="1"/>
  <c r="D38" i="39"/>
  <c r="E9" i="39"/>
  <c r="K9" i="39" s="1"/>
  <c r="Q9" i="39" s="1"/>
  <c r="W9" i="39" s="1"/>
  <c r="A38" i="39"/>
  <c r="E41" i="39"/>
  <c r="E39" i="39"/>
  <c r="E16" i="39"/>
  <c r="K16" i="39" s="1"/>
  <c r="Q16" i="39" s="1"/>
  <c r="W16" i="39" s="1"/>
  <c r="U10" i="39"/>
  <c r="B20" i="39"/>
  <c r="H20" i="39" s="1"/>
  <c r="N20" i="39" s="1"/>
  <c r="T20" i="39" s="1"/>
  <c r="B13" i="39"/>
  <c r="H13" i="39" s="1"/>
  <c r="N13" i="39" s="1"/>
  <c r="T13" i="39" s="1"/>
  <c r="D42" i="39"/>
  <c r="D40" i="39"/>
  <c r="H6" i="39"/>
  <c r="N6" i="39" s="1"/>
  <c r="T6" i="39" s="1"/>
  <c r="E38" i="39"/>
  <c r="B27" i="39"/>
  <c r="H27" i="39" s="1"/>
  <c r="N27" i="39" s="1"/>
  <c r="T27" i="39" s="1"/>
  <c r="F9" i="39"/>
  <c r="L9" i="39" s="1"/>
  <c r="R9" i="39" s="1"/>
  <c r="X9" i="39" s="1"/>
  <c r="A40" i="39"/>
  <c r="F23" i="39"/>
  <c r="L23" i="39" s="1"/>
  <c r="R23" i="39" s="1"/>
  <c r="X23" i="39" s="1"/>
  <c r="B33" i="39"/>
  <c r="F16" i="39"/>
  <c r="L16" i="39" s="1"/>
  <c r="R16" i="39" s="1"/>
  <c r="X16" i="39" s="1"/>
  <c r="L2" i="39"/>
  <c r="R2" i="39" s="1"/>
  <c r="X2" i="39" s="1"/>
  <c r="B38" i="39"/>
  <c r="B40" i="39"/>
  <c r="B2" i="39"/>
  <c r="A42" i="39" s="1"/>
  <c r="B42" i="39"/>
  <c r="B39" i="37"/>
  <c r="B37" i="37"/>
  <c r="B40" i="37"/>
  <c r="B41" i="37"/>
  <c r="B38" i="37"/>
  <c r="E2" i="37"/>
  <c r="D2" i="37"/>
  <c r="C2" i="37"/>
  <c r="B2" i="37"/>
  <c r="A37" i="48" l="1"/>
  <c r="E42" i="48"/>
  <c r="C23" i="48"/>
  <c r="I23" i="48" s="1"/>
  <c r="O23" i="48" s="1"/>
  <c r="U23" i="48" s="1"/>
  <c r="B17" i="48"/>
  <c r="H17" i="48" s="1"/>
  <c r="N17" i="48" s="1"/>
  <c r="T17" i="48" s="1"/>
  <c r="I2" i="48"/>
  <c r="O2" i="48" s="1"/>
  <c r="U2" i="48" s="1"/>
  <c r="B30" i="48"/>
  <c r="B24" i="48"/>
  <c r="H24" i="48" s="1"/>
  <c r="N24" i="48" s="1"/>
  <c r="T24" i="48" s="1"/>
  <c r="C9" i="48"/>
  <c r="I9" i="48" s="1"/>
  <c r="O9" i="48" s="1"/>
  <c r="U9" i="48" s="1"/>
  <c r="H3" i="48"/>
  <c r="N3" i="48" s="1"/>
  <c r="T3" i="48" s="1"/>
  <c r="D37" i="48"/>
  <c r="B10" i="48"/>
  <c r="H10" i="48" s="1"/>
  <c r="N10" i="48" s="1"/>
  <c r="T10" i="48" s="1"/>
  <c r="C16" i="48"/>
  <c r="I16" i="48" s="1"/>
  <c r="O16" i="48" s="1"/>
  <c r="U16" i="48" s="1"/>
  <c r="D39" i="48"/>
  <c r="A39" i="48"/>
  <c r="A37" i="47"/>
  <c r="E42" i="47"/>
  <c r="C23" i="47"/>
  <c r="I23" i="47" s="1"/>
  <c r="O23" i="47" s="1"/>
  <c r="U23" i="47" s="1"/>
  <c r="B17" i="47"/>
  <c r="H17" i="47" s="1"/>
  <c r="N17" i="47" s="1"/>
  <c r="T17" i="47" s="1"/>
  <c r="I2" i="47"/>
  <c r="O2" i="47" s="1"/>
  <c r="U2" i="47" s="1"/>
  <c r="B30" i="47"/>
  <c r="B24" i="47"/>
  <c r="H24" i="47" s="1"/>
  <c r="N24" i="47" s="1"/>
  <c r="T24" i="47" s="1"/>
  <c r="C9" i="47"/>
  <c r="I9" i="47" s="1"/>
  <c r="O9" i="47" s="1"/>
  <c r="U9" i="47" s="1"/>
  <c r="H3" i="47"/>
  <c r="N3" i="47" s="1"/>
  <c r="T3" i="47" s="1"/>
  <c r="B10" i="47"/>
  <c r="H10" i="47" s="1"/>
  <c r="N10" i="47" s="1"/>
  <c r="T10" i="47" s="1"/>
  <c r="D39" i="47"/>
  <c r="D37" i="47"/>
  <c r="C16" i="47"/>
  <c r="I16" i="47" s="1"/>
  <c r="O16" i="47" s="1"/>
  <c r="U16" i="47" s="1"/>
  <c r="A39" i="47"/>
  <c r="A37" i="46"/>
  <c r="E42" i="46"/>
  <c r="C23" i="46"/>
  <c r="I23" i="46" s="1"/>
  <c r="O23" i="46" s="1"/>
  <c r="U23" i="46" s="1"/>
  <c r="B17" i="46"/>
  <c r="H17" i="46" s="1"/>
  <c r="N17" i="46" s="1"/>
  <c r="T17" i="46" s="1"/>
  <c r="I2" i="46"/>
  <c r="O2" i="46" s="1"/>
  <c r="U2" i="46" s="1"/>
  <c r="B30" i="46"/>
  <c r="B24" i="46"/>
  <c r="H24" i="46" s="1"/>
  <c r="N24" i="46" s="1"/>
  <c r="T24" i="46" s="1"/>
  <c r="C9" i="46"/>
  <c r="I9" i="46" s="1"/>
  <c r="O9" i="46" s="1"/>
  <c r="U9" i="46" s="1"/>
  <c r="H3" i="46"/>
  <c r="N3" i="46" s="1"/>
  <c r="T3" i="46" s="1"/>
  <c r="B10" i="46"/>
  <c r="H10" i="46" s="1"/>
  <c r="N10" i="46" s="1"/>
  <c r="T10" i="46" s="1"/>
  <c r="D39" i="46"/>
  <c r="D37" i="46"/>
  <c r="C16" i="46"/>
  <c r="I16" i="46" s="1"/>
  <c r="O16" i="46" s="1"/>
  <c r="U16" i="46" s="1"/>
  <c r="A39" i="46"/>
  <c r="A37" i="45"/>
  <c r="E42" i="45"/>
  <c r="C23" i="45"/>
  <c r="I23" i="45" s="1"/>
  <c r="O23" i="45" s="1"/>
  <c r="U23" i="45" s="1"/>
  <c r="B17" i="45"/>
  <c r="H17" i="45" s="1"/>
  <c r="N17" i="45" s="1"/>
  <c r="T17" i="45" s="1"/>
  <c r="I2" i="45"/>
  <c r="O2" i="45" s="1"/>
  <c r="U2" i="45" s="1"/>
  <c r="B30" i="45"/>
  <c r="B24" i="45"/>
  <c r="H24" i="45" s="1"/>
  <c r="N24" i="45" s="1"/>
  <c r="T24" i="45" s="1"/>
  <c r="C9" i="45"/>
  <c r="I9" i="45" s="1"/>
  <c r="O9" i="45" s="1"/>
  <c r="U9" i="45" s="1"/>
  <c r="H3" i="45"/>
  <c r="N3" i="45" s="1"/>
  <c r="T3" i="45" s="1"/>
  <c r="B10" i="45"/>
  <c r="H10" i="45" s="1"/>
  <c r="N10" i="45" s="1"/>
  <c r="T10" i="45" s="1"/>
  <c r="D39" i="45"/>
  <c r="D37" i="45"/>
  <c r="C16" i="45"/>
  <c r="I16" i="45" s="1"/>
  <c r="O16" i="45" s="1"/>
  <c r="U16" i="45" s="1"/>
  <c r="A39" i="45"/>
  <c r="A37" i="44"/>
  <c r="E42" i="44"/>
  <c r="C23" i="44"/>
  <c r="I23" i="44" s="1"/>
  <c r="O23" i="44" s="1"/>
  <c r="U23" i="44" s="1"/>
  <c r="B17" i="44"/>
  <c r="H17" i="44" s="1"/>
  <c r="N17" i="44" s="1"/>
  <c r="T17" i="44" s="1"/>
  <c r="I2" i="44"/>
  <c r="O2" i="44" s="1"/>
  <c r="U2" i="44" s="1"/>
  <c r="A39" i="44"/>
  <c r="B30" i="44"/>
  <c r="B24" i="44"/>
  <c r="H24" i="44" s="1"/>
  <c r="N24" i="44" s="1"/>
  <c r="T24" i="44" s="1"/>
  <c r="C9" i="44"/>
  <c r="I9" i="44" s="1"/>
  <c r="O9" i="44" s="1"/>
  <c r="U9" i="44" s="1"/>
  <c r="H3" i="44"/>
  <c r="N3" i="44" s="1"/>
  <c r="T3" i="44" s="1"/>
  <c r="B10" i="44"/>
  <c r="H10" i="44" s="1"/>
  <c r="N10" i="44" s="1"/>
  <c r="T10" i="44" s="1"/>
  <c r="D39" i="44"/>
  <c r="D37" i="44"/>
  <c r="C16" i="44"/>
  <c r="I16" i="44" s="1"/>
  <c r="O16" i="44" s="1"/>
  <c r="U16" i="44" s="1"/>
  <c r="A37" i="43"/>
  <c r="E42" i="43"/>
  <c r="C23" i="43"/>
  <c r="I23" i="43" s="1"/>
  <c r="O23" i="43" s="1"/>
  <c r="U23" i="43" s="1"/>
  <c r="B17" i="43"/>
  <c r="H17" i="43" s="1"/>
  <c r="N17" i="43" s="1"/>
  <c r="T17" i="43" s="1"/>
  <c r="I2" i="43"/>
  <c r="O2" i="43" s="1"/>
  <c r="U2" i="43" s="1"/>
  <c r="B30" i="43"/>
  <c r="B24" i="43"/>
  <c r="H24" i="43" s="1"/>
  <c r="N24" i="43" s="1"/>
  <c r="T24" i="43" s="1"/>
  <c r="C9" i="43"/>
  <c r="I9" i="43" s="1"/>
  <c r="O9" i="43" s="1"/>
  <c r="U9" i="43" s="1"/>
  <c r="H3" i="43"/>
  <c r="N3" i="43" s="1"/>
  <c r="T3" i="43" s="1"/>
  <c r="B10" i="43"/>
  <c r="H10" i="43" s="1"/>
  <c r="N10" i="43" s="1"/>
  <c r="T10" i="43" s="1"/>
  <c r="D39" i="43"/>
  <c r="D37" i="43"/>
  <c r="C16" i="43"/>
  <c r="I16" i="43" s="1"/>
  <c r="O16" i="43" s="1"/>
  <c r="U16" i="43" s="1"/>
  <c r="A39" i="43"/>
  <c r="A37" i="42"/>
  <c r="E42" i="42"/>
  <c r="C23" i="42"/>
  <c r="I23" i="42" s="1"/>
  <c r="O23" i="42" s="1"/>
  <c r="U23" i="42" s="1"/>
  <c r="B17" i="42"/>
  <c r="H17" i="42" s="1"/>
  <c r="N17" i="42" s="1"/>
  <c r="T17" i="42" s="1"/>
  <c r="I2" i="42"/>
  <c r="O2" i="42" s="1"/>
  <c r="U2" i="42" s="1"/>
  <c r="B30" i="42"/>
  <c r="B24" i="42"/>
  <c r="H24" i="42" s="1"/>
  <c r="N24" i="42" s="1"/>
  <c r="T24" i="42" s="1"/>
  <c r="C9" i="42"/>
  <c r="I9" i="42" s="1"/>
  <c r="O9" i="42" s="1"/>
  <c r="U9" i="42" s="1"/>
  <c r="H3" i="42"/>
  <c r="N3" i="42" s="1"/>
  <c r="T3" i="42" s="1"/>
  <c r="B10" i="42"/>
  <c r="H10" i="42" s="1"/>
  <c r="N10" i="42" s="1"/>
  <c r="T10" i="42" s="1"/>
  <c r="D39" i="42"/>
  <c r="D37" i="42"/>
  <c r="C16" i="42"/>
  <c r="I16" i="42" s="1"/>
  <c r="O16" i="42" s="1"/>
  <c r="U16" i="42" s="1"/>
  <c r="A39" i="42"/>
  <c r="A37" i="41"/>
  <c r="E42" i="41"/>
  <c r="C23" i="41"/>
  <c r="I23" i="41" s="1"/>
  <c r="O23" i="41" s="1"/>
  <c r="U23" i="41" s="1"/>
  <c r="B17" i="41"/>
  <c r="H17" i="41" s="1"/>
  <c r="N17" i="41" s="1"/>
  <c r="T17" i="41" s="1"/>
  <c r="I2" i="41"/>
  <c r="O2" i="41" s="1"/>
  <c r="U2" i="41" s="1"/>
  <c r="B30" i="41"/>
  <c r="B24" i="41"/>
  <c r="H24" i="41" s="1"/>
  <c r="N24" i="41" s="1"/>
  <c r="T24" i="41" s="1"/>
  <c r="C9" i="41"/>
  <c r="I9" i="41" s="1"/>
  <c r="O9" i="41" s="1"/>
  <c r="U9" i="41" s="1"/>
  <c r="H3" i="41"/>
  <c r="N3" i="41" s="1"/>
  <c r="T3" i="41" s="1"/>
  <c r="B10" i="41"/>
  <c r="H10" i="41" s="1"/>
  <c r="N10" i="41" s="1"/>
  <c r="T10" i="41" s="1"/>
  <c r="D39" i="41"/>
  <c r="D37" i="41"/>
  <c r="C16" i="41"/>
  <c r="I16" i="41" s="1"/>
  <c r="O16" i="41" s="1"/>
  <c r="U16" i="41" s="1"/>
  <c r="A39" i="41"/>
  <c r="A37" i="40"/>
  <c r="E42" i="40"/>
  <c r="C23" i="40"/>
  <c r="I23" i="40" s="1"/>
  <c r="O23" i="40" s="1"/>
  <c r="U23" i="40" s="1"/>
  <c r="B17" i="40"/>
  <c r="H17" i="40" s="1"/>
  <c r="N17" i="40" s="1"/>
  <c r="T17" i="40" s="1"/>
  <c r="I2" i="40"/>
  <c r="O2" i="40" s="1"/>
  <c r="U2" i="40" s="1"/>
  <c r="A39" i="40"/>
  <c r="B30" i="40"/>
  <c r="B24" i="40"/>
  <c r="H24" i="40" s="1"/>
  <c r="N24" i="40" s="1"/>
  <c r="T24" i="40" s="1"/>
  <c r="C9" i="40"/>
  <c r="I9" i="40" s="1"/>
  <c r="O9" i="40" s="1"/>
  <c r="U9" i="40" s="1"/>
  <c r="H3" i="40"/>
  <c r="N3" i="40" s="1"/>
  <c r="T3" i="40" s="1"/>
  <c r="B10" i="40"/>
  <c r="H10" i="40" s="1"/>
  <c r="N10" i="40" s="1"/>
  <c r="T10" i="40" s="1"/>
  <c r="D39" i="40"/>
  <c r="D37" i="40"/>
  <c r="C16" i="40"/>
  <c r="I16" i="40" s="1"/>
  <c r="O16" i="40" s="1"/>
  <c r="U16" i="40" s="1"/>
  <c r="A42" i="40"/>
  <c r="A37" i="39"/>
  <c r="E42" i="39"/>
  <c r="C23" i="39"/>
  <c r="I23" i="39" s="1"/>
  <c r="O23" i="39" s="1"/>
  <c r="U23" i="39" s="1"/>
  <c r="B17" i="39"/>
  <c r="H17" i="39" s="1"/>
  <c r="N17" i="39" s="1"/>
  <c r="T17" i="39" s="1"/>
  <c r="I2" i="39"/>
  <c r="O2" i="39" s="1"/>
  <c r="U2" i="39" s="1"/>
  <c r="A39" i="39"/>
  <c r="B30" i="39"/>
  <c r="B24" i="39"/>
  <c r="H24" i="39" s="1"/>
  <c r="N24" i="39" s="1"/>
  <c r="T24" i="39" s="1"/>
  <c r="C9" i="39"/>
  <c r="I9" i="39" s="1"/>
  <c r="O9" i="39" s="1"/>
  <c r="U9" i="39" s="1"/>
  <c r="H3" i="39"/>
  <c r="N3" i="39" s="1"/>
  <c r="T3" i="39" s="1"/>
  <c r="B10" i="39"/>
  <c r="H10" i="39" s="1"/>
  <c r="N10" i="39" s="1"/>
  <c r="T10" i="39" s="1"/>
  <c r="D39" i="39"/>
  <c r="D37" i="39"/>
  <c r="C16" i="39"/>
  <c r="I16" i="39" s="1"/>
  <c r="O16" i="39" s="1"/>
  <c r="U16" i="39" s="1"/>
  <c r="A38" i="37"/>
  <c r="D41" i="37"/>
  <c r="A41" i="37"/>
  <c r="C16" i="37"/>
  <c r="I16" i="37" s="1"/>
  <c r="O16" i="37" s="1"/>
  <c r="U16" i="37" s="1"/>
  <c r="A37" i="37"/>
  <c r="A39" i="37"/>
  <c r="F23" i="37"/>
  <c r="L23" i="37" s="1"/>
  <c r="R23" i="37" s="1"/>
  <c r="X23" i="37" s="1"/>
  <c r="A40" i="37"/>
  <c r="A42" i="37"/>
  <c r="D37" i="37"/>
  <c r="E41" i="37"/>
  <c r="E37" i="37"/>
  <c r="E42" i="37"/>
  <c r="D38" i="37"/>
  <c r="E39" i="37"/>
  <c r="D42" i="37"/>
  <c r="D39" i="37"/>
  <c r="D40" i="37"/>
  <c r="E38" i="37"/>
  <c r="E40" i="37"/>
  <c r="B27" i="37"/>
  <c r="H27" i="37" s="1"/>
  <c r="N27" i="37" s="1"/>
  <c r="T27" i="37" s="1"/>
  <c r="K2" i="37"/>
  <c r="Q2" i="37" s="1"/>
  <c r="W2" i="37" s="1"/>
  <c r="L2" i="37"/>
  <c r="R2" i="37" s="1"/>
  <c r="X2" i="37" s="1"/>
  <c r="B13" i="37"/>
  <c r="H13" i="37" s="1"/>
  <c r="N13" i="37" s="1"/>
  <c r="T13" i="37" s="1"/>
  <c r="B30" i="37"/>
  <c r="H3" i="37"/>
  <c r="N3" i="37" s="1"/>
  <c r="T3" i="37" s="1"/>
  <c r="B33" i="37"/>
  <c r="D16" i="37"/>
  <c r="J16" i="37" s="1"/>
  <c r="P16" i="37" s="1"/>
  <c r="V16" i="37" s="1"/>
  <c r="B26" i="37"/>
  <c r="H26" i="37" s="1"/>
  <c r="N26" i="37" s="1"/>
  <c r="T26" i="37" s="1"/>
  <c r="E16" i="37"/>
  <c r="K16" i="37" s="1"/>
  <c r="Q16" i="37" s="1"/>
  <c r="W16" i="37" s="1"/>
  <c r="B11" i="37"/>
  <c r="H11" i="37" s="1"/>
  <c r="N11" i="37" s="1"/>
  <c r="T11" i="37" s="1"/>
  <c r="B24" i="37"/>
  <c r="H24" i="37" s="1"/>
  <c r="N24" i="37" s="1"/>
  <c r="T24" i="37" s="1"/>
  <c r="C9" i="37"/>
  <c r="I9" i="37" s="1"/>
  <c r="O9" i="37" s="1"/>
  <c r="U9" i="37" s="1"/>
  <c r="F16" i="37"/>
  <c r="L16" i="37" s="1"/>
  <c r="R16" i="37" s="1"/>
  <c r="X16" i="37" s="1"/>
  <c r="B19" i="37"/>
  <c r="H19" i="37" s="1"/>
  <c r="N19" i="37" s="1"/>
  <c r="T19" i="37" s="1"/>
  <c r="E9" i="37"/>
  <c r="K9" i="37" s="1"/>
  <c r="Q9" i="37" s="1"/>
  <c r="W9" i="37" s="1"/>
  <c r="H6" i="37"/>
  <c r="N6" i="37" s="1"/>
  <c r="T6" i="37" s="1"/>
  <c r="B17" i="37"/>
  <c r="H17" i="37" s="1"/>
  <c r="N17" i="37" s="1"/>
  <c r="T17" i="37" s="1"/>
  <c r="I2" i="37"/>
  <c r="O2" i="37" s="1"/>
  <c r="U2" i="37" s="1"/>
  <c r="D9" i="37"/>
  <c r="J9" i="37" s="1"/>
  <c r="P9" i="37" s="1"/>
  <c r="V9" i="37" s="1"/>
  <c r="B32" i="37"/>
  <c r="F9" i="37"/>
  <c r="L9" i="37" s="1"/>
  <c r="R9" i="37" s="1"/>
  <c r="X9" i="37" s="1"/>
  <c r="H4" i="37"/>
  <c r="N4" i="37" s="1"/>
  <c r="T4" i="37" s="1"/>
  <c r="J2" i="37"/>
  <c r="P2" i="37" s="1"/>
  <c r="V2" i="37" s="1"/>
  <c r="B31" i="37"/>
  <c r="B10" i="37"/>
  <c r="H10" i="37" s="1"/>
  <c r="N10" i="37" s="1"/>
  <c r="T10" i="37" s="1"/>
  <c r="B12" i="37"/>
  <c r="H12" i="37" s="1"/>
  <c r="N12" i="37" s="1"/>
  <c r="T12" i="37" s="1"/>
  <c r="B25" i="37"/>
  <c r="H25" i="37" s="1"/>
  <c r="N25" i="37" s="1"/>
  <c r="T25" i="37" s="1"/>
  <c r="B20" i="37"/>
  <c r="H20" i="37" s="1"/>
  <c r="N20" i="37" s="1"/>
  <c r="T20" i="37" s="1"/>
  <c r="C23" i="37"/>
  <c r="I23" i="37" s="1"/>
  <c r="O23" i="37" s="1"/>
  <c r="U23" i="37" s="1"/>
  <c r="D23" i="37"/>
  <c r="J23" i="37" s="1"/>
  <c r="P23" i="37" s="1"/>
  <c r="V23" i="37" s="1"/>
  <c r="B18" i="37"/>
  <c r="H18" i="37" s="1"/>
  <c r="N18" i="37" s="1"/>
  <c r="T18" i="37" s="1"/>
  <c r="H5" i="37"/>
  <c r="N5" i="37" s="1"/>
  <c r="T5" i="37" s="1"/>
  <c r="E23" i="37"/>
  <c r="K23" i="37" s="1"/>
  <c r="Q23" i="37" s="1"/>
  <c r="W23" i="37" s="1"/>
  <c r="V79" i="24" l="1"/>
  <c r="V72" i="24"/>
  <c r="V65" i="24"/>
  <c r="V58" i="24"/>
  <c r="V51" i="24"/>
  <c r="V44" i="24"/>
  <c r="V37" i="24"/>
  <c r="V30" i="24"/>
  <c r="V23" i="24"/>
  <c r="V16" i="24"/>
  <c r="V9" i="24"/>
  <c r="V2" i="24"/>
  <c r="G50" i="24"/>
  <c r="G49" i="24"/>
  <c r="G48" i="24"/>
  <c r="G47" i="24"/>
  <c r="G46" i="24"/>
  <c r="G45" i="24"/>
  <c r="G44" i="24"/>
  <c r="G43" i="24"/>
  <c r="G42" i="24"/>
  <c r="G41" i="24"/>
  <c r="G40" i="24"/>
  <c r="G39" i="24"/>
  <c r="G38" i="24"/>
  <c r="G37" i="24"/>
  <c r="G36" i="24"/>
  <c r="G35" i="24"/>
  <c r="G34" i="24"/>
  <c r="G33" i="24"/>
  <c r="G32" i="24"/>
  <c r="G31" i="24"/>
  <c r="G30" i="24"/>
  <c r="G29" i="24"/>
  <c r="G28" i="24"/>
  <c r="G27" i="24"/>
  <c r="G26" i="24"/>
  <c r="G25" i="24"/>
  <c r="G24" i="24"/>
  <c r="G23" i="24"/>
  <c r="G22" i="24"/>
  <c r="G21" i="24"/>
  <c r="G20" i="24"/>
  <c r="G19" i="24"/>
  <c r="G18" i="24"/>
  <c r="G17" i="24"/>
  <c r="G16" i="24"/>
  <c r="G15" i="24"/>
  <c r="G14" i="24"/>
  <c r="G13" i="24"/>
  <c r="G12" i="24"/>
  <c r="G11" i="24"/>
  <c r="G10" i="24"/>
  <c r="G9" i="24"/>
  <c r="G8" i="24"/>
  <c r="G7" i="24"/>
  <c r="G6" i="24"/>
  <c r="G5" i="24"/>
  <c r="G4" i="24"/>
  <c r="G3" i="24"/>
  <c r="P85" i="24"/>
  <c r="Q85" i="24" s="1"/>
  <c r="C42" i="44" s="1"/>
  <c r="P84" i="24"/>
  <c r="R84" i="24" s="1"/>
  <c r="W83" i="24"/>
  <c r="V83" i="24"/>
  <c r="P83" i="24"/>
  <c r="W82" i="24"/>
  <c r="V82" i="24"/>
  <c r="P82" i="24"/>
  <c r="W81" i="24"/>
  <c r="V81" i="24"/>
  <c r="P81" i="24"/>
  <c r="W80" i="24"/>
  <c r="V80" i="24"/>
  <c r="P80" i="24"/>
  <c r="P78" i="24"/>
  <c r="P77" i="24"/>
  <c r="Q77" i="24" s="1"/>
  <c r="C41" i="39" s="1"/>
  <c r="W76" i="24"/>
  <c r="V76" i="24"/>
  <c r="P76" i="24"/>
  <c r="W75" i="24"/>
  <c r="V75" i="24"/>
  <c r="P75" i="24"/>
  <c r="W74" i="24"/>
  <c r="V74" i="24"/>
  <c r="P74" i="24"/>
  <c r="W73" i="24"/>
  <c r="V73" i="24"/>
  <c r="P73" i="24"/>
  <c r="P71" i="24"/>
  <c r="P70" i="24"/>
  <c r="Q70" i="24" s="1"/>
  <c r="C41" i="40" s="1"/>
  <c r="W69" i="24"/>
  <c r="V69" i="24"/>
  <c r="P69" i="24"/>
  <c r="W68" i="24"/>
  <c r="V68" i="24"/>
  <c r="P68" i="24"/>
  <c r="W67" i="24"/>
  <c r="V67" i="24"/>
  <c r="P67" i="24"/>
  <c r="W66" i="24"/>
  <c r="V66" i="24"/>
  <c r="P66" i="24"/>
  <c r="P64" i="24"/>
  <c r="R64" i="24" s="1"/>
  <c r="P63" i="24"/>
  <c r="R63" i="24" s="1"/>
  <c r="W62" i="24"/>
  <c r="V62" i="24"/>
  <c r="P62" i="24"/>
  <c r="W61" i="24"/>
  <c r="V61" i="24"/>
  <c r="P61" i="24"/>
  <c r="R61" i="24" s="1"/>
  <c r="W60" i="24"/>
  <c r="V60" i="24"/>
  <c r="P60" i="24"/>
  <c r="W59" i="24"/>
  <c r="V59" i="24"/>
  <c r="P59" i="24"/>
  <c r="P57" i="24"/>
  <c r="P56" i="24"/>
  <c r="R56" i="24" s="1"/>
  <c r="W55" i="24"/>
  <c r="V55" i="24"/>
  <c r="P55" i="24"/>
  <c r="W54" i="24"/>
  <c r="V54" i="24"/>
  <c r="P54" i="24"/>
  <c r="W53" i="24"/>
  <c r="V53" i="24"/>
  <c r="P53" i="24"/>
  <c r="W52" i="24"/>
  <c r="V52" i="24"/>
  <c r="P52" i="24"/>
  <c r="P50" i="24"/>
  <c r="P49" i="24"/>
  <c r="W48" i="24"/>
  <c r="V48" i="24"/>
  <c r="P48" i="24"/>
  <c r="W47" i="24"/>
  <c r="V47" i="24"/>
  <c r="P47" i="24"/>
  <c r="R47" i="24" s="1"/>
  <c r="W46" i="24"/>
  <c r="V46" i="24"/>
  <c r="P46" i="24"/>
  <c r="W45" i="24"/>
  <c r="V45" i="24"/>
  <c r="P45" i="24"/>
  <c r="P43" i="24"/>
  <c r="Q43" i="24" s="1"/>
  <c r="C42" i="45" s="1"/>
  <c r="P42" i="24"/>
  <c r="W41" i="24"/>
  <c r="V41" i="24"/>
  <c r="P41" i="24"/>
  <c r="W40" i="24"/>
  <c r="V40" i="24"/>
  <c r="P40" i="24"/>
  <c r="W39" i="24"/>
  <c r="V39" i="24"/>
  <c r="P39" i="24"/>
  <c r="Q39" i="24" s="1"/>
  <c r="C38" i="45" s="1"/>
  <c r="W38" i="24"/>
  <c r="V38" i="24"/>
  <c r="P38" i="24"/>
  <c r="P36" i="24"/>
  <c r="R36" i="24" s="1"/>
  <c r="P35" i="24"/>
  <c r="Q35" i="24" s="1"/>
  <c r="C41" i="46" s="1"/>
  <c r="W34" i="24"/>
  <c r="V34" i="24"/>
  <c r="P34" i="24"/>
  <c r="W33" i="24"/>
  <c r="V33" i="24"/>
  <c r="P33" i="24"/>
  <c r="R33" i="24" s="1"/>
  <c r="W32" i="24"/>
  <c r="V32" i="24"/>
  <c r="P32" i="24"/>
  <c r="Q32" i="24" s="1"/>
  <c r="C38" i="46" s="1"/>
  <c r="W31" i="24"/>
  <c r="V31" i="24"/>
  <c r="P31" i="24"/>
  <c r="P29" i="24"/>
  <c r="R29" i="24" s="1"/>
  <c r="P28" i="24"/>
  <c r="R28" i="24" s="1"/>
  <c r="W27" i="24"/>
  <c r="V27" i="24"/>
  <c r="P27" i="24"/>
  <c r="Q27" i="24" s="1"/>
  <c r="W26" i="24"/>
  <c r="V26" i="24"/>
  <c r="P26" i="24"/>
  <c r="W25" i="24"/>
  <c r="V25" i="24"/>
  <c r="P25" i="24"/>
  <c r="W24" i="24"/>
  <c r="V24" i="24"/>
  <c r="P24" i="24"/>
  <c r="P22" i="24"/>
  <c r="P21" i="24"/>
  <c r="W20" i="24"/>
  <c r="V20" i="24"/>
  <c r="P20" i="24"/>
  <c r="W19" i="24"/>
  <c r="V19" i="24"/>
  <c r="P19" i="24"/>
  <c r="R19" i="24" s="1"/>
  <c r="W18" i="24"/>
  <c r="V18" i="24"/>
  <c r="P18" i="24"/>
  <c r="W17" i="24"/>
  <c r="V17" i="24"/>
  <c r="P17" i="24"/>
  <c r="P15" i="24"/>
  <c r="P14" i="24"/>
  <c r="W13" i="24"/>
  <c r="V13" i="24"/>
  <c r="P13" i="24"/>
  <c r="W12" i="24"/>
  <c r="V12" i="24"/>
  <c r="P12" i="24"/>
  <c r="Q12" i="24" s="1"/>
  <c r="C39" i="48" s="1"/>
  <c r="W11" i="24"/>
  <c r="V11" i="24"/>
  <c r="P11" i="24"/>
  <c r="W10" i="24"/>
  <c r="V10" i="24"/>
  <c r="P10" i="24"/>
  <c r="P8" i="24"/>
  <c r="P7" i="24"/>
  <c r="P6" i="24"/>
  <c r="P5" i="24"/>
  <c r="P4" i="24"/>
  <c r="P3" i="24"/>
  <c r="V6" i="24"/>
  <c r="V5" i="24"/>
  <c r="V4" i="24"/>
  <c r="V3" i="24"/>
  <c r="N74" i="36"/>
  <c r="I74" i="36"/>
  <c r="C74" i="36"/>
  <c r="B74" i="36"/>
  <c r="A74" i="36"/>
  <c r="N73" i="36"/>
  <c r="I73" i="36"/>
  <c r="C73" i="36"/>
  <c r="B73" i="36"/>
  <c r="A73" i="36"/>
  <c r="N72" i="36"/>
  <c r="I72" i="36"/>
  <c r="C72" i="36"/>
  <c r="B72" i="36"/>
  <c r="A72" i="36"/>
  <c r="N71" i="36"/>
  <c r="I71" i="36"/>
  <c r="C71" i="36"/>
  <c r="B71" i="36"/>
  <c r="A71" i="36"/>
  <c r="N70" i="36"/>
  <c r="I70" i="36"/>
  <c r="C70" i="36"/>
  <c r="B70" i="36"/>
  <c r="A70" i="36"/>
  <c r="N69" i="36"/>
  <c r="I69" i="36"/>
  <c r="C69" i="36"/>
  <c r="B69" i="36"/>
  <c r="A69" i="36"/>
  <c r="N68" i="36"/>
  <c r="I68" i="36"/>
  <c r="C68" i="36"/>
  <c r="B68" i="36"/>
  <c r="A68" i="36"/>
  <c r="N67" i="36"/>
  <c r="I67" i="36"/>
  <c r="C67" i="36"/>
  <c r="B67" i="36"/>
  <c r="A67" i="36"/>
  <c r="N66" i="36"/>
  <c r="I66" i="36"/>
  <c r="C66" i="36"/>
  <c r="B66" i="36"/>
  <c r="A66" i="36"/>
  <c r="N65" i="36"/>
  <c r="I65" i="36"/>
  <c r="C65" i="36"/>
  <c r="B65" i="36"/>
  <c r="A65" i="36"/>
  <c r="N64" i="36"/>
  <c r="I64" i="36"/>
  <c r="C64" i="36"/>
  <c r="B64" i="36"/>
  <c r="A64" i="36"/>
  <c r="N63" i="36"/>
  <c r="I63" i="36"/>
  <c r="C63" i="36"/>
  <c r="B63" i="36"/>
  <c r="A63" i="36"/>
  <c r="N62" i="36"/>
  <c r="I62" i="36"/>
  <c r="C62" i="36"/>
  <c r="B62" i="36"/>
  <c r="A62" i="36"/>
  <c r="N61" i="36"/>
  <c r="I61" i="36"/>
  <c r="C61" i="36"/>
  <c r="B61" i="36"/>
  <c r="A61" i="36"/>
  <c r="N60" i="36"/>
  <c r="I60" i="36"/>
  <c r="C60" i="36"/>
  <c r="B60" i="36"/>
  <c r="A60" i="36"/>
  <c r="N59" i="36"/>
  <c r="I59" i="36"/>
  <c r="C59" i="36"/>
  <c r="B59" i="36"/>
  <c r="A59" i="36"/>
  <c r="N58" i="36"/>
  <c r="I58" i="36"/>
  <c r="C58" i="36"/>
  <c r="B58" i="36"/>
  <c r="A58" i="36"/>
  <c r="N57" i="36"/>
  <c r="I57" i="36"/>
  <c r="C57" i="36"/>
  <c r="B57" i="36"/>
  <c r="A57" i="36"/>
  <c r="N56" i="36"/>
  <c r="I56" i="36"/>
  <c r="C56" i="36"/>
  <c r="B56" i="36"/>
  <c r="A56" i="36"/>
  <c r="N55" i="36"/>
  <c r="I55" i="36"/>
  <c r="C55" i="36"/>
  <c r="B55" i="36"/>
  <c r="A55" i="36"/>
  <c r="N54" i="36"/>
  <c r="I54" i="36"/>
  <c r="C54" i="36"/>
  <c r="B54" i="36"/>
  <c r="A54" i="36"/>
  <c r="N53" i="36"/>
  <c r="I53" i="36"/>
  <c r="C53" i="36"/>
  <c r="B53" i="36"/>
  <c r="A53" i="36"/>
  <c r="N52" i="36"/>
  <c r="I52" i="36"/>
  <c r="C52" i="36"/>
  <c r="B52" i="36"/>
  <c r="A52" i="36"/>
  <c r="N51" i="36"/>
  <c r="I51" i="36"/>
  <c r="C51" i="36"/>
  <c r="B51" i="36"/>
  <c r="A51" i="36"/>
  <c r="N50" i="36"/>
  <c r="I50" i="36"/>
  <c r="C50" i="36"/>
  <c r="B50" i="36"/>
  <c r="A50" i="36"/>
  <c r="A49" i="36"/>
  <c r="A48" i="36"/>
  <c r="A47" i="36"/>
  <c r="A46" i="36"/>
  <c r="A45" i="36"/>
  <c r="A44" i="36"/>
  <c r="A43" i="36"/>
  <c r="A42" i="36"/>
  <c r="A41" i="36"/>
  <c r="A40" i="36"/>
  <c r="A39" i="36"/>
  <c r="A38" i="36"/>
  <c r="A37" i="36"/>
  <c r="A36" i="36"/>
  <c r="A35" i="36"/>
  <c r="A34" i="36"/>
  <c r="A33" i="36"/>
  <c r="A32" i="36"/>
  <c r="A31" i="36"/>
  <c r="A30" i="36"/>
  <c r="A29" i="36"/>
  <c r="A28" i="36"/>
  <c r="A27" i="36"/>
  <c r="A26" i="36"/>
  <c r="A25" i="36"/>
  <c r="A24" i="36"/>
  <c r="A23" i="36"/>
  <c r="A22" i="36"/>
  <c r="A21" i="36"/>
  <c r="A20" i="36"/>
  <c r="A19" i="36"/>
  <c r="A18" i="36"/>
  <c r="A17" i="36"/>
  <c r="A16" i="36"/>
  <c r="A15" i="36"/>
  <c r="A14" i="36"/>
  <c r="A13" i="36"/>
  <c r="A12" i="36"/>
  <c r="A11" i="36"/>
  <c r="A10" i="36"/>
  <c r="A9" i="36"/>
  <c r="A8" i="36"/>
  <c r="A7" i="36"/>
  <c r="A6" i="36"/>
  <c r="A5" i="36"/>
  <c r="A4" i="36"/>
  <c r="A3" i="36"/>
  <c r="W6" i="24"/>
  <c r="W5" i="24"/>
  <c r="W4" i="24"/>
  <c r="W3" i="24"/>
  <c r="I79" i="26"/>
  <c r="E79" i="26"/>
  <c r="D79" i="26"/>
  <c r="K79" i="26" s="1"/>
  <c r="I78" i="26"/>
  <c r="E78" i="26"/>
  <c r="D78" i="26"/>
  <c r="K78" i="26" s="1"/>
  <c r="I77" i="26"/>
  <c r="E77" i="26"/>
  <c r="D77" i="26"/>
  <c r="K77" i="26" s="1"/>
  <c r="I76" i="26"/>
  <c r="E76" i="26"/>
  <c r="D76" i="26"/>
  <c r="K76" i="26" s="1"/>
  <c r="I75" i="26"/>
  <c r="E75" i="26"/>
  <c r="D75" i="26"/>
  <c r="K75" i="26" s="1"/>
  <c r="I74" i="26"/>
  <c r="E74" i="26"/>
  <c r="D74" i="26"/>
  <c r="K74" i="26" s="1"/>
  <c r="I73" i="26"/>
  <c r="E73" i="26"/>
  <c r="D73" i="26"/>
  <c r="K73" i="26" s="1"/>
  <c r="I72" i="26"/>
  <c r="E72" i="26"/>
  <c r="D72" i="26"/>
  <c r="K72" i="26" s="1"/>
  <c r="I71" i="26"/>
  <c r="E71" i="26"/>
  <c r="D71" i="26"/>
  <c r="K71" i="26" s="1"/>
  <c r="I70" i="26"/>
  <c r="E70" i="26"/>
  <c r="D70" i="26"/>
  <c r="K70" i="26" s="1"/>
  <c r="I69" i="26"/>
  <c r="E69" i="26"/>
  <c r="D69" i="26"/>
  <c r="K69" i="26" s="1"/>
  <c r="I68" i="26"/>
  <c r="E68" i="26"/>
  <c r="D68" i="26"/>
  <c r="K68" i="26" s="1"/>
  <c r="I67" i="26"/>
  <c r="E67" i="26"/>
  <c r="D67" i="26"/>
  <c r="K67" i="26" s="1"/>
  <c r="I66" i="26"/>
  <c r="E66" i="26"/>
  <c r="D66" i="26"/>
  <c r="K66" i="26" s="1"/>
  <c r="I65" i="26"/>
  <c r="E65" i="26"/>
  <c r="D65" i="26"/>
  <c r="K65" i="26" s="1"/>
  <c r="I64" i="26"/>
  <c r="E64" i="26"/>
  <c r="D64" i="26"/>
  <c r="K64" i="26" s="1"/>
  <c r="I63" i="26"/>
  <c r="E63" i="26"/>
  <c r="D63" i="26"/>
  <c r="K63" i="26" s="1"/>
  <c r="I62" i="26"/>
  <c r="E62" i="26"/>
  <c r="D62" i="26"/>
  <c r="K62" i="26" s="1"/>
  <c r="I61" i="26"/>
  <c r="E61" i="26"/>
  <c r="D61" i="26"/>
  <c r="K61" i="26" s="1"/>
  <c r="I60" i="26"/>
  <c r="E60" i="26"/>
  <c r="D60" i="26"/>
  <c r="K60" i="26" s="1"/>
  <c r="I59" i="26"/>
  <c r="E59" i="26"/>
  <c r="D59" i="26"/>
  <c r="K59" i="26" s="1"/>
  <c r="I58" i="26"/>
  <c r="E58" i="26"/>
  <c r="D58" i="26"/>
  <c r="K58" i="26" s="1"/>
  <c r="I57" i="26"/>
  <c r="E57" i="26"/>
  <c r="D57" i="26"/>
  <c r="K57" i="26" s="1"/>
  <c r="I56" i="26"/>
  <c r="E56" i="26"/>
  <c r="D56" i="26"/>
  <c r="K56" i="26" s="1"/>
  <c r="I55" i="26"/>
  <c r="I54" i="26"/>
  <c r="I53" i="26"/>
  <c r="I52" i="26"/>
  <c r="I51" i="26"/>
  <c r="I50" i="26"/>
  <c r="I49" i="26"/>
  <c r="I48" i="26"/>
  <c r="I47" i="26"/>
  <c r="I46" i="26"/>
  <c r="I45" i="26"/>
  <c r="I44" i="26"/>
  <c r="I43" i="26"/>
  <c r="I42" i="26"/>
  <c r="I41" i="26"/>
  <c r="I40" i="26"/>
  <c r="I39" i="26"/>
  <c r="I38" i="26"/>
  <c r="I37" i="26"/>
  <c r="I36" i="26"/>
  <c r="I35" i="26"/>
  <c r="I34" i="26"/>
  <c r="I33" i="26"/>
  <c r="I32" i="26"/>
  <c r="I31" i="26"/>
  <c r="I30" i="26"/>
  <c r="I29" i="26"/>
  <c r="I28" i="26"/>
  <c r="I27" i="26"/>
  <c r="I26" i="26"/>
  <c r="I25" i="26"/>
  <c r="I24" i="26"/>
  <c r="I23" i="26"/>
  <c r="I22" i="26"/>
  <c r="I21" i="26"/>
  <c r="I20" i="26"/>
  <c r="I19" i="26"/>
  <c r="I18" i="26"/>
  <c r="I17" i="26"/>
  <c r="I16" i="26"/>
  <c r="I15" i="26"/>
  <c r="I14" i="26"/>
  <c r="I13" i="26"/>
  <c r="I12" i="26"/>
  <c r="I11" i="26"/>
  <c r="I10" i="26"/>
  <c r="I9" i="26"/>
  <c r="E55" i="26"/>
  <c r="D55" i="26"/>
  <c r="K55" i="26" s="1"/>
  <c r="E54" i="26"/>
  <c r="D54" i="26"/>
  <c r="K54" i="26" s="1"/>
  <c r="E53" i="26"/>
  <c r="D53" i="26"/>
  <c r="K53" i="26" s="1"/>
  <c r="E52" i="26"/>
  <c r="D52" i="26"/>
  <c r="K52" i="26" s="1"/>
  <c r="E51" i="26"/>
  <c r="D51" i="26"/>
  <c r="K51" i="26" s="1"/>
  <c r="E50" i="26"/>
  <c r="D50" i="26"/>
  <c r="K50" i="26" s="1"/>
  <c r="E49" i="26"/>
  <c r="D49" i="26"/>
  <c r="K49" i="26" s="1"/>
  <c r="E48" i="26"/>
  <c r="D48" i="26"/>
  <c r="K48" i="26" s="1"/>
  <c r="E47" i="26"/>
  <c r="D47" i="26"/>
  <c r="K47" i="26" s="1"/>
  <c r="E46" i="26"/>
  <c r="D46" i="26"/>
  <c r="K46" i="26" s="1"/>
  <c r="E45" i="26"/>
  <c r="D45" i="26"/>
  <c r="K45" i="26" s="1"/>
  <c r="E44" i="26"/>
  <c r="D44" i="26"/>
  <c r="K44" i="26" s="1"/>
  <c r="E43" i="26"/>
  <c r="D43" i="26"/>
  <c r="K43" i="26" s="1"/>
  <c r="E42" i="26"/>
  <c r="D42" i="26"/>
  <c r="K42" i="26" s="1"/>
  <c r="E41" i="26"/>
  <c r="D41" i="26"/>
  <c r="K41" i="26" s="1"/>
  <c r="E40" i="26"/>
  <c r="D40" i="26"/>
  <c r="K40" i="26" s="1"/>
  <c r="E39" i="26"/>
  <c r="D39" i="26"/>
  <c r="K39" i="26" s="1"/>
  <c r="E38" i="26"/>
  <c r="D38" i="26"/>
  <c r="K38" i="26" s="1"/>
  <c r="E37" i="26"/>
  <c r="D37" i="26"/>
  <c r="K37" i="26" s="1"/>
  <c r="E36" i="26"/>
  <c r="D36" i="26"/>
  <c r="K36" i="26" s="1"/>
  <c r="E35" i="26"/>
  <c r="D35" i="26"/>
  <c r="K35" i="26" s="1"/>
  <c r="E34" i="26"/>
  <c r="D34" i="26"/>
  <c r="K34" i="26" s="1"/>
  <c r="E33" i="26"/>
  <c r="D33" i="26"/>
  <c r="K33" i="26" s="1"/>
  <c r="E32" i="26"/>
  <c r="D32" i="26"/>
  <c r="K32" i="26" s="1"/>
  <c r="E31" i="26"/>
  <c r="D31" i="26"/>
  <c r="K31" i="26" s="1"/>
  <c r="E30" i="26"/>
  <c r="D30" i="26"/>
  <c r="K30" i="26" s="1"/>
  <c r="E29" i="26"/>
  <c r="D29" i="26"/>
  <c r="K29" i="26" s="1"/>
  <c r="E28" i="26"/>
  <c r="D28" i="26"/>
  <c r="K28" i="26" s="1"/>
  <c r="E27" i="26"/>
  <c r="D27" i="26"/>
  <c r="K27" i="26" s="1"/>
  <c r="E26" i="26"/>
  <c r="D26" i="26"/>
  <c r="K26" i="26" s="1"/>
  <c r="E25" i="26"/>
  <c r="D25" i="26"/>
  <c r="K25" i="26" s="1"/>
  <c r="E24" i="26"/>
  <c r="D24" i="26"/>
  <c r="K24" i="26" s="1"/>
  <c r="E23" i="26"/>
  <c r="D23" i="26"/>
  <c r="K23" i="26" s="1"/>
  <c r="E22" i="26"/>
  <c r="D22" i="26"/>
  <c r="K22" i="26" s="1"/>
  <c r="E21" i="26"/>
  <c r="D21" i="26"/>
  <c r="K21" i="26" s="1"/>
  <c r="E20" i="26"/>
  <c r="D20" i="26"/>
  <c r="K20" i="26" s="1"/>
  <c r="E19" i="26"/>
  <c r="D19" i="26"/>
  <c r="K19" i="26" s="1"/>
  <c r="E18" i="26"/>
  <c r="D18" i="26"/>
  <c r="K18" i="26" s="1"/>
  <c r="E17" i="26"/>
  <c r="D17" i="26"/>
  <c r="K17" i="26" s="1"/>
  <c r="E16" i="26"/>
  <c r="D16" i="26"/>
  <c r="K16" i="26" s="1"/>
  <c r="E15" i="26"/>
  <c r="D15" i="26"/>
  <c r="K15" i="26" s="1"/>
  <c r="E14" i="26"/>
  <c r="D14" i="26"/>
  <c r="K14" i="26" s="1"/>
  <c r="E13" i="26"/>
  <c r="D13" i="26"/>
  <c r="K13" i="26" s="1"/>
  <c r="E12" i="26"/>
  <c r="D12" i="26"/>
  <c r="K12" i="26" s="1"/>
  <c r="E11" i="26"/>
  <c r="D11" i="26"/>
  <c r="K11" i="26" s="1"/>
  <c r="E10" i="26"/>
  <c r="D10" i="26"/>
  <c r="K10" i="26" s="1"/>
  <c r="E9" i="26"/>
  <c r="D9" i="26"/>
  <c r="K9" i="26" s="1"/>
  <c r="D8" i="26"/>
  <c r="K8" i="26" s="1"/>
  <c r="I8" i="26"/>
  <c r="E8" i="26"/>
  <c r="J13" i="26"/>
  <c r="E131" i="26"/>
  <c r="G131" i="26" s="1"/>
  <c r="E130" i="26"/>
  <c r="E128" i="26"/>
  <c r="E127" i="26"/>
  <c r="E125" i="26"/>
  <c r="E124" i="26"/>
  <c r="E122" i="26"/>
  <c r="E121" i="26"/>
  <c r="E119" i="26"/>
  <c r="E118" i="26"/>
  <c r="E116" i="26"/>
  <c r="E115" i="26"/>
  <c r="E113" i="26"/>
  <c r="E112" i="26"/>
  <c r="E110" i="26"/>
  <c r="E109" i="26"/>
  <c r="E107" i="26"/>
  <c r="E106" i="26"/>
  <c r="E104" i="26"/>
  <c r="E103" i="26"/>
  <c r="E101" i="26"/>
  <c r="E100" i="26"/>
  <c r="E98" i="26"/>
  <c r="E97" i="26"/>
  <c r="E95" i="26"/>
  <c r="E94" i="26"/>
  <c r="E92" i="26"/>
  <c r="E91" i="26"/>
  <c r="E89" i="26"/>
  <c r="E88" i="26"/>
  <c r="E86" i="26"/>
  <c r="E85" i="26"/>
  <c r="J12" i="26"/>
  <c r="J11" i="26"/>
  <c r="J10" i="26"/>
  <c r="J9" i="26"/>
  <c r="J8" i="26"/>
  <c r="F40" i="47" l="1"/>
  <c r="D27" i="47" s="1"/>
  <c r="C40" i="47"/>
  <c r="G130" i="26"/>
  <c r="D130" i="26"/>
  <c r="G104" i="26"/>
  <c r="D104" i="26"/>
  <c r="G106" i="26"/>
  <c r="D106" i="26"/>
  <c r="G107" i="26"/>
  <c r="D107" i="26"/>
  <c r="G128" i="26"/>
  <c r="D128" i="26"/>
  <c r="G109" i="26"/>
  <c r="D109" i="26"/>
  <c r="G110" i="26"/>
  <c r="D110" i="26"/>
  <c r="G85" i="26"/>
  <c r="D85" i="26"/>
  <c r="G115" i="26"/>
  <c r="D115" i="26"/>
  <c r="G101" i="26"/>
  <c r="D101" i="26"/>
  <c r="G112" i="26"/>
  <c r="D112" i="26"/>
  <c r="G116" i="26"/>
  <c r="D116" i="26"/>
  <c r="G119" i="26"/>
  <c r="D119" i="26"/>
  <c r="G88" i="26"/>
  <c r="D88" i="26"/>
  <c r="G121" i="26"/>
  <c r="D121" i="26"/>
  <c r="G89" i="26"/>
  <c r="D89" i="26"/>
  <c r="G122" i="26"/>
  <c r="D122" i="26"/>
  <c r="G118" i="26"/>
  <c r="D118" i="26"/>
  <c r="G94" i="26"/>
  <c r="D94" i="26"/>
  <c r="G124" i="26"/>
  <c r="D124" i="26"/>
  <c r="G98" i="26"/>
  <c r="D98" i="26"/>
  <c r="G113" i="26"/>
  <c r="D113" i="26"/>
  <c r="G125" i="26"/>
  <c r="D125" i="26"/>
  <c r="G100" i="26"/>
  <c r="D100" i="26"/>
  <c r="G103" i="26"/>
  <c r="D103" i="26"/>
  <c r="G86" i="26"/>
  <c r="D86" i="26"/>
  <c r="G95" i="26"/>
  <c r="D95" i="26"/>
  <c r="G97" i="26"/>
  <c r="D97" i="26"/>
  <c r="G127" i="26"/>
  <c r="D127" i="26"/>
  <c r="J68" i="36"/>
  <c r="E68" i="36"/>
  <c r="J55" i="36"/>
  <c r="E62" i="36"/>
  <c r="L44" i="26"/>
  <c r="M28" i="26"/>
  <c r="M52" i="26"/>
  <c r="E56" i="36"/>
  <c r="J69" i="36"/>
  <c r="E50" i="36"/>
  <c r="E69" i="36"/>
  <c r="L37" i="26"/>
  <c r="M13" i="26"/>
  <c r="M53" i="26"/>
  <c r="J56" i="36"/>
  <c r="E63" i="36"/>
  <c r="J63" i="36"/>
  <c r="E70" i="36"/>
  <c r="E54" i="36"/>
  <c r="J50" i="36"/>
  <c r="E57" i="36"/>
  <c r="J70" i="36"/>
  <c r="L36" i="26"/>
  <c r="L16" i="26"/>
  <c r="J62" i="36"/>
  <c r="L17" i="26"/>
  <c r="L28" i="26"/>
  <c r="L19" i="26"/>
  <c r="E64" i="36"/>
  <c r="M17" i="26"/>
  <c r="M37" i="26"/>
  <c r="E51" i="36"/>
  <c r="J64" i="36"/>
  <c r="E71" i="36"/>
  <c r="L46" i="26"/>
  <c r="M18" i="26"/>
  <c r="J71" i="36"/>
  <c r="J61" i="36"/>
  <c r="L27" i="26"/>
  <c r="M16" i="26"/>
  <c r="L20" i="26"/>
  <c r="L30" i="26"/>
  <c r="L40" i="26"/>
  <c r="J51" i="36"/>
  <c r="E58" i="36"/>
  <c r="M19" i="26"/>
  <c r="M39" i="26"/>
  <c r="J58" i="36"/>
  <c r="E65" i="36"/>
  <c r="L21" i="26"/>
  <c r="M20" i="26"/>
  <c r="M40" i="26"/>
  <c r="E52" i="36"/>
  <c r="J65" i="36"/>
  <c r="E72" i="36"/>
  <c r="L24" i="26"/>
  <c r="M29" i="26"/>
  <c r="L26" i="26"/>
  <c r="L18" i="26"/>
  <c r="M36" i="26"/>
  <c r="M21" i="26"/>
  <c r="J52" i="36"/>
  <c r="E59" i="36"/>
  <c r="J72" i="36"/>
  <c r="M26" i="26"/>
  <c r="M48" i="26"/>
  <c r="L42" i="26"/>
  <c r="L52" i="26"/>
  <c r="M42" i="26"/>
  <c r="J59" i="36"/>
  <c r="E66" i="36"/>
  <c r="J67" i="36"/>
  <c r="L29" i="26"/>
  <c r="L39" i="26"/>
  <c r="J57" i="36"/>
  <c r="E53" i="36"/>
  <c r="J66" i="36"/>
  <c r="E73" i="36"/>
  <c r="L45" i="26"/>
  <c r="L53" i="26"/>
  <c r="M24" i="26"/>
  <c r="M44" i="26"/>
  <c r="J53" i="36"/>
  <c r="E60" i="36"/>
  <c r="J73" i="36"/>
  <c r="E55" i="36"/>
  <c r="M30" i="26"/>
  <c r="L48" i="26"/>
  <c r="L13" i="26"/>
  <c r="M45" i="26"/>
  <c r="J60" i="36"/>
  <c r="E67" i="36"/>
  <c r="M46" i="26"/>
  <c r="E74" i="36"/>
  <c r="M27" i="26"/>
  <c r="J54" i="36"/>
  <c r="E61" i="36"/>
  <c r="J74" i="36"/>
  <c r="G92" i="26"/>
  <c r="D92" i="26"/>
  <c r="G91" i="26"/>
  <c r="D91" i="26"/>
  <c r="M43" i="26"/>
  <c r="M47" i="26"/>
  <c r="L47" i="26"/>
  <c r="L43" i="26"/>
  <c r="M10" i="26"/>
  <c r="M25" i="26"/>
  <c r="L31" i="26"/>
  <c r="M31" i="26"/>
  <c r="L25" i="26"/>
  <c r="L12" i="26"/>
  <c r="L10" i="26"/>
  <c r="M12" i="26"/>
  <c r="R8" i="24"/>
  <c r="Q8" i="24"/>
  <c r="F38" i="45"/>
  <c r="F26" i="45" s="1"/>
  <c r="F41" i="39"/>
  <c r="E25" i="39" s="1"/>
  <c r="G39" i="49"/>
  <c r="C26" i="49" s="1"/>
  <c r="G41" i="47"/>
  <c r="D26" i="47" s="1"/>
  <c r="G42" i="47"/>
  <c r="F24" i="47" s="1"/>
  <c r="R7" i="24"/>
  <c r="Q7" i="24"/>
  <c r="G39" i="41"/>
  <c r="C26" i="41" s="1"/>
  <c r="F38" i="46"/>
  <c r="F26" i="46" s="1"/>
  <c r="F41" i="40"/>
  <c r="E25" i="40" s="1"/>
  <c r="R6" i="24"/>
  <c r="Q6" i="24"/>
  <c r="F39" i="48"/>
  <c r="E24" i="48" s="1"/>
  <c r="G39" i="46"/>
  <c r="C26" i="46" s="1"/>
  <c r="F42" i="45"/>
  <c r="C27" i="45" s="1"/>
  <c r="G41" i="41"/>
  <c r="D26" i="41" s="1"/>
  <c r="Q63" i="24"/>
  <c r="G42" i="41"/>
  <c r="F24" i="41" s="1"/>
  <c r="G41" i="44"/>
  <c r="D26" i="44" s="1"/>
  <c r="F42" i="44"/>
  <c r="C27" i="44" s="1"/>
  <c r="R3" i="24"/>
  <c r="Q3" i="24"/>
  <c r="F41" i="46"/>
  <c r="E25" i="46" s="1"/>
  <c r="Q4" i="24"/>
  <c r="R4" i="24"/>
  <c r="G42" i="46"/>
  <c r="F24" i="46" s="1"/>
  <c r="R5" i="24"/>
  <c r="Q5" i="24"/>
  <c r="G39" i="43"/>
  <c r="C26" i="43" s="1"/>
  <c r="G41" i="42"/>
  <c r="D26" i="42" s="1"/>
  <c r="T4" i="24"/>
  <c r="T8" i="24"/>
  <c r="S8" i="24"/>
  <c r="T7" i="24"/>
  <c r="S7" i="24"/>
  <c r="T6" i="24"/>
  <c r="S6" i="24"/>
  <c r="T5" i="24"/>
  <c r="S5" i="24"/>
  <c r="M54" i="26"/>
  <c r="L54" i="26"/>
  <c r="L50" i="26"/>
  <c r="M50" i="26"/>
  <c r="M41" i="26"/>
  <c r="M38" i="26"/>
  <c r="L41" i="26"/>
  <c r="L38" i="26"/>
  <c r="L34" i="26"/>
  <c r="M34" i="26"/>
  <c r="L22" i="26"/>
  <c r="M22" i="26"/>
  <c r="M15" i="26"/>
  <c r="M14" i="26"/>
  <c r="L15" i="26"/>
  <c r="L14" i="26"/>
  <c r="M51" i="26"/>
  <c r="L51" i="26"/>
  <c r="A16" i="24"/>
  <c r="A17" i="24"/>
  <c r="A37" i="24"/>
  <c r="A36" i="24"/>
  <c r="A38" i="24"/>
  <c r="A19" i="24"/>
  <c r="A39" i="24"/>
  <c r="A18" i="24"/>
  <c r="Q64" i="24"/>
  <c r="A21" i="24"/>
  <c r="A41" i="24"/>
  <c r="A22" i="24"/>
  <c r="A42" i="24"/>
  <c r="A24" i="24"/>
  <c r="A44" i="24"/>
  <c r="A47" i="24"/>
  <c r="A25" i="24"/>
  <c r="A45" i="24"/>
  <c r="A6" i="24"/>
  <c r="A26" i="24"/>
  <c r="A46" i="24"/>
  <c r="A15" i="24"/>
  <c r="A28" i="24"/>
  <c r="A4" i="24"/>
  <c r="A8" i="24"/>
  <c r="A48" i="24"/>
  <c r="A10" i="24"/>
  <c r="A30" i="24"/>
  <c r="A50" i="24"/>
  <c r="A35" i="24"/>
  <c r="A11" i="24"/>
  <c r="A31" i="24"/>
  <c r="A12" i="24"/>
  <c r="A32" i="24"/>
  <c r="L35" i="26"/>
  <c r="M35" i="26"/>
  <c r="L9" i="26"/>
  <c r="M9" i="26"/>
  <c r="L8" i="26"/>
  <c r="M8" i="26"/>
  <c r="L32" i="26"/>
  <c r="M32" i="26"/>
  <c r="D51" i="36"/>
  <c r="D61" i="36"/>
  <c r="D71" i="36"/>
  <c r="T42" i="24"/>
  <c r="K41" i="45" s="1"/>
  <c r="S73" i="24"/>
  <c r="T82" i="24"/>
  <c r="K39" i="44" s="1"/>
  <c r="M70" i="26"/>
  <c r="T13" i="24"/>
  <c r="K40" i="48" s="1"/>
  <c r="D58" i="36"/>
  <c r="D68" i="36"/>
  <c r="T54" i="24"/>
  <c r="K39" i="42" s="1"/>
  <c r="S25" i="24"/>
  <c r="J38" i="47" s="1"/>
  <c r="S34" i="24"/>
  <c r="J40" i="46" s="1"/>
  <c r="S74" i="24"/>
  <c r="J38" i="39" s="1"/>
  <c r="S83" i="24"/>
  <c r="J40" i="44" s="1"/>
  <c r="D55" i="36"/>
  <c r="D65" i="36"/>
  <c r="T14" i="24"/>
  <c r="K41" i="48" s="1"/>
  <c r="T15" i="24"/>
  <c r="K42" i="48" s="1"/>
  <c r="T55" i="24"/>
  <c r="K40" i="42" s="1"/>
  <c r="D52" i="36"/>
  <c r="D62" i="36"/>
  <c r="D72" i="36"/>
  <c r="T26" i="24"/>
  <c r="K39" i="47" s="1"/>
  <c r="T66" i="24"/>
  <c r="K37" i="40" s="1"/>
  <c r="T75" i="24"/>
  <c r="K39" i="39" s="1"/>
  <c r="D59" i="36"/>
  <c r="D69" i="36"/>
  <c r="T57" i="24"/>
  <c r="K42" i="42" s="1"/>
  <c r="T67" i="24"/>
  <c r="K38" i="40" s="1"/>
  <c r="T76" i="24"/>
  <c r="K40" i="39" s="1"/>
  <c r="D56" i="36"/>
  <c r="D66" i="36"/>
  <c r="T59" i="24"/>
  <c r="K37" i="41" s="1"/>
  <c r="T48" i="24"/>
  <c r="K40" i="43" s="1"/>
  <c r="D53" i="36"/>
  <c r="D63" i="36"/>
  <c r="D73" i="36"/>
  <c r="T68" i="24"/>
  <c r="K39" i="40" s="1"/>
  <c r="T60" i="24"/>
  <c r="K38" i="41" s="1"/>
  <c r="T78" i="24"/>
  <c r="K42" i="39" s="1"/>
  <c r="D50" i="36"/>
  <c r="D60" i="36"/>
  <c r="D70" i="36"/>
  <c r="T40" i="24"/>
  <c r="K39" i="45" s="1"/>
  <c r="T49" i="24"/>
  <c r="K41" i="43" s="1"/>
  <c r="T11" i="24"/>
  <c r="K38" i="48" s="1"/>
  <c r="T20" i="24"/>
  <c r="K40" i="49" s="1"/>
  <c r="T50" i="24"/>
  <c r="K42" i="43" s="1"/>
  <c r="T69" i="24"/>
  <c r="K40" i="40" s="1"/>
  <c r="D57" i="36"/>
  <c r="D67" i="36"/>
  <c r="T41" i="24"/>
  <c r="K40" i="45" s="1"/>
  <c r="S81" i="24"/>
  <c r="J38" i="44" s="1"/>
  <c r="D54" i="36"/>
  <c r="D64" i="36"/>
  <c r="D74" i="36"/>
  <c r="T21" i="24"/>
  <c r="K41" i="49" s="1"/>
  <c r="T22" i="24"/>
  <c r="K42" i="49" s="1"/>
  <c r="S62" i="24"/>
  <c r="J40" i="41" s="1"/>
  <c r="T71" i="24"/>
  <c r="K42" i="40" s="1"/>
  <c r="M71" i="26"/>
  <c r="M73" i="26"/>
  <c r="M75" i="26"/>
  <c r="L58" i="26"/>
  <c r="L59" i="26"/>
  <c r="L60" i="26"/>
  <c r="L63" i="26"/>
  <c r="L65" i="26"/>
  <c r="L71" i="26"/>
  <c r="L72" i="26"/>
  <c r="L74" i="26"/>
  <c r="L76" i="26"/>
  <c r="L49" i="26"/>
  <c r="L78" i="26"/>
  <c r="L79" i="26"/>
  <c r="M62" i="26"/>
  <c r="M69" i="26"/>
  <c r="M68" i="26"/>
  <c r="L61" i="26"/>
  <c r="R32" i="24"/>
  <c r="G38" i="46" s="1"/>
  <c r="L62" i="26"/>
  <c r="M72" i="26"/>
  <c r="L64" i="26"/>
  <c r="M74" i="26"/>
  <c r="L66" i="26"/>
  <c r="M56" i="26"/>
  <c r="M76" i="26"/>
  <c r="M55" i="26"/>
  <c r="L67" i="26"/>
  <c r="M57" i="26"/>
  <c r="M77" i="26"/>
  <c r="M23" i="26"/>
  <c r="L68" i="26"/>
  <c r="M58" i="26"/>
  <c r="M78" i="26"/>
  <c r="L69" i="26"/>
  <c r="M59" i="26"/>
  <c r="M79" i="26"/>
  <c r="L70" i="26"/>
  <c r="M60" i="26"/>
  <c r="M61" i="26"/>
  <c r="T85" i="24"/>
  <c r="K42" i="44" s="1"/>
  <c r="M63" i="26"/>
  <c r="L73" i="26"/>
  <c r="M64" i="26"/>
  <c r="L55" i="26"/>
  <c r="L75" i="26"/>
  <c r="M65" i="26"/>
  <c r="M11" i="26"/>
  <c r="L56" i="26"/>
  <c r="M66" i="26"/>
  <c r="L57" i="26"/>
  <c r="L77" i="26"/>
  <c r="M67" i="26"/>
  <c r="M49" i="26"/>
  <c r="L11" i="26"/>
  <c r="L23" i="26"/>
  <c r="R31" i="24"/>
  <c r="G37" i="46" s="1"/>
  <c r="A9" i="24"/>
  <c r="A29" i="24"/>
  <c r="A49" i="24"/>
  <c r="A13" i="24"/>
  <c r="A33" i="24"/>
  <c r="A14" i="24"/>
  <c r="A34" i="24"/>
  <c r="R41" i="24"/>
  <c r="G40" i="45" s="1"/>
  <c r="Q26" i="24"/>
  <c r="S61" i="24"/>
  <c r="J39" i="41" s="1"/>
  <c r="R69" i="24"/>
  <c r="G40" i="40" s="1"/>
  <c r="A20" i="24"/>
  <c r="A40" i="24"/>
  <c r="A3" i="24"/>
  <c r="A23" i="24"/>
  <c r="A43" i="24"/>
  <c r="A5" i="24"/>
  <c r="A7" i="24"/>
  <c r="A27" i="24"/>
  <c r="S50" i="24"/>
  <c r="J42" i="43" s="1"/>
  <c r="R12" i="24"/>
  <c r="G39" i="48" s="1"/>
  <c r="T28" i="24"/>
  <c r="K41" i="47" s="1"/>
  <c r="T36" i="24"/>
  <c r="K42" i="46" s="1"/>
  <c r="R68" i="24"/>
  <c r="G39" i="40" s="1"/>
  <c r="Q84" i="24"/>
  <c r="S21" i="24"/>
  <c r="J41" i="49" s="1"/>
  <c r="Q78" i="24"/>
  <c r="Q47" i="24"/>
  <c r="T73" i="24"/>
  <c r="K37" i="39" s="1"/>
  <c r="M33" i="26"/>
  <c r="Q49" i="24"/>
  <c r="R66" i="24"/>
  <c r="G37" i="40" s="1"/>
  <c r="S19" i="24"/>
  <c r="J39" i="49" s="1"/>
  <c r="T34" i="24"/>
  <c r="K40" i="46" s="1"/>
  <c r="Q50" i="24"/>
  <c r="Q22" i="24"/>
  <c r="S29" i="24"/>
  <c r="J42" i="47" s="1"/>
  <c r="T56" i="24"/>
  <c r="K41" i="42" s="1"/>
  <c r="R85" i="24"/>
  <c r="G42" i="44" s="1"/>
  <c r="R35" i="24"/>
  <c r="Q42" i="24"/>
  <c r="Q57" i="24"/>
  <c r="T63" i="24"/>
  <c r="K41" i="41" s="1"/>
  <c r="S35" i="24"/>
  <c r="J41" i="46" s="1"/>
  <c r="S42" i="24"/>
  <c r="J41" i="45" s="1"/>
  <c r="R57" i="24"/>
  <c r="G42" i="42" s="1"/>
  <c r="T35" i="24"/>
  <c r="K41" i="46" s="1"/>
  <c r="S57" i="24"/>
  <c r="J42" i="42" s="1"/>
  <c r="T25" i="24"/>
  <c r="K38" i="47" s="1"/>
  <c r="S64" i="24"/>
  <c r="J42" i="41" s="1"/>
  <c r="S70" i="24"/>
  <c r="J41" i="40" s="1"/>
  <c r="T64" i="24"/>
  <c r="K42" i="41" s="1"/>
  <c r="R59" i="24"/>
  <c r="G37" i="41" s="1"/>
  <c r="T12" i="24"/>
  <c r="K39" i="48" s="1"/>
  <c r="R27" i="24"/>
  <c r="G40" i="47" s="1"/>
  <c r="S33" i="24"/>
  <c r="J39" i="46" s="1"/>
  <c r="T27" i="24"/>
  <c r="K40" i="47" s="1"/>
  <c r="T33" i="24"/>
  <c r="K39" i="46" s="1"/>
  <c r="Q21" i="24"/>
  <c r="Q68" i="24"/>
  <c r="Q15" i="24"/>
  <c r="R21" i="24"/>
  <c r="G41" i="49" s="1"/>
  <c r="Q38" i="24"/>
  <c r="S59" i="24"/>
  <c r="S63" i="24"/>
  <c r="J41" i="41" s="1"/>
  <c r="S68" i="24"/>
  <c r="J39" i="40" s="1"/>
  <c r="S85" i="24"/>
  <c r="J42" i="44" s="1"/>
  <c r="R38" i="24"/>
  <c r="G37" i="45" s="1"/>
  <c r="S27" i="24"/>
  <c r="J40" i="47" s="1"/>
  <c r="R42" i="24"/>
  <c r="G41" i="45" s="1"/>
  <c r="Q54" i="24"/>
  <c r="T74" i="24"/>
  <c r="K38" i="39" s="1"/>
  <c r="Q81" i="24"/>
  <c r="R81" i="24"/>
  <c r="G38" i="44" s="1"/>
  <c r="T81" i="24"/>
  <c r="K38" i="44" s="1"/>
  <c r="R22" i="24"/>
  <c r="G42" i="49" s="1"/>
  <c r="R43" i="24"/>
  <c r="G42" i="45" s="1"/>
  <c r="R49" i="24"/>
  <c r="G41" i="43" s="1"/>
  <c r="Q60" i="24"/>
  <c r="S22" i="24"/>
  <c r="J42" i="49" s="1"/>
  <c r="R39" i="24"/>
  <c r="G38" i="45" s="1"/>
  <c r="S43" i="24"/>
  <c r="J42" i="45" s="1"/>
  <c r="S49" i="24"/>
  <c r="J41" i="43" s="1"/>
  <c r="Q55" i="24"/>
  <c r="T43" i="24"/>
  <c r="K42" i="45" s="1"/>
  <c r="R55" i="24"/>
  <c r="G40" i="42" s="1"/>
  <c r="R34" i="24"/>
  <c r="G40" i="46" s="1"/>
  <c r="Q66" i="24"/>
  <c r="R70" i="24"/>
  <c r="G41" i="40" s="1"/>
  <c r="Q82" i="24"/>
  <c r="Q19" i="24"/>
  <c r="T29" i="24"/>
  <c r="K42" i="47" s="1"/>
  <c r="R50" i="24"/>
  <c r="G42" i="43" s="1"/>
  <c r="T61" i="24"/>
  <c r="K39" i="41" s="1"/>
  <c r="S66" i="24"/>
  <c r="T70" i="24"/>
  <c r="K41" i="40" s="1"/>
  <c r="T19" i="24"/>
  <c r="K39" i="49" s="1"/>
  <c r="Q40" i="24"/>
  <c r="Q71" i="24"/>
  <c r="S77" i="24"/>
  <c r="J41" i="39" s="1"/>
  <c r="S40" i="24"/>
  <c r="J39" i="45" s="1"/>
  <c r="R71" i="24"/>
  <c r="G42" i="40" s="1"/>
  <c r="T77" i="24"/>
  <c r="K41" i="39" s="1"/>
  <c r="R62" i="24"/>
  <c r="G40" i="41" s="1"/>
  <c r="Q67" i="24"/>
  <c r="S71" i="24"/>
  <c r="J42" i="40" s="1"/>
  <c r="T62" i="24"/>
  <c r="K40" i="41" s="1"/>
  <c r="R78" i="24"/>
  <c r="G42" i="39" s="1"/>
  <c r="S84" i="24"/>
  <c r="J41" i="44" s="1"/>
  <c r="T84" i="24"/>
  <c r="K41" i="44" s="1"/>
  <c r="T83" i="24"/>
  <c r="K40" i="44" s="1"/>
  <c r="Q29" i="24"/>
  <c r="Q53" i="24"/>
  <c r="Q56" i="24"/>
  <c r="S75" i="24"/>
  <c r="J39" i="39" s="1"/>
  <c r="R53" i="24"/>
  <c r="G38" i="42" s="1"/>
  <c r="S56" i="24"/>
  <c r="J41" i="42" s="1"/>
  <c r="L33" i="26"/>
  <c r="R13" i="24"/>
  <c r="G40" i="48" s="1"/>
  <c r="S13" i="24"/>
  <c r="J40" i="48" s="1"/>
  <c r="R77" i="24"/>
  <c r="G41" i="39" s="1"/>
  <c r="R15" i="24"/>
  <c r="G42" i="48" s="1"/>
  <c r="S47" i="24"/>
  <c r="J39" i="43" s="1"/>
  <c r="S55" i="24"/>
  <c r="J40" i="42" s="1"/>
  <c r="R67" i="24"/>
  <c r="G38" i="40" s="1"/>
  <c r="S78" i="24"/>
  <c r="J42" i="39" s="1"/>
  <c r="Q83" i="24"/>
  <c r="S15" i="24"/>
  <c r="J42" i="48" s="1"/>
  <c r="Q25" i="24"/>
  <c r="Q28" i="24"/>
  <c r="Q36" i="24"/>
  <c r="T47" i="24"/>
  <c r="K39" i="43" s="1"/>
  <c r="S67" i="24"/>
  <c r="J38" i="40" s="1"/>
  <c r="R83" i="24"/>
  <c r="G40" i="44" s="1"/>
  <c r="R25" i="24"/>
  <c r="G38" i="47" s="1"/>
  <c r="S28" i="24"/>
  <c r="J41" i="47" s="1"/>
  <c r="S36" i="24"/>
  <c r="J42" i="46" s="1"/>
  <c r="R40" i="24"/>
  <c r="G39" i="45" s="1"/>
  <c r="R60" i="24"/>
  <c r="G38" i="41" s="1"/>
  <c r="Q20" i="24"/>
  <c r="R26" i="24"/>
  <c r="G39" i="47" s="1"/>
  <c r="Q48" i="24"/>
  <c r="R54" i="24"/>
  <c r="G39" i="42" s="1"/>
  <c r="S60" i="24"/>
  <c r="J38" i="41" s="1"/>
  <c r="Q76" i="24"/>
  <c r="R82" i="24"/>
  <c r="G39" i="44" s="1"/>
  <c r="R20" i="24"/>
  <c r="G40" i="49" s="1"/>
  <c r="S26" i="24"/>
  <c r="J39" i="47" s="1"/>
  <c r="R48" i="24"/>
  <c r="G40" i="43" s="1"/>
  <c r="S54" i="24"/>
  <c r="J39" i="42" s="1"/>
  <c r="R76" i="24"/>
  <c r="G40" i="39" s="1"/>
  <c r="S82" i="24"/>
  <c r="J39" i="44" s="1"/>
  <c r="S20" i="24"/>
  <c r="J40" i="49" s="1"/>
  <c r="Q31" i="24"/>
  <c r="S48" i="24"/>
  <c r="J40" i="43" s="1"/>
  <c r="Q59" i="24"/>
  <c r="S76" i="24"/>
  <c r="J40" i="39" s="1"/>
  <c r="Q75" i="24"/>
  <c r="Q41" i="24"/>
  <c r="Q69" i="24"/>
  <c r="R75" i="24"/>
  <c r="G39" i="39" s="1"/>
  <c r="Q24" i="24"/>
  <c r="S41" i="24"/>
  <c r="J40" i="45" s="1"/>
  <c r="Q52" i="24"/>
  <c r="S69" i="24"/>
  <c r="J40" i="40" s="1"/>
  <c r="Q80" i="24"/>
  <c r="Q18" i="24"/>
  <c r="R24" i="24"/>
  <c r="G37" i="47" s="1"/>
  <c r="Q46" i="24"/>
  <c r="R52" i="24"/>
  <c r="G37" i="42" s="1"/>
  <c r="Q74" i="24"/>
  <c r="R80" i="24"/>
  <c r="G37" i="44" s="1"/>
  <c r="R18" i="24"/>
  <c r="G38" i="49" s="1"/>
  <c r="R46" i="24"/>
  <c r="G38" i="43" s="1"/>
  <c r="R74" i="24"/>
  <c r="G38" i="39" s="1"/>
  <c r="Q34" i="24"/>
  <c r="Q62" i="24"/>
  <c r="Q17" i="24"/>
  <c r="Q45" i="24"/>
  <c r="Q73" i="24"/>
  <c r="R17" i="24"/>
  <c r="G37" i="49" s="1"/>
  <c r="R45" i="24"/>
  <c r="G37" i="43" s="1"/>
  <c r="R73" i="24"/>
  <c r="G37" i="39" s="1"/>
  <c r="Q33" i="24"/>
  <c r="Q61" i="24"/>
  <c r="S12" i="24"/>
  <c r="J39" i="48" s="1"/>
  <c r="Q11" i="24"/>
  <c r="R11" i="24"/>
  <c r="G38" i="48" s="1"/>
  <c r="S11" i="24"/>
  <c r="J38" i="48" s="1"/>
  <c r="Q10" i="24"/>
  <c r="R10" i="24"/>
  <c r="G37" i="48" s="1"/>
  <c r="Q14" i="24"/>
  <c r="R14" i="24"/>
  <c r="G41" i="48" s="1"/>
  <c r="S14" i="24"/>
  <c r="J41" i="48" s="1"/>
  <c r="Q13" i="24"/>
  <c r="C2" i="5"/>
  <c r="F39" i="44" l="1"/>
  <c r="C39" i="44"/>
  <c r="F38" i="44"/>
  <c r="F26" i="44" s="1"/>
  <c r="C38" i="44"/>
  <c r="F39" i="46"/>
  <c r="C39" i="46"/>
  <c r="F38" i="49"/>
  <c r="C38" i="49"/>
  <c r="F38" i="47"/>
  <c r="F26" i="47" s="1"/>
  <c r="C38" i="47"/>
  <c r="F37" i="40"/>
  <c r="C37" i="40"/>
  <c r="F39" i="42"/>
  <c r="C39" i="42"/>
  <c r="F37" i="42"/>
  <c r="D17" i="42" s="1"/>
  <c r="C37" i="42"/>
  <c r="F40" i="39"/>
  <c r="F18" i="39" s="1"/>
  <c r="C40" i="39"/>
  <c r="H40" i="39" s="1"/>
  <c r="D13" i="39" s="1"/>
  <c r="F40" i="44"/>
  <c r="D20" i="44" s="1"/>
  <c r="C40" i="44"/>
  <c r="I40" i="44" s="1"/>
  <c r="F11" i="44" s="1"/>
  <c r="F41" i="43"/>
  <c r="D19" i="43" s="1"/>
  <c r="C41" i="43"/>
  <c r="H41" i="43" s="1"/>
  <c r="E11" i="43" s="1"/>
  <c r="F38" i="43"/>
  <c r="F19" i="43" s="1"/>
  <c r="C38" i="43"/>
  <c r="F37" i="44"/>
  <c r="D17" i="44" s="1"/>
  <c r="C37" i="44"/>
  <c r="I37" i="44" s="1"/>
  <c r="C11" i="44" s="1"/>
  <c r="F37" i="43"/>
  <c r="C37" i="43"/>
  <c r="F40" i="43"/>
  <c r="D27" i="43" s="1"/>
  <c r="C40" i="43"/>
  <c r="F39" i="43"/>
  <c r="E17" i="43" s="1"/>
  <c r="C39" i="43"/>
  <c r="I39" i="43" s="1"/>
  <c r="C12" i="43" s="1"/>
  <c r="F37" i="39"/>
  <c r="C37" i="39"/>
  <c r="F37" i="49"/>
  <c r="C18" i="49" s="1"/>
  <c r="C37" i="49"/>
  <c r="F40" i="40"/>
  <c r="D20" i="40" s="1"/>
  <c r="C40" i="40"/>
  <c r="I40" i="40" s="1"/>
  <c r="F11" i="40" s="1"/>
  <c r="F42" i="39"/>
  <c r="C20" i="39" s="1"/>
  <c r="C42" i="39"/>
  <c r="I42" i="39" s="1"/>
  <c r="F10" i="39" s="1"/>
  <c r="F39" i="47"/>
  <c r="E17" i="47" s="1"/>
  <c r="C39" i="47"/>
  <c r="F40" i="45"/>
  <c r="D20" i="45" s="1"/>
  <c r="C40" i="45"/>
  <c r="F40" i="42"/>
  <c r="F18" i="42" s="1"/>
  <c r="C40" i="42"/>
  <c r="F41" i="41"/>
  <c r="C41" i="41"/>
  <c r="F40" i="48"/>
  <c r="D27" i="48" s="1"/>
  <c r="C40" i="48"/>
  <c r="I40" i="48" s="1"/>
  <c r="F11" i="48" s="1"/>
  <c r="F40" i="49"/>
  <c r="D20" i="49" s="1"/>
  <c r="C40" i="49"/>
  <c r="F41" i="48"/>
  <c r="C41" i="48"/>
  <c r="F37" i="41"/>
  <c r="D24" i="41" s="1"/>
  <c r="C37" i="41"/>
  <c r="I37" i="41" s="1"/>
  <c r="C11" i="41" s="1"/>
  <c r="F42" i="40"/>
  <c r="F17" i="40" s="1"/>
  <c r="C42" i="40"/>
  <c r="H42" i="40" s="1"/>
  <c r="C13" i="40" s="1"/>
  <c r="F37" i="45"/>
  <c r="C18" i="45" s="1"/>
  <c r="C37" i="45"/>
  <c r="F41" i="44"/>
  <c r="D19" i="44" s="1"/>
  <c r="C41" i="44"/>
  <c r="H41" i="44" s="1"/>
  <c r="E11" i="44" s="1"/>
  <c r="F40" i="41"/>
  <c r="F18" i="41" s="1"/>
  <c r="C40" i="41"/>
  <c r="I40" i="41" s="1"/>
  <c r="F11" i="41" s="1"/>
  <c r="F40" i="46"/>
  <c r="D27" i="46" s="1"/>
  <c r="C40" i="46"/>
  <c r="H40" i="46" s="1"/>
  <c r="D13" i="46" s="1"/>
  <c r="F39" i="45"/>
  <c r="C19" i="45" s="1"/>
  <c r="C39" i="45"/>
  <c r="F42" i="42"/>
  <c r="C27" i="42" s="1"/>
  <c r="C42" i="42"/>
  <c r="F37" i="46"/>
  <c r="D17" i="46" s="1"/>
  <c r="C37" i="46"/>
  <c r="F37" i="47"/>
  <c r="C18" i="47" s="1"/>
  <c r="C37" i="47"/>
  <c r="F38" i="40"/>
  <c r="E20" i="40" s="1"/>
  <c r="C38" i="40"/>
  <c r="H38" i="40" s="1"/>
  <c r="F12" i="40" s="1"/>
  <c r="F42" i="48"/>
  <c r="C27" i="48" s="1"/>
  <c r="C42" i="48"/>
  <c r="I42" i="48" s="1"/>
  <c r="F10" i="48" s="1"/>
  <c r="F38" i="41"/>
  <c r="F26" i="41" s="1"/>
  <c r="G26" i="41" s="1"/>
  <c r="C38" i="41"/>
  <c r="H38" i="41" s="1"/>
  <c r="F12" i="41" s="1"/>
  <c r="F39" i="40"/>
  <c r="E24" i="40" s="1"/>
  <c r="C39" i="40"/>
  <c r="H39" i="40" s="1"/>
  <c r="E10" i="40" s="1"/>
  <c r="F39" i="39"/>
  <c r="E17" i="39" s="1"/>
  <c r="C39" i="39"/>
  <c r="H39" i="39" s="1"/>
  <c r="E10" i="39" s="1"/>
  <c r="F37" i="48"/>
  <c r="D17" i="48" s="1"/>
  <c r="C37" i="48"/>
  <c r="F41" i="45"/>
  <c r="E25" i="45" s="1"/>
  <c r="C41" i="45"/>
  <c r="F41" i="49"/>
  <c r="E25" i="49" s="1"/>
  <c r="C41" i="49"/>
  <c r="I41" i="49" s="1"/>
  <c r="D12" i="49" s="1"/>
  <c r="F38" i="48"/>
  <c r="E20" i="48" s="1"/>
  <c r="C38" i="48"/>
  <c r="F41" i="42"/>
  <c r="D19" i="42" s="1"/>
  <c r="C41" i="42"/>
  <c r="F38" i="42"/>
  <c r="F26" i="42" s="1"/>
  <c r="C38" i="42"/>
  <c r="F42" i="49"/>
  <c r="C20" i="49" s="1"/>
  <c r="C42" i="49"/>
  <c r="I42" i="49" s="1"/>
  <c r="F10" i="49" s="1"/>
  <c r="F38" i="39"/>
  <c r="F26" i="39" s="1"/>
  <c r="C38" i="39"/>
  <c r="H38" i="39" s="1"/>
  <c r="F12" i="39" s="1"/>
  <c r="F39" i="41"/>
  <c r="C19" i="41" s="1"/>
  <c r="C39" i="41"/>
  <c r="H39" i="41" s="1"/>
  <c r="E10" i="41" s="1"/>
  <c r="F42" i="46"/>
  <c r="F17" i="46" s="1"/>
  <c r="C42" i="46"/>
  <c r="I42" i="46" s="1"/>
  <c r="F10" i="46" s="1"/>
  <c r="F42" i="47"/>
  <c r="C20" i="47" s="1"/>
  <c r="C42" i="47"/>
  <c r="I42" i="47" s="1"/>
  <c r="F10" i="47" s="1"/>
  <c r="F41" i="47"/>
  <c r="C41" i="47"/>
  <c r="H41" i="47" s="1"/>
  <c r="E11" i="47" s="1"/>
  <c r="F39" i="49"/>
  <c r="E24" i="49" s="1"/>
  <c r="C39" i="49"/>
  <c r="H39" i="49" s="1"/>
  <c r="E10" i="49" s="1"/>
  <c r="F42" i="43"/>
  <c r="F17" i="43" s="1"/>
  <c r="C42" i="43"/>
  <c r="I42" i="43" s="1"/>
  <c r="F10" i="43" s="1"/>
  <c r="F42" i="41"/>
  <c r="F17" i="41" s="1"/>
  <c r="C42" i="41"/>
  <c r="I42" i="41" s="1"/>
  <c r="F10" i="41" s="1"/>
  <c r="Z27" i="52"/>
  <c r="M45" i="52"/>
  <c r="N8" i="52"/>
  <c r="J30" i="52"/>
  <c r="H12" i="52"/>
  <c r="D45" i="52"/>
  <c r="E34" i="52"/>
  <c r="C25" i="52"/>
  <c r="D15" i="52"/>
  <c r="Y27" i="52"/>
  <c r="O44" i="52"/>
  <c r="M8" i="52"/>
  <c r="I30" i="52"/>
  <c r="J11" i="52"/>
  <c r="C45" i="52"/>
  <c r="D34" i="52"/>
  <c r="E24" i="52"/>
  <c r="C15" i="52"/>
  <c r="X27" i="52"/>
  <c r="N44" i="52"/>
  <c r="J48" i="52"/>
  <c r="H30" i="52"/>
  <c r="I11" i="52"/>
  <c r="E43" i="52"/>
  <c r="C34" i="52"/>
  <c r="D24" i="52"/>
  <c r="E13" i="52"/>
  <c r="Z26" i="52"/>
  <c r="M44" i="52"/>
  <c r="I48" i="52"/>
  <c r="J29" i="52"/>
  <c r="H11" i="52"/>
  <c r="D43" i="52"/>
  <c r="E33" i="52"/>
  <c r="C24" i="52"/>
  <c r="D13" i="52"/>
  <c r="Y26" i="52"/>
  <c r="O33" i="52"/>
  <c r="H48" i="52"/>
  <c r="I29" i="52"/>
  <c r="J6" i="52"/>
  <c r="C43" i="52"/>
  <c r="D33" i="52"/>
  <c r="E22" i="52"/>
  <c r="C13" i="52"/>
  <c r="X26" i="52"/>
  <c r="N33" i="52"/>
  <c r="J47" i="52"/>
  <c r="H29" i="52"/>
  <c r="I6" i="52"/>
  <c r="E42" i="52"/>
  <c r="C33" i="52"/>
  <c r="D22" i="52"/>
  <c r="E12" i="52"/>
  <c r="T39" i="52"/>
  <c r="M33" i="52"/>
  <c r="I47" i="52"/>
  <c r="J24" i="52"/>
  <c r="H6" i="52"/>
  <c r="D42" i="52"/>
  <c r="E31" i="52"/>
  <c r="C22" i="52"/>
  <c r="D12" i="52"/>
  <c r="S39" i="52"/>
  <c r="O32" i="52"/>
  <c r="H47" i="52"/>
  <c r="I24" i="52"/>
  <c r="J5" i="52"/>
  <c r="C42" i="52"/>
  <c r="D31" i="52"/>
  <c r="E21" i="52"/>
  <c r="C12" i="52"/>
  <c r="R39" i="52"/>
  <c r="N32" i="52"/>
  <c r="J42" i="52"/>
  <c r="H24" i="52"/>
  <c r="I5" i="52"/>
  <c r="E40" i="52"/>
  <c r="C31" i="52"/>
  <c r="D21" i="52"/>
  <c r="T38" i="52"/>
  <c r="M32" i="52"/>
  <c r="I42" i="52"/>
  <c r="J23" i="52"/>
  <c r="H5" i="52"/>
  <c r="D40" i="52"/>
  <c r="E30" i="52"/>
  <c r="C21" i="52"/>
  <c r="S38" i="52"/>
  <c r="O21" i="52"/>
  <c r="H42" i="52"/>
  <c r="I23" i="52"/>
  <c r="E49" i="52"/>
  <c r="C40" i="52"/>
  <c r="D30" i="52"/>
  <c r="E19" i="52"/>
  <c r="R38" i="52"/>
  <c r="N21" i="52"/>
  <c r="J41" i="52"/>
  <c r="H23" i="52"/>
  <c r="D49" i="52"/>
  <c r="E39" i="52"/>
  <c r="C30" i="52"/>
  <c r="D19" i="52"/>
  <c r="T15" i="52"/>
  <c r="M21" i="52"/>
  <c r="I41" i="52"/>
  <c r="J18" i="52"/>
  <c r="C49" i="52"/>
  <c r="D39" i="52"/>
  <c r="E28" i="52"/>
  <c r="C19" i="52"/>
  <c r="S15" i="52"/>
  <c r="O20" i="52"/>
  <c r="H41" i="52"/>
  <c r="I18" i="52"/>
  <c r="E48" i="52"/>
  <c r="C39" i="52"/>
  <c r="D28" i="52"/>
  <c r="E18" i="52"/>
  <c r="R15" i="52"/>
  <c r="N20" i="52"/>
  <c r="J36" i="52"/>
  <c r="H18" i="52"/>
  <c r="D48" i="52"/>
  <c r="E37" i="52"/>
  <c r="C28" i="52"/>
  <c r="D18" i="52"/>
  <c r="T14" i="52"/>
  <c r="M20" i="52"/>
  <c r="I36" i="52"/>
  <c r="J17" i="52"/>
  <c r="C48" i="52"/>
  <c r="D37" i="52"/>
  <c r="E27" i="52"/>
  <c r="C18" i="52"/>
  <c r="S14" i="52"/>
  <c r="O9" i="52"/>
  <c r="H36" i="52"/>
  <c r="I17" i="52"/>
  <c r="E46" i="52"/>
  <c r="C37" i="52"/>
  <c r="D27" i="52"/>
  <c r="E16" i="52"/>
  <c r="R14" i="52"/>
  <c r="N9" i="52"/>
  <c r="J35" i="52"/>
  <c r="H17" i="52"/>
  <c r="D46" i="52"/>
  <c r="E36" i="52"/>
  <c r="C27" i="52"/>
  <c r="D16" i="52"/>
  <c r="O45" i="52"/>
  <c r="M9" i="52"/>
  <c r="I35" i="52"/>
  <c r="J12" i="52"/>
  <c r="C46" i="52"/>
  <c r="D36" i="52"/>
  <c r="E25" i="52"/>
  <c r="C16" i="52"/>
  <c r="N45" i="52"/>
  <c r="O8" i="52"/>
  <c r="H35" i="52"/>
  <c r="I12" i="52"/>
  <c r="E45" i="52"/>
  <c r="C36" i="52"/>
  <c r="D25" i="52"/>
  <c r="E15" i="52"/>
  <c r="D4" i="52"/>
  <c r="D3" i="52"/>
  <c r="C4" i="52"/>
  <c r="C3" i="52"/>
  <c r="E10" i="52"/>
  <c r="D10" i="52"/>
  <c r="E9" i="52"/>
  <c r="D9" i="52"/>
  <c r="E7" i="52"/>
  <c r="D7" i="52"/>
  <c r="C7" i="52"/>
  <c r="E6" i="52"/>
  <c r="D6" i="52"/>
  <c r="C6" i="52"/>
  <c r="E4" i="52"/>
  <c r="E3" i="52"/>
  <c r="C3" i="5"/>
  <c r="E18" i="40"/>
  <c r="K39" i="64"/>
  <c r="J39" i="64"/>
  <c r="K40" i="64"/>
  <c r="J40" i="64"/>
  <c r="K41" i="64"/>
  <c r="J41" i="64"/>
  <c r="K42" i="64"/>
  <c r="J42" i="64"/>
  <c r="K38" i="64"/>
  <c r="J38" i="64"/>
  <c r="K39" i="63"/>
  <c r="J39" i="63"/>
  <c r="K40" i="63"/>
  <c r="J40" i="63"/>
  <c r="K41" i="63"/>
  <c r="J41" i="63"/>
  <c r="K42" i="63"/>
  <c r="J42" i="63"/>
  <c r="K39" i="62"/>
  <c r="J39" i="62"/>
  <c r="K40" i="62"/>
  <c r="J40" i="62"/>
  <c r="K41" i="62"/>
  <c r="J41" i="62"/>
  <c r="K42" i="62"/>
  <c r="J42" i="62"/>
  <c r="K38" i="62"/>
  <c r="J38" i="62"/>
  <c r="K41" i="61"/>
  <c r="J41" i="61"/>
  <c r="K42" i="61"/>
  <c r="J42" i="61"/>
  <c r="K40" i="61"/>
  <c r="J40" i="61"/>
  <c r="K39" i="61"/>
  <c r="J39" i="61"/>
  <c r="K39" i="60"/>
  <c r="J39" i="60"/>
  <c r="K40" i="60"/>
  <c r="J40" i="60"/>
  <c r="K41" i="60"/>
  <c r="J41" i="60"/>
  <c r="K42" i="60"/>
  <c r="J42" i="60"/>
  <c r="K39" i="59"/>
  <c r="J39" i="59"/>
  <c r="K40" i="59"/>
  <c r="J40" i="59"/>
  <c r="K41" i="59"/>
  <c r="J41" i="59"/>
  <c r="K42" i="59"/>
  <c r="J42" i="59"/>
  <c r="K41" i="58"/>
  <c r="J41" i="58"/>
  <c r="J42" i="58"/>
  <c r="K42" i="58"/>
  <c r="K39" i="58"/>
  <c r="J39" i="58"/>
  <c r="J40" i="58"/>
  <c r="K40" i="58"/>
  <c r="K39" i="57"/>
  <c r="J39" i="57"/>
  <c r="K40" i="57"/>
  <c r="J40" i="57"/>
  <c r="K41" i="57"/>
  <c r="J41" i="57"/>
  <c r="J42" i="57"/>
  <c r="K42" i="57"/>
  <c r="K38" i="57"/>
  <c r="J38" i="57"/>
  <c r="K39" i="56"/>
  <c r="J39" i="56"/>
  <c r="K40" i="56"/>
  <c r="J40" i="56"/>
  <c r="K41" i="56"/>
  <c r="J41" i="56"/>
  <c r="K42" i="56"/>
  <c r="J42" i="56"/>
  <c r="K38" i="56"/>
  <c r="J38" i="56"/>
  <c r="K38" i="55"/>
  <c r="J38" i="55"/>
  <c r="K39" i="55"/>
  <c r="J39" i="55"/>
  <c r="K40" i="55"/>
  <c r="J40" i="55"/>
  <c r="K41" i="55"/>
  <c r="J41" i="55"/>
  <c r="K42" i="55"/>
  <c r="J42" i="55"/>
  <c r="K38" i="54"/>
  <c r="J38" i="54"/>
  <c r="K39" i="54"/>
  <c r="J39" i="54"/>
  <c r="K40" i="54"/>
  <c r="J40" i="54"/>
  <c r="J41" i="54"/>
  <c r="K41" i="54"/>
  <c r="K42" i="54"/>
  <c r="J42" i="54"/>
  <c r="K39" i="53"/>
  <c r="J39" i="53"/>
  <c r="K40" i="53"/>
  <c r="J40" i="53"/>
  <c r="K41" i="53"/>
  <c r="J41" i="53"/>
  <c r="K42" i="53"/>
  <c r="J42" i="53"/>
  <c r="B2" i="52"/>
  <c r="B26" i="52"/>
  <c r="F37" i="37"/>
  <c r="D24" i="37" s="1"/>
  <c r="J40" i="37"/>
  <c r="G42" i="37"/>
  <c r="J39" i="37"/>
  <c r="G37" i="37"/>
  <c r="C25" i="37" s="1"/>
  <c r="K40" i="37"/>
  <c r="J41" i="37"/>
  <c r="K41" i="37"/>
  <c r="F42" i="37"/>
  <c r="C27" i="37" s="1"/>
  <c r="J42" i="37"/>
  <c r="K39" i="37"/>
  <c r="K42" i="37"/>
  <c r="F39" i="37"/>
  <c r="E24" i="37" s="1"/>
  <c r="G40" i="37"/>
  <c r="F25" i="37" s="1"/>
  <c r="G39" i="37"/>
  <c r="C26" i="37" s="1"/>
  <c r="F41" i="37"/>
  <c r="E25" i="37" s="1"/>
  <c r="G41" i="37"/>
  <c r="D26" i="37" s="1"/>
  <c r="K38" i="37"/>
  <c r="G38" i="37"/>
  <c r="E27" i="37" s="1"/>
  <c r="C38" i="37"/>
  <c r="B29" i="52"/>
  <c r="B35" i="52"/>
  <c r="B14" i="52"/>
  <c r="B41" i="52"/>
  <c r="B47" i="52"/>
  <c r="B20" i="52"/>
  <c r="G10" i="52"/>
  <c r="B32" i="52"/>
  <c r="B5" i="52"/>
  <c r="B38" i="52"/>
  <c r="B44" i="52"/>
  <c r="B17" i="52"/>
  <c r="B11" i="52"/>
  <c r="B23" i="52"/>
  <c r="C42" i="37"/>
  <c r="AB4" i="24"/>
  <c r="C41" i="37"/>
  <c r="AC3" i="24"/>
  <c r="C19" i="43"/>
  <c r="D19" i="41"/>
  <c r="I38" i="46"/>
  <c r="E13" i="46" s="1"/>
  <c r="H38" i="44"/>
  <c r="F12" i="44" s="1"/>
  <c r="H38" i="49"/>
  <c r="F12" i="49" s="1"/>
  <c r="I38" i="45"/>
  <c r="E13" i="45" s="1"/>
  <c r="F38" i="37"/>
  <c r="F26" i="37" s="1"/>
  <c r="H40" i="45"/>
  <c r="D13" i="45" s="1"/>
  <c r="I40" i="42"/>
  <c r="F11" i="42" s="1"/>
  <c r="H40" i="43"/>
  <c r="D13" i="43" s="1"/>
  <c r="I40" i="49"/>
  <c r="F11" i="49" s="1"/>
  <c r="H40" i="47"/>
  <c r="D13" i="47" s="1"/>
  <c r="F40" i="37"/>
  <c r="D27" i="37" s="1"/>
  <c r="E18" i="41"/>
  <c r="E25" i="41"/>
  <c r="I41" i="39"/>
  <c r="D12" i="39" s="1"/>
  <c r="I41" i="40"/>
  <c r="D12" i="40" s="1"/>
  <c r="H41" i="48"/>
  <c r="E11" i="48" s="1"/>
  <c r="H41" i="42"/>
  <c r="E11" i="42" s="1"/>
  <c r="I41" i="45"/>
  <c r="D12" i="45" s="1"/>
  <c r="D35" i="22"/>
  <c r="D15" i="22"/>
  <c r="D34" i="22"/>
  <c r="D14" i="22"/>
  <c r="D33" i="22"/>
  <c r="D13" i="22"/>
  <c r="D49" i="22"/>
  <c r="D32" i="22"/>
  <c r="D12" i="22"/>
  <c r="D31" i="22"/>
  <c r="D10" i="22"/>
  <c r="D9" i="22"/>
  <c r="D11" i="22"/>
  <c r="D30" i="22"/>
  <c r="D29" i="22"/>
  <c r="D48" i="22"/>
  <c r="D28" i="22"/>
  <c r="D8" i="22"/>
  <c r="D47" i="22"/>
  <c r="D27" i="22"/>
  <c r="D7" i="22"/>
  <c r="D38" i="22"/>
  <c r="D37" i="22"/>
  <c r="D16" i="22"/>
  <c r="D46" i="22"/>
  <c r="D26" i="22"/>
  <c r="D6" i="22"/>
  <c r="D45" i="22"/>
  <c r="D25" i="22"/>
  <c r="D5" i="22"/>
  <c r="D36" i="22"/>
  <c r="D24" i="22"/>
  <c r="D4" i="22"/>
  <c r="D18" i="22"/>
  <c r="D44" i="22"/>
  <c r="D17" i="22"/>
  <c r="D43" i="22"/>
  <c r="D23" i="22"/>
  <c r="D3" i="22"/>
  <c r="D42" i="22"/>
  <c r="D22" i="22"/>
  <c r="D2" i="22"/>
  <c r="D19" i="22"/>
  <c r="D41" i="22"/>
  <c r="D21" i="22"/>
  <c r="D40" i="22"/>
  <c r="D20" i="22"/>
  <c r="D39" i="22"/>
  <c r="I37" i="39"/>
  <c r="C11" i="39" s="1"/>
  <c r="I37" i="43"/>
  <c r="C11" i="43" s="1"/>
  <c r="H37" i="40"/>
  <c r="D10" i="40" s="1"/>
  <c r="I39" i="46"/>
  <c r="C12" i="46" s="1"/>
  <c r="I39" i="47"/>
  <c r="C12" i="47" s="1"/>
  <c r="H39" i="45"/>
  <c r="E10" i="45" s="1"/>
  <c r="H39" i="42"/>
  <c r="E10" i="42" s="1"/>
  <c r="H39" i="48"/>
  <c r="E10" i="48" s="1"/>
  <c r="H39" i="44"/>
  <c r="E10" i="44" s="1"/>
  <c r="H42" i="45"/>
  <c r="C13" i="45" s="1"/>
  <c r="H42" i="42"/>
  <c r="C13" i="42" s="1"/>
  <c r="H42" i="44"/>
  <c r="C13" i="44" s="1"/>
  <c r="E27" i="45"/>
  <c r="E20" i="45"/>
  <c r="C19" i="46"/>
  <c r="E27" i="43"/>
  <c r="E24" i="45"/>
  <c r="E17" i="45"/>
  <c r="D26" i="49"/>
  <c r="C26" i="40"/>
  <c r="E27" i="48"/>
  <c r="E27" i="49"/>
  <c r="E20" i="49"/>
  <c r="E27" i="47"/>
  <c r="E20" i="47"/>
  <c r="E27" i="42"/>
  <c r="AB33" i="24"/>
  <c r="G41" i="46"/>
  <c r="E18" i="48"/>
  <c r="E25" i="48"/>
  <c r="E18" i="45"/>
  <c r="C25" i="44"/>
  <c r="F25" i="44"/>
  <c r="D26" i="43"/>
  <c r="F24" i="44"/>
  <c r="F17" i="44"/>
  <c r="C19" i="48"/>
  <c r="C26" i="48"/>
  <c r="F19" i="46"/>
  <c r="E27" i="46"/>
  <c r="E20" i="46"/>
  <c r="E27" i="39"/>
  <c r="F25" i="39"/>
  <c r="F24" i="45"/>
  <c r="F17" i="45"/>
  <c r="C25" i="46"/>
  <c r="C25" i="42"/>
  <c r="F24" i="43"/>
  <c r="F24" i="49"/>
  <c r="C26" i="45"/>
  <c r="F25" i="43"/>
  <c r="E24" i="44"/>
  <c r="E17" i="44"/>
  <c r="D19" i="48"/>
  <c r="D26" i="48"/>
  <c r="C25" i="47"/>
  <c r="I38" i="44"/>
  <c r="E13" i="44" s="1"/>
  <c r="E27" i="44"/>
  <c r="F25" i="47"/>
  <c r="F18" i="47"/>
  <c r="F26" i="49"/>
  <c r="F19" i="49"/>
  <c r="F19" i="47"/>
  <c r="C18" i="39"/>
  <c r="C25" i="39"/>
  <c r="D24" i="44"/>
  <c r="F25" i="49"/>
  <c r="D26" i="40"/>
  <c r="D19" i="40"/>
  <c r="C18" i="41"/>
  <c r="C25" i="41"/>
  <c r="D27" i="49"/>
  <c r="C18" i="43"/>
  <c r="C25" i="43"/>
  <c r="C26" i="44"/>
  <c r="C19" i="44"/>
  <c r="F24" i="39"/>
  <c r="D17" i="40"/>
  <c r="D24" i="40"/>
  <c r="E17" i="42"/>
  <c r="E24" i="42"/>
  <c r="C18" i="40"/>
  <c r="C25" i="40"/>
  <c r="C25" i="48"/>
  <c r="E17" i="46"/>
  <c r="E24" i="46"/>
  <c r="E18" i="47"/>
  <c r="E25" i="47"/>
  <c r="C27" i="43"/>
  <c r="C25" i="49"/>
  <c r="D19" i="45"/>
  <c r="D26" i="45"/>
  <c r="E17" i="48"/>
  <c r="F25" i="46"/>
  <c r="C20" i="44"/>
  <c r="C26" i="42"/>
  <c r="C19" i="42"/>
  <c r="E27" i="40"/>
  <c r="F19" i="40"/>
  <c r="F25" i="42"/>
  <c r="F25" i="40"/>
  <c r="C25" i="45"/>
  <c r="E24" i="43"/>
  <c r="F25" i="41"/>
  <c r="D19" i="47"/>
  <c r="F25" i="48"/>
  <c r="D17" i="39"/>
  <c r="D24" i="39"/>
  <c r="D17" i="43"/>
  <c r="D24" i="43"/>
  <c r="D17" i="49"/>
  <c r="C26" i="39"/>
  <c r="C26" i="47"/>
  <c r="F24" i="48"/>
  <c r="F24" i="40"/>
  <c r="D20" i="42"/>
  <c r="D27" i="42"/>
  <c r="F24" i="42"/>
  <c r="F25" i="45"/>
  <c r="C20" i="45"/>
  <c r="E18" i="39"/>
  <c r="D26" i="39"/>
  <c r="D19" i="39"/>
  <c r="D20" i="47"/>
  <c r="F19" i="45"/>
  <c r="E27" i="41"/>
  <c r="AC59" i="24"/>
  <c r="AF75" i="24"/>
  <c r="D45" i="24" s="1"/>
  <c r="L39" i="24" s="1"/>
  <c r="AF26" i="24"/>
  <c r="D17" i="24" s="1"/>
  <c r="L26" i="24" s="1"/>
  <c r="AF82" i="24"/>
  <c r="D49" i="24" s="1"/>
  <c r="L47" i="24" s="1"/>
  <c r="AF62" i="24"/>
  <c r="D38" i="24" s="1"/>
  <c r="L30" i="24" s="1"/>
  <c r="AF67" i="24"/>
  <c r="D40" i="24" s="1"/>
  <c r="L27" i="24" s="1"/>
  <c r="AC31" i="24"/>
  <c r="AF73" i="24"/>
  <c r="D43" i="24" s="1"/>
  <c r="L7" i="24" s="1"/>
  <c r="AC41" i="24"/>
  <c r="AA5" i="24"/>
  <c r="AF61" i="24"/>
  <c r="D37" i="24" s="1"/>
  <c r="L41" i="24" s="1"/>
  <c r="C39" i="37"/>
  <c r="AF60" i="24"/>
  <c r="D36" i="24" s="1"/>
  <c r="C40" i="37"/>
  <c r="AF27" i="24"/>
  <c r="D18" i="24" s="1"/>
  <c r="L22" i="24" s="1"/>
  <c r="C37" i="37"/>
  <c r="AB39" i="24"/>
  <c r="AB5" i="24"/>
  <c r="AC6" i="24"/>
  <c r="AC82" i="24"/>
  <c r="Z59" i="24"/>
  <c r="AA52" i="24"/>
  <c r="AA4" i="24"/>
  <c r="AB34" i="24"/>
  <c r="AA10" i="24"/>
  <c r="AA66" i="24"/>
  <c r="AA38" i="24"/>
  <c r="AA75" i="24"/>
  <c r="AA26" i="24"/>
  <c r="AC66" i="24"/>
  <c r="AC33" i="24"/>
  <c r="AA11" i="24"/>
  <c r="AA24" i="24"/>
  <c r="AA59" i="24"/>
  <c r="AA80" i="24"/>
  <c r="Y4" i="24"/>
  <c r="AA32" i="24"/>
  <c r="AA46" i="24"/>
  <c r="AA45" i="24"/>
  <c r="AA3" i="24"/>
  <c r="AB83" i="24"/>
  <c r="Z73" i="24"/>
  <c r="AA41" i="24"/>
  <c r="AA60" i="24"/>
  <c r="AC27" i="24"/>
  <c r="AA48" i="24"/>
  <c r="AA19" i="24"/>
  <c r="AA34" i="24"/>
  <c r="AF74" i="24"/>
  <c r="D44" i="24" s="1"/>
  <c r="L38" i="24" s="1"/>
  <c r="AB67" i="24"/>
  <c r="AF12" i="24"/>
  <c r="D9" i="24" s="1"/>
  <c r="L40" i="24" s="1"/>
  <c r="AA68" i="24"/>
  <c r="AA54" i="24"/>
  <c r="AA31" i="24"/>
  <c r="AA47" i="24"/>
  <c r="AA13" i="24"/>
  <c r="AA69" i="24"/>
  <c r="AA18" i="24"/>
  <c r="AA33" i="24"/>
  <c r="AA12" i="24"/>
  <c r="AA83" i="24"/>
  <c r="AA55" i="24"/>
  <c r="AA17" i="24"/>
  <c r="AA62" i="24"/>
  <c r="AA76" i="24"/>
  <c r="AA61" i="24"/>
  <c r="AA74" i="24"/>
  <c r="AA6" i="24"/>
  <c r="AA39" i="24"/>
  <c r="AA67" i="24"/>
  <c r="Z39" i="24"/>
  <c r="AA27" i="24"/>
  <c r="Y10" i="24"/>
  <c r="AB32" i="24"/>
  <c r="AC26" i="24"/>
  <c r="AA82" i="24"/>
  <c r="AA25" i="24"/>
  <c r="AB38" i="24"/>
  <c r="AA73" i="24"/>
  <c r="AA53" i="24"/>
  <c r="AA20" i="24"/>
  <c r="AF83" i="24"/>
  <c r="D50" i="24" s="1"/>
  <c r="AA40" i="24"/>
  <c r="AA81" i="24"/>
  <c r="AF13" i="24"/>
  <c r="D10" i="24" s="1"/>
  <c r="L20" i="24" s="1"/>
  <c r="Z4" i="24"/>
  <c r="AC69" i="24"/>
  <c r="Z3" i="24"/>
  <c r="Y67" i="24"/>
  <c r="Y24" i="24"/>
  <c r="Z27" i="24"/>
  <c r="AB68" i="24"/>
  <c r="AB82" i="24"/>
  <c r="Z19" i="24"/>
  <c r="AC54" i="24"/>
  <c r="Y3" i="24"/>
  <c r="Z48" i="24"/>
  <c r="Z12" i="24"/>
  <c r="AC55" i="24"/>
  <c r="AB60" i="24"/>
  <c r="Z20" i="24"/>
  <c r="Z17" i="24"/>
  <c r="Y12" i="24"/>
  <c r="Z82" i="24"/>
  <c r="Y66" i="24"/>
  <c r="Z33" i="24"/>
  <c r="Z81" i="24"/>
  <c r="Y54" i="24"/>
  <c r="Z53" i="24"/>
  <c r="Z31" i="24"/>
  <c r="Y33" i="24"/>
  <c r="Z13" i="24"/>
  <c r="Z47" i="24"/>
  <c r="Z66" i="24"/>
  <c r="AF68" i="24"/>
  <c r="D41" i="24" s="1"/>
  <c r="L24" i="24" s="1"/>
  <c r="Y13" i="24"/>
  <c r="AC62" i="24"/>
  <c r="Z5" i="24"/>
  <c r="Y5" i="24"/>
  <c r="Y31" i="24"/>
  <c r="Z32" i="24"/>
  <c r="AB66" i="24"/>
  <c r="AB61" i="24"/>
  <c r="AC61" i="24"/>
  <c r="AC68" i="24"/>
  <c r="AF76" i="24"/>
  <c r="D46" i="24" s="1"/>
  <c r="L14" i="24" s="1"/>
  <c r="AC40" i="24"/>
  <c r="AF59" i="24"/>
  <c r="D35" i="24" s="1"/>
  <c r="AB54" i="24"/>
  <c r="AB62" i="24"/>
  <c r="AF69" i="24"/>
  <c r="D42" i="24" s="1"/>
  <c r="L44" i="24" s="1"/>
  <c r="AC83" i="24"/>
  <c r="Y81" i="24"/>
  <c r="Z83" i="24"/>
  <c r="Y61" i="24"/>
  <c r="AB26" i="24"/>
  <c r="AB40" i="24"/>
  <c r="Z34" i="24"/>
  <c r="Y45" i="24"/>
  <c r="Z10" i="24"/>
  <c r="Y73" i="24"/>
  <c r="Y11" i="24"/>
  <c r="Y53" i="24"/>
  <c r="Z55" i="24"/>
  <c r="Z54" i="24"/>
  <c r="Z46" i="24"/>
  <c r="Z24" i="24"/>
  <c r="Y25" i="24"/>
  <c r="Y76" i="24"/>
  <c r="Y83" i="24"/>
  <c r="Y74" i="24"/>
  <c r="Y19" i="24"/>
  <c r="Y46" i="24"/>
  <c r="Z68" i="24"/>
  <c r="Y41" i="24"/>
  <c r="Y52" i="24"/>
  <c r="Z61" i="24"/>
  <c r="Z52" i="24"/>
  <c r="Y20" i="24"/>
  <c r="Z6" i="24"/>
  <c r="Y59" i="24"/>
  <c r="Y48" i="24"/>
  <c r="Y32" i="24"/>
  <c r="Y34" i="24"/>
  <c r="Y55" i="24"/>
  <c r="Z26" i="24"/>
  <c r="Y47" i="24"/>
  <c r="Z41" i="24"/>
  <c r="Y27" i="24"/>
  <c r="Z40" i="24"/>
  <c r="AC34" i="24"/>
  <c r="Y69" i="24"/>
  <c r="AF66" i="24"/>
  <c r="D39" i="24" s="1"/>
  <c r="Z76" i="24"/>
  <c r="Z45" i="24"/>
  <c r="Y26" i="24"/>
  <c r="Z75" i="24"/>
  <c r="Y82" i="24"/>
  <c r="Y6" i="24"/>
  <c r="Z11" i="24"/>
  <c r="AB55" i="24"/>
  <c r="Y39" i="24"/>
  <c r="Y62" i="24"/>
  <c r="Y18" i="24"/>
  <c r="AB41" i="24"/>
  <c r="Z67" i="24"/>
  <c r="AC38" i="24"/>
  <c r="E30" i="45" s="1"/>
  <c r="AB69" i="24"/>
  <c r="Z25" i="24"/>
  <c r="Y60" i="24"/>
  <c r="Z38" i="24"/>
  <c r="Y17" i="24"/>
  <c r="Z18" i="24"/>
  <c r="Z69" i="24"/>
  <c r="Y75" i="24"/>
  <c r="Z60" i="24"/>
  <c r="AB27" i="24"/>
  <c r="Y68" i="24"/>
  <c r="Z74" i="24"/>
  <c r="Z62" i="24"/>
  <c r="AC39" i="24"/>
  <c r="Z80" i="24"/>
  <c r="Y80" i="24"/>
  <c r="Y38" i="24"/>
  <c r="Y40" i="24"/>
  <c r="AB52" i="24"/>
  <c r="AC53" i="24"/>
  <c r="AC80" i="24"/>
  <c r="AB81" i="24"/>
  <c r="AB45" i="24"/>
  <c r="AC46" i="24"/>
  <c r="AB75" i="24"/>
  <c r="AC76" i="24"/>
  <c r="AB73" i="24"/>
  <c r="AC74" i="24"/>
  <c r="AC18" i="24"/>
  <c r="AB17" i="24"/>
  <c r="AC52" i="24"/>
  <c r="AB53" i="24"/>
  <c r="AB59" i="24"/>
  <c r="AC60" i="24"/>
  <c r="AB19" i="24"/>
  <c r="AC20" i="24"/>
  <c r="AC24" i="24"/>
  <c r="AB25" i="24"/>
  <c r="AB47" i="24"/>
  <c r="AC48" i="24"/>
  <c r="AB80" i="24"/>
  <c r="AC81" i="24"/>
  <c r="AC67" i="24"/>
  <c r="AB31" i="24"/>
  <c r="AC32" i="24"/>
  <c r="AC75" i="24"/>
  <c r="AB76" i="24"/>
  <c r="AC47" i="24"/>
  <c r="AB48" i="24"/>
  <c r="AB24" i="24"/>
  <c r="AC25" i="24"/>
  <c r="AB74" i="24"/>
  <c r="AC73" i="24"/>
  <c r="AB46" i="24"/>
  <c r="D31" i="43" s="1"/>
  <c r="AC45" i="24"/>
  <c r="AC19" i="24"/>
  <c r="AB20" i="24"/>
  <c r="AB18" i="24"/>
  <c r="AC17" i="24"/>
  <c r="AF6" i="24"/>
  <c r="AC10" i="24"/>
  <c r="AB11" i="24"/>
  <c r="AB12" i="24"/>
  <c r="AC13" i="24"/>
  <c r="AB10" i="24"/>
  <c r="AC11" i="24"/>
  <c r="AC12" i="24"/>
  <c r="AB13" i="24"/>
  <c r="AC5" i="24"/>
  <c r="AB6" i="24"/>
  <c r="AC4" i="24"/>
  <c r="AB3" i="24"/>
  <c r="C19" i="47" l="1"/>
  <c r="G19" i="47" s="1"/>
  <c r="E25" i="43"/>
  <c r="E18" i="43"/>
  <c r="E24" i="47"/>
  <c r="H38" i="43"/>
  <c r="F12" i="43" s="1"/>
  <c r="I38" i="42"/>
  <c r="E13" i="42" s="1"/>
  <c r="F18" i="48"/>
  <c r="H38" i="47"/>
  <c r="F12" i="47" s="1"/>
  <c r="D20" i="48"/>
  <c r="F17" i="42"/>
  <c r="G17" i="42" s="1"/>
  <c r="C20" i="42"/>
  <c r="E18" i="49"/>
  <c r="E17" i="49"/>
  <c r="C19" i="49"/>
  <c r="D19" i="49"/>
  <c r="C27" i="41"/>
  <c r="I37" i="42"/>
  <c r="C11" i="42" s="1"/>
  <c r="G11" i="42" s="1"/>
  <c r="D24" i="47"/>
  <c r="D17" i="47"/>
  <c r="F18" i="46"/>
  <c r="C27" i="47"/>
  <c r="G27" i="47" s="1"/>
  <c r="C18" i="44"/>
  <c r="C18" i="48"/>
  <c r="D20" i="46"/>
  <c r="F17" i="47"/>
  <c r="D24" i="48"/>
  <c r="G24" i="48" s="1"/>
  <c r="H37" i="45"/>
  <c r="D10" i="45" s="1"/>
  <c r="C19" i="39"/>
  <c r="D24" i="49"/>
  <c r="G24" i="49" s="1"/>
  <c r="F26" i="40"/>
  <c r="G26" i="40" s="1"/>
  <c r="I37" i="46"/>
  <c r="C11" i="46" s="1"/>
  <c r="F19" i="48"/>
  <c r="C18" i="42"/>
  <c r="H37" i="48"/>
  <c r="D10" i="48" s="1"/>
  <c r="D24" i="42"/>
  <c r="G24" i="42" s="1"/>
  <c r="D17" i="41"/>
  <c r="I37" i="47"/>
  <c r="C11" i="47" s="1"/>
  <c r="E25" i="44"/>
  <c r="G25" i="44" s="1"/>
  <c r="H37" i="49"/>
  <c r="D10" i="49" s="1"/>
  <c r="G10" i="49" s="1"/>
  <c r="F19" i="42"/>
  <c r="G19" i="42" s="1"/>
  <c r="C18" i="46"/>
  <c r="I38" i="48"/>
  <c r="E13" i="48" s="1"/>
  <c r="F18" i="49"/>
  <c r="F26" i="48"/>
  <c r="G26" i="48" s="1"/>
  <c r="C20" i="43"/>
  <c r="D24" i="46"/>
  <c r="G24" i="46" s="1"/>
  <c r="E20" i="42"/>
  <c r="E25" i="42"/>
  <c r="G25" i="42" s="1"/>
  <c r="E18" i="42"/>
  <c r="C20" i="41"/>
  <c r="D24" i="45"/>
  <c r="G24" i="45" s="1"/>
  <c r="F18" i="43"/>
  <c r="G18" i="43" s="1"/>
  <c r="D20" i="43"/>
  <c r="F18" i="45"/>
  <c r="G18" i="45" s="1"/>
  <c r="C27" i="46"/>
  <c r="G27" i="46" s="1"/>
  <c r="C20" i="46"/>
  <c r="E20" i="43"/>
  <c r="F26" i="43"/>
  <c r="G26" i="43" s="1"/>
  <c r="E20" i="44"/>
  <c r="G20" i="44" s="1"/>
  <c r="D27" i="45"/>
  <c r="G27" i="45" s="1"/>
  <c r="E24" i="39"/>
  <c r="G24" i="39" s="1"/>
  <c r="D27" i="41"/>
  <c r="D20" i="41"/>
  <c r="F19" i="44"/>
  <c r="G19" i="44" s="1"/>
  <c r="C27" i="40"/>
  <c r="C20" i="40"/>
  <c r="G20" i="40" s="1"/>
  <c r="D27" i="39"/>
  <c r="F18" i="40"/>
  <c r="G18" i="40" s="1"/>
  <c r="D20" i="39"/>
  <c r="F17" i="48"/>
  <c r="G17" i="48" s="1"/>
  <c r="C20" i="48"/>
  <c r="C27" i="49"/>
  <c r="G27" i="49" s="1"/>
  <c r="D27" i="40"/>
  <c r="L5" i="24"/>
  <c r="E18" i="44"/>
  <c r="E24" i="41"/>
  <c r="G24" i="41" s="1"/>
  <c r="E17" i="41"/>
  <c r="C19" i="40"/>
  <c r="G19" i="40" s="1"/>
  <c r="E17" i="40"/>
  <c r="G17" i="40" s="1"/>
  <c r="E20" i="41"/>
  <c r="D17" i="45"/>
  <c r="G17" i="45" s="1"/>
  <c r="E20" i="39"/>
  <c r="F19" i="41"/>
  <c r="G19" i="41" s="1"/>
  <c r="D27" i="44"/>
  <c r="G27" i="44" s="1"/>
  <c r="F17" i="49"/>
  <c r="F18" i="44"/>
  <c r="F19" i="39"/>
  <c r="C27" i="39"/>
  <c r="F17" i="39"/>
  <c r="G17" i="39" s="1"/>
  <c r="L32" i="24"/>
  <c r="L3" i="24"/>
  <c r="K32" i="64"/>
  <c r="K33" i="64"/>
  <c r="K33" i="62"/>
  <c r="K32" i="62"/>
  <c r="I38" i="41"/>
  <c r="E13" i="41" s="1"/>
  <c r="F19" i="37"/>
  <c r="E20" i="37"/>
  <c r="K32" i="57"/>
  <c r="K33" i="57"/>
  <c r="K33" i="55"/>
  <c r="K33" i="56"/>
  <c r="K32" i="55"/>
  <c r="K32" i="56"/>
  <c r="K33" i="53"/>
  <c r="K33" i="54"/>
  <c r="K32" i="54"/>
  <c r="I38" i="37"/>
  <c r="E13" i="37" s="1"/>
  <c r="H38" i="37"/>
  <c r="F12" i="37" s="1"/>
  <c r="G25" i="37"/>
  <c r="C20" i="1"/>
  <c r="C6" i="1"/>
  <c r="C49" i="1"/>
  <c r="C13" i="1"/>
  <c r="C26" i="1"/>
  <c r="C21" i="1"/>
  <c r="C46" i="1"/>
  <c r="C33" i="1"/>
  <c r="C41" i="1"/>
  <c r="C16" i="1"/>
  <c r="C14" i="1"/>
  <c r="C19" i="1"/>
  <c r="C37" i="1"/>
  <c r="C34" i="1"/>
  <c r="C2" i="1"/>
  <c r="C38" i="1"/>
  <c r="C15" i="1"/>
  <c r="C22" i="1"/>
  <c r="C7" i="1"/>
  <c r="C35" i="1"/>
  <c r="E30" i="37"/>
  <c r="C42" i="1"/>
  <c r="C27" i="1"/>
  <c r="C40" i="1"/>
  <c r="C3" i="1"/>
  <c r="C47" i="1"/>
  <c r="D31" i="37"/>
  <c r="C23" i="1"/>
  <c r="C8" i="1"/>
  <c r="C43" i="1"/>
  <c r="C28" i="1"/>
  <c r="C17" i="1"/>
  <c r="C48" i="1"/>
  <c r="C44" i="1"/>
  <c r="C29" i="1"/>
  <c r="C18" i="1"/>
  <c r="C30" i="1"/>
  <c r="C4" i="1"/>
  <c r="C11" i="1"/>
  <c r="C24" i="1"/>
  <c r="C9" i="1"/>
  <c r="C36" i="1"/>
  <c r="C10" i="1"/>
  <c r="C5" i="1"/>
  <c r="C31" i="1"/>
  <c r="C25" i="1"/>
  <c r="C12" i="1"/>
  <c r="C39" i="1"/>
  <c r="C45" i="1"/>
  <c r="C32" i="1"/>
  <c r="E21" i="22"/>
  <c r="E46" i="22"/>
  <c r="E33" i="22"/>
  <c r="E19" i="22"/>
  <c r="E34" i="22"/>
  <c r="E38" i="22"/>
  <c r="E15" i="22"/>
  <c r="E22" i="22"/>
  <c r="E7" i="22"/>
  <c r="E35" i="22"/>
  <c r="E42" i="22"/>
  <c r="E27" i="22"/>
  <c r="E3" i="22"/>
  <c r="E47" i="22"/>
  <c r="E23" i="22"/>
  <c r="E8" i="22"/>
  <c r="E43" i="22"/>
  <c r="E28" i="22"/>
  <c r="E17" i="22"/>
  <c r="E48" i="22"/>
  <c r="E44" i="22"/>
  <c r="E29" i="22"/>
  <c r="E30" i="22"/>
  <c r="E4" i="22"/>
  <c r="E11" i="22"/>
  <c r="E14" i="22"/>
  <c r="E24" i="22"/>
  <c r="E9" i="22"/>
  <c r="E37" i="22"/>
  <c r="E36" i="22"/>
  <c r="E10" i="22"/>
  <c r="E5" i="22"/>
  <c r="E31" i="22"/>
  <c r="E16" i="22"/>
  <c r="E18" i="22"/>
  <c r="E25" i="22"/>
  <c r="E12" i="22"/>
  <c r="E39" i="22"/>
  <c r="E45" i="22"/>
  <c r="E32" i="22"/>
  <c r="E41" i="22"/>
  <c r="E20" i="22"/>
  <c r="E6" i="22"/>
  <c r="E49" i="22"/>
  <c r="E40" i="22"/>
  <c r="E26" i="22"/>
  <c r="E13" i="22"/>
  <c r="E2" i="22"/>
  <c r="H38" i="42"/>
  <c r="F12" i="42" s="1"/>
  <c r="I38" i="40"/>
  <c r="E13" i="40" s="1"/>
  <c r="I38" i="43"/>
  <c r="E13" i="43" s="1"/>
  <c r="I41" i="44"/>
  <c r="D12" i="44" s="1"/>
  <c r="H38" i="45"/>
  <c r="F12" i="45" s="1"/>
  <c r="H40" i="41"/>
  <c r="D13" i="41" s="1"/>
  <c r="H41" i="40"/>
  <c r="E11" i="40" s="1"/>
  <c r="H42" i="41"/>
  <c r="C13" i="41" s="1"/>
  <c r="I40" i="39"/>
  <c r="F11" i="39" s="1"/>
  <c r="I41" i="47"/>
  <c r="D12" i="47" s="1"/>
  <c r="I38" i="39"/>
  <c r="E13" i="39" s="1"/>
  <c r="I40" i="47"/>
  <c r="F11" i="47" s="1"/>
  <c r="I41" i="48"/>
  <c r="D12" i="48" s="1"/>
  <c r="I40" i="43"/>
  <c r="F11" i="43" s="1"/>
  <c r="G11" i="43" s="1"/>
  <c r="I38" i="49"/>
  <c r="E13" i="49" s="1"/>
  <c r="H41" i="39"/>
  <c r="E11" i="39" s="1"/>
  <c r="H37" i="43"/>
  <c r="D10" i="43" s="1"/>
  <c r="H40" i="48"/>
  <c r="D13" i="48" s="1"/>
  <c r="I39" i="42"/>
  <c r="C12" i="42" s="1"/>
  <c r="I40" i="45"/>
  <c r="F11" i="45" s="1"/>
  <c r="H37" i="39"/>
  <c r="D10" i="39" s="1"/>
  <c r="G10" i="39" s="1"/>
  <c r="I39" i="45"/>
  <c r="C12" i="45" s="1"/>
  <c r="I39" i="44"/>
  <c r="C12" i="44" s="1"/>
  <c r="I42" i="42"/>
  <c r="F10" i="42" s="1"/>
  <c r="I37" i="40"/>
  <c r="C11" i="40" s="1"/>
  <c r="H38" i="48"/>
  <c r="F12" i="48" s="1"/>
  <c r="H42" i="43"/>
  <c r="C13" i="43" s="1"/>
  <c r="H40" i="44"/>
  <c r="D13" i="44" s="1"/>
  <c r="G13" i="44" s="1"/>
  <c r="H37" i="44"/>
  <c r="D10" i="44" s="1"/>
  <c r="H38" i="46"/>
  <c r="F12" i="46" s="1"/>
  <c r="H40" i="49"/>
  <c r="D13" i="49" s="1"/>
  <c r="H37" i="42"/>
  <c r="D10" i="42" s="1"/>
  <c r="I39" i="39"/>
  <c r="C12" i="39" s="1"/>
  <c r="G12" i="39" s="1"/>
  <c r="H40" i="40"/>
  <c r="D13" i="40" s="1"/>
  <c r="I37" i="48"/>
  <c r="C11" i="48" s="1"/>
  <c r="G11" i="48" s="1"/>
  <c r="I39" i="41"/>
  <c r="C12" i="41" s="1"/>
  <c r="H42" i="39"/>
  <c r="C13" i="39" s="1"/>
  <c r="I39" i="40"/>
  <c r="C12" i="40" s="1"/>
  <c r="G12" i="40" s="1"/>
  <c r="I41" i="42"/>
  <c r="D12" i="42" s="1"/>
  <c r="H42" i="47"/>
  <c r="C13" i="47" s="1"/>
  <c r="I38" i="47"/>
  <c r="E13" i="47" s="1"/>
  <c r="H37" i="41"/>
  <c r="D10" i="41" s="1"/>
  <c r="G10" i="41" s="1"/>
  <c r="H41" i="49"/>
  <c r="E11" i="49" s="1"/>
  <c r="I42" i="45"/>
  <c r="F10" i="45" s="1"/>
  <c r="I39" i="48"/>
  <c r="C12" i="48" s="1"/>
  <c r="H41" i="45"/>
  <c r="E11" i="45" s="1"/>
  <c r="H40" i="42"/>
  <c r="D13" i="42" s="1"/>
  <c r="G13" i="42" s="1"/>
  <c r="I37" i="49"/>
  <c r="C11" i="49" s="1"/>
  <c r="I37" i="45"/>
  <c r="C11" i="45" s="1"/>
  <c r="I39" i="49"/>
  <c r="C12" i="49" s="1"/>
  <c r="G12" i="49" s="1"/>
  <c r="I42" i="44"/>
  <c r="F10" i="44" s="1"/>
  <c r="I42" i="40"/>
  <c r="F10" i="40" s="1"/>
  <c r="G10" i="40" s="1"/>
  <c r="H37" i="47"/>
  <c r="D10" i="47" s="1"/>
  <c r="H42" i="49"/>
  <c r="C13" i="49" s="1"/>
  <c r="H39" i="47"/>
  <c r="E10" i="47" s="1"/>
  <c r="H39" i="46"/>
  <c r="E10" i="46" s="1"/>
  <c r="H42" i="48"/>
  <c r="C13" i="48" s="1"/>
  <c r="H39" i="43"/>
  <c r="E10" i="43" s="1"/>
  <c r="H42" i="46"/>
  <c r="C13" i="46" s="1"/>
  <c r="G13" i="46" s="1"/>
  <c r="I41" i="41"/>
  <c r="D12" i="41" s="1"/>
  <c r="H41" i="41"/>
  <c r="E11" i="41" s="1"/>
  <c r="G11" i="41" s="1"/>
  <c r="I40" i="46"/>
  <c r="F11" i="46" s="1"/>
  <c r="I41" i="43"/>
  <c r="D12" i="43" s="1"/>
  <c r="G12" i="43" s="1"/>
  <c r="H37" i="46"/>
  <c r="D10" i="46" s="1"/>
  <c r="G19" i="43"/>
  <c r="G26" i="49"/>
  <c r="G13" i="45"/>
  <c r="G18" i="41"/>
  <c r="G17" i="44"/>
  <c r="G25" i="46"/>
  <c r="G17" i="43"/>
  <c r="G17" i="46"/>
  <c r="G20" i="45"/>
  <c r="G25" i="41"/>
  <c r="E30" i="40"/>
  <c r="E30" i="46"/>
  <c r="D31" i="42"/>
  <c r="D31" i="45"/>
  <c r="G24" i="44"/>
  <c r="G25" i="39"/>
  <c r="G18" i="39"/>
  <c r="G26" i="47"/>
  <c r="D31" i="48"/>
  <c r="G25" i="47"/>
  <c r="E30" i="48"/>
  <c r="E30" i="43"/>
  <c r="G26" i="42"/>
  <c r="G25" i="48"/>
  <c r="G27" i="48"/>
  <c r="E30" i="49"/>
  <c r="E30" i="47"/>
  <c r="D31" i="49"/>
  <c r="I41" i="46"/>
  <c r="D12" i="46" s="1"/>
  <c r="D19" i="46"/>
  <c r="G19" i="46" s="1"/>
  <c r="D26" i="46"/>
  <c r="H41" i="46"/>
  <c r="E11" i="46" s="1"/>
  <c r="E18" i="46"/>
  <c r="G11" i="44"/>
  <c r="E30" i="41"/>
  <c r="E30" i="44"/>
  <c r="D31" i="47"/>
  <c r="G25" i="40"/>
  <c r="G26" i="44"/>
  <c r="G24" i="43"/>
  <c r="G25" i="49"/>
  <c r="D31" i="40"/>
  <c r="E30" i="42"/>
  <c r="D31" i="44"/>
  <c r="G19" i="49"/>
  <c r="G27" i="42"/>
  <c r="E30" i="39"/>
  <c r="G25" i="45"/>
  <c r="G27" i="43"/>
  <c r="G24" i="40"/>
  <c r="G26" i="45"/>
  <c r="D31" i="39"/>
  <c r="G19" i="45"/>
  <c r="D31" i="41"/>
  <c r="D31" i="46"/>
  <c r="G20" i="49"/>
  <c r="G26" i="39"/>
  <c r="G19" i="48"/>
  <c r="G20" i="47"/>
  <c r="G18" i="47"/>
  <c r="G25" i="43"/>
  <c r="G10" i="48"/>
  <c r="D32" i="48"/>
  <c r="D32" i="49"/>
  <c r="D30" i="48"/>
  <c r="D30" i="49"/>
  <c r="E31" i="48"/>
  <c r="E31" i="49"/>
  <c r="D33" i="48"/>
  <c r="D33" i="49"/>
  <c r="H32" i="48"/>
  <c r="H33" i="48"/>
  <c r="E32" i="48"/>
  <c r="E32" i="49"/>
  <c r="E33" i="48"/>
  <c r="E33" i="49"/>
  <c r="H32" i="47"/>
  <c r="H33" i="47"/>
  <c r="E33" i="46"/>
  <c r="E33" i="47"/>
  <c r="D32" i="46"/>
  <c r="D32" i="47"/>
  <c r="E32" i="46"/>
  <c r="E32" i="47"/>
  <c r="D30" i="46"/>
  <c r="D30" i="47"/>
  <c r="E31" i="46"/>
  <c r="E31" i="47"/>
  <c r="D33" i="46"/>
  <c r="D33" i="47"/>
  <c r="E33" i="44"/>
  <c r="E33" i="45"/>
  <c r="D32" i="44"/>
  <c r="D32" i="45"/>
  <c r="D30" i="44"/>
  <c r="D30" i="45"/>
  <c r="D33" i="44"/>
  <c r="D33" i="45"/>
  <c r="E31" i="44"/>
  <c r="E31" i="45"/>
  <c r="H32" i="44"/>
  <c r="E32" i="44"/>
  <c r="E32" i="45"/>
  <c r="H33" i="44"/>
  <c r="D30" i="42"/>
  <c r="D30" i="43"/>
  <c r="E31" i="42"/>
  <c r="E31" i="43"/>
  <c r="D33" i="42"/>
  <c r="D33" i="43"/>
  <c r="E32" i="42"/>
  <c r="E32" i="43"/>
  <c r="E33" i="42"/>
  <c r="E33" i="43"/>
  <c r="D32" i="42"/>
  <c r="D32" i="43"/>
  <c r="D30" i="40"/>
  <c r="D30" i="41"/>
  <c r="E31" i="40"/>
  <c r="E31" i="41"/>
  <c r="D33" i="40"/>
  <c r="D33" i="41"/>
  <c r="H32" i="40"/>
  <c r="H32" i="41"/>
  <c r="E32" i="40"/>
  <c r="E32" i="41"/>
  <c r="E33" i="40"/>
  <c r="E33" i="41"/>
  <c r="H33" i="40"/>
  <c r="H33" i="41"/>
  <c r="D32" i="40"/>
  <c r="D32" i="41"/>
  <c r="H33" i="37"/>
  <c r="H33" i="39"/>
  <c r="E33" i="39"/>
  <c r="E33" i="37"/>
  <c r="D32" i="37"/>
  <c r="D32" i="39"/>
  <c r="E31" i="37"/>
  <c r="E31" i="39"/>
  <c r="D33" i="37"/>
  <c r="D33" i="39"/>
  <c r="H32" i="39"/>
  <c r="E32" i="39"/>
  <c r="E32" i="37"/>
  <c r="D30" i="39"/>
  <c r="D30" i="37"/>
  <c r="F17" i="37"/>
  <c r="F24" i="37"/>
  <c r="C20" i="37"/>
  <c r="E17" i="37"/>
  <c r="C19" i="37"/>
  <c r="I41" i="37"/>
  <c r="D12" i="37" s="1"/>
  <c r="D19" i="37"/>
  <c r="E18" i="37"/>
  <c r="D20" i="37"/>
  <c r="F18" i="37"/>
  <c r="C18" i="37"/>
  <c r="D17" i="37"/>
  <c r="AD33" i="24"/>
  <c r="AD83" i="24"/>
  <c r="AE4" i="24"/>
  <c r="G26" i="37"/>
  <c r="H41" i="37"/>
  <c r="E11" i="37" s="1"/>
  <c r="H37" i="37"/>
  <c r="D10" i="37" s="1"/>
  <c r="I37" i="37"/>
  <c r="H42" i="37"/>
  <c r="C13" i="37" s="1"/>
  <c r="I42" i="37"/>
  <c r="F10" i="37" s="1"/>
  <c r="G27" i="37"/>
  <c r="I40" i="37"/>
  <c r="F11" i="37" s="1"/>
  <c r="H40" i="37"/>
  <c r="D13" i="37" s="1"/>
  <c r="I39" i="37"/>
  <c r="C12" i="37" s="1"/>
  <c r="H39" i="37"/>
  <c r="E10" i="37" s="1"/>
  <c r="AE52" i="24"/>
  <c r="D6" i="24"/>
  <c r="X4" i="24"/>
  <c r="AD82" i="24"/>
  <c r="X81" i="24"/>
  <c r="AE81" i="24"/>
  <c r="X83" i="24"/>
  <c r="X19" i="24"/>
  <c r="AD41" i="24"/>
  <c r="X13" i="24"/>
  <c r="AD26" i="24"/>
  <c r="AE5" i="24"/>
  <c r="AD38" i="24"/>
  <c r="AD62" i="24"/>
  <c r="AD39" i="24"/>
  <c r="AD68" i="24"/>
  <c r="AD59" i="24"/>
  <c r="X39" i="24"/>
  <c r="AE74" i="24"/>
  <c r="AD55" i="24"/>
  <c r="AE53" i="24"/>
  <c r="X24" i="24"/>
  <c r="AE48" i="24"/>
  <c r="X54" i="24"/>
  <c r="AE47" i="24"/>
  <c r="AD27" i="24"/>
  <c r="X59" i="24"/>
  <c r="AD46" i="24"/>
  <c r="AD34" i="24"/>
  <c r="AE45" i="24"/>
  <c r="AE10" i="24"/>
  <c r="X12" i="24"/>
  <c r="X66" i="24"/>
  <c r="AD32" i="24"/>
  <c r="X73" i="24"/>
  <c r="AD31" i="24"/>
  <c r="AD67" i="24"/>
  <c r="AD66" i="24"/>
  <c r="AE20" i="24"/>
  <c r="AD61" i="24"/>
  <c r="X52" i="24"/>
  <c r="AE31" i="24"/>
  <c r="X48" i="24"/>
  <c r="AE17" i="24"/>
  <c r="AE61" i="24"/>
  <c r="AE73" i="24"/>
  <c r="AD40" i="24"/>
  <c r="AD69" i="24"/>
  <c r="X53" i="24"/>
  <c r="AE13" i="24"/>
  <c r="AE27" i="24"/>
  <c r="X10" i="24"/>
  <c r="AE24" i="24"/>
  <c r="X31" i="24"/>
  <c r="X5" i="24"/>
  <c r="X67" i="24"/>
  <c r="X3" i="24"/>
  <c r="AD3" i="24"/>
  <c r="AD4" i="24"/>
  <c r="X25" i="24"/>
  <c r="AD54" i="24"/>
  <c r="AD6" i="24"/>
  <c r="AD5" i="24"/>
  <c r="X82" i="24"/>
  <c r="X6" i="24"/>
  <c r="AE66" i="24"/>
  <c r="AE33" i="24"/>
  <c r="AE3" i="24"/>
  <c r="AE39" i="24"/>
  <c r="AD60" i="24"/>
  <c r="X61" i="24"/>
  <c r="X33" i="24"/>
  <c r="AD13" i="24"/>
  <c r="X47" i="24"/>
  <c r="AE83" i="24"/>
  <c r="AE12" i="24"/>
  <c r="X34" i="24"/>
  <c r="X32" i="24"/>
  <c r="X55" i="24"/>
  <c r="AE62" i="24"/>
  <c r="AE76" i="24"/>
  <c r="AE6" i="24"/>
  <c r="AE11" i="24"/>
  <c r="AD24" i="24"/>
  <c r="AD48" i="24"/>
  <c r="X46" i="24"/>
  <c r="AE59" i="24"/>
  <c r="AD52" i="24"/>
  <c r="X26" i="24"/>
  <c r="AE55" i="24"/>
  <c r="AE19" i="24"/>
  <c r="AD10" i="24"/>
  <c r="AE54" i="24"/>
  <c r="X76" i="24"/>
  <c r="AE32" i="24"/>
  <c r="X11" i="24"/>
  <c r="AE25" i="24"/>
  <c r="AD17" i="24"/>
  <c r="X20" i="24"/>
  <c r="AD73" i="24"/>
  <c r="X41" i="24"/>
  <c r="AD80" i="24"/>
  <c r="AD20" i="24"/>
  <c r="AE41" i="24"/>
  <c r="X45" i="24"/>
  <c r="AE82" i="24"/>
  <c r="AE67" i="24"/>
  <c r="X75" i="24"/>
  <c r="AE46" i="24"/>
  <c r="AE34" i="24"/>
  <c r="X27" i="24"/>
  <c r="AE26" i="24"/>
  <c r="X18" i="24"/>
  <c r="X40" i="24"/>
  <c r="AE40" i="24"/>
  <c r="AE60" i="24"/>
  <c r="X60" i="24"/>
  <c r="AD53" i="24"/>
  <c r="X68" i="24"/>
  <c r="AE68" i="24"/>
  <c r="X62" i="24"/>
  <c r="X17" i="24"/>
  <c r="X80" i="24"/>
  <c r="AE80" i="24"/>
  <c r="AE69" i="24"/>
  <c r="X69" i="24"/>
  <c r="AE18" i="24"/>
  <c r="X74" i="24"/>
  <c r="AE38" i="24"/>
  <c r="X38" i="24"/>
  <c r="AE75" i="24"/>
  <c r="AD76" i="24"/>
  <c r="AD25" i="24"/>
  <c r="AD47" i="24"/>
  <c r="AD19" i="24"/>
  <c r="AD74" i="24"/>
  <c r="AD45" i="24"/>
  <c r="AD18" i="24"/>
  <c r="AD81" i="24"/>
  <c r="AD75" i="24"/>
  <c r="AD12" i="24"/>
  <c r="AD11" i="24"/>
  <c r="J36" i="24"/>
  <c r="I37" i="24"/>
  <c r="I38" i="24"/>
  <c r="I41" i="24"/>
  <c r="I42" i="24"/>
  <c r="I43" i="24"/>
  <c r="I44" i="24"/>
  <c r="J35" i="24"/>
  <c r="J41" i="24"/>
  <c r="J47" i="24"/>
  <c r="J40" i="24"/>
  <c r="I45" i="24"/>
  <c r="J46" i="24"/>
  <c r="I36" i="24"/>
  <c r="I40" i="24"/>
  <c r="I46" i="24"/>
  <c r="J39" i="24"/>
  <c r="J42" i="24"/>
  <c r="J48" i="24"/>
  <c r="I47" i="24"/>
  <c r="I48" i="24"/>
  <c r="J38" i="24"/>
  <c r="I50" i="24"/>
  <c r="J44" i="24"/>
  <c r="J43" i="24"/>
  <c r="J49" i="24"/>
  <c r="I39" i="24"/>
  <c r="J45" i="24"/>
  <c r="I49" i="24"/>
  <c r="J37" i="24"/>
  <c r="J50" i="24"/>
  <c r="I35" i="24"/>
  <c r="F70" i="24"/>
  <c r="E70" i="24"/>
  <c r="D70" i="24"/>
  <c r="B1" i="36"/>
  <c r="C2" i="26"/>
  <c r="B1" i="22"/>
  <c r="G24" i="47" l="1"/>
  <c r="G12" i="47"/>
  <c r="G18" i="48"/>
  <c r="G27" i="41"/>
  <c r="G18" i="46"/>
  <c r="G20" i="48"/>
  <c r="G20" i="42"/>
  <c r="G18" i="49"/>
  <c r="G17" i="49"/>
  <c r="G17" i="47"/>
  <c r="G19" i="39"/>
  <c r="G20" i="46"/>
  <c r="G11" i="47"/>
  <c r="J5" i="47" s="1"/>
  <c r="G10" i="45"/>
  <c r="L3" i="45" s="1"/>
  <c r="G17" i="41"/>
  <c r="G18" i="42"/>
  <c r="G27" i="40"/>
  <c r="G20" i="43"/>
  <c r="G20" i="39"/>
  <c r="G20" i="41"/>
  <c r="G27" i="39"/>
  <c r="G18" i="44"/>
  <c r="L34" i="24"/>
  <c r="D37" i="1"/>
  <c r="D7" i="1"/>
  <c r="D45" i="1"/>
  <c r="D12" i="1"/>
  <c r="D5" i="1"/>
  <c r="D43" i="1"/>
  <c r="D24" i="1"/>
  <c r="D27" i="1"/>
  <c r="D11" i="1"/>
  <c r="D17" i="1"/>
  <c r="D28" i="1"/>
  <c r="D46" i="1"/>
  <c r="D23" i="1"/>
  <c r="D30" i="1"/>
  <c r="D29" i="1"/>
  <c r="D15" i="1"/>
  <c r="D39" i="1"/>
  <c r="D14" i="1"/>
  <c r="D3" i="1"/>
  <c r="D21" i="1"/>
  <c r="D2" i="1"/>
  <c r="D4" i="1"/>
  <c r="D25" i="1"/>
  <c r="D42" i="1"/>
  <c r="C34" i="53"/>
  <c r="D13" i="1"/>
  <c r="D18" i="1"/>
  <c r="D35" i="1"/>
  <c r="B43" i="1"/>
  <c r="B41" i="1"/>
  <c r="B38" i="1"/>
  <c r="B45" i="1"/>
  <c r="D26" i="1"/>
  <c r="D16" i="1"/>
  <c r="D40" i="1"/>
  <c r="D31" i="1"/>
  <c r="D44" i="1"/>
  <c r="D22" i="1"/>
  <c r="B49" i="1"/>
  <c r="G13" i="40"/>
  <c r="L3" i="40" s="1"/>
  <c r="L24" i="40" s="1"/>
  <c r="D48" i="1"/>
  <c r="D49" i="1"/>
  <c r="B39" i="1"/>
  <c r="B36" i="1"/>
  <c r="B46" i="1"/>
  <c r="B40" i="1"/>
  <c r="D6" i="1"/>
  <c r="D10" i="1"/>
  <c r="D38" i="1"/>
  <c r="D20" i="1"/>
  <c r="D36" i="1"/>
  <c r="D34" i="1"/>
  <c r="B47" i="1"/>
  <c r="B44" i="1"/>
  <c r="B34" i="1"/>
  <c r="B48" i="1"/>
  <c r="B42" i="1"/>
  <c r="D41" i="1"/>
  <c r="D19" i="1"/>
  <c r="G13" i="43"/>
  <c r="J6" i="43" s="1"/>
  <c r="D32" i="1"/>
  <c r="D9" i="1"/>
  <c r="D8" i="1"/>
  <c r="D33" i="1"/>
  <c r="B37" i="1"/>
  <c r="B35" i="1"/>
  <c r="D47" i="1"/>
  <c r="G12" i="45"/>
  <c r="K6" i="45" s="1"/>
  <c r="G12" i="44"/>
  <c r="J5" i="44" s="1"/>
  <c r="J19" i="44" s="1"/>
  <c r="G10" i="43"/>
  <c r="I4" i="43" s="1"/>
  <c r="G11" i="39"/>
  <c r="J3" i="39" s="1"/>
  <c r="G11" i="40"/>
  <c r="J3" i="40" s="1"/>
  <c r="J24" i="40" s="1"/>
  <c r="G13" i="41"/>
  <c r="L4" i="41" s="1"/>
  <c r="G13" i="39"/>
  <c r="I6" i="39" s="1"/>
  <c r="G12" i="46"/>
  <c r="K6" i="46" s="1"/>
  <c r="G12" i="42"/>
  <c r="K4" i="42" s="1"/>
  <c r="K25" i="42" s="1"/>
  <c r="G13" i="48"/>
  <c r="I6" i="48" s="1"/>
  <c r="I27" i="48" s="1"/>
  <c r="G10" i="42"/>
  <c r="I4" i="42" s="1"/>
  <c r="G12" i="48"/>
  <c r="J5" i="48" s="1"/>
  <c r="G13" i="49"/>
  <c r="K6" i="49" s="1"/>
  <c r="K27" i="49" s="1"/>
  <c r="G13" i="47"/>
  <c r="L5" i="47" s="1"/>
  <c r="G10" i="44"/>
  <c r="I6" i="44" s="1"/>
  <c r="G11" i="49"/>
  <c r="J3" i="49" s="1"/>
  <c r="J24" i="49" s="1"/>
  <c r="G12" i="41"/>
  <c r="K3" i="41" s="1"/>
  <c r="K17" i="41" s="1"/>
  <c r="G10" i="47"/>
  <c r="K3" i="47" s="1"/>
  <c r="K24" i="47" s="1"/>
  <c r="G10" i="46"/>
  <c r="G11" i="45"/>
  <c r="L43" i="34"/>
  <c r="M43" i="24"/>
  <c r="L38" i="34"/>
  <c r="M38" i="24"/>
  <c r="L48" i="34"/>
  <c r="M48" i="24"/>
  <c r="L47" i="34"/>
  <c r="M47" i="24"/>
  <c r="L40" i="34"/>
  <c r="M40" i="24"/>
  <c r="L36" i="34"/>
  <c r="M36" i="24"/>
  <c r="L35" i="34"/>
  <c r="M35" i="24"/>
  <c r="L45" i="34"/>
  <c r="M45" i="24"/>
  <c r="L49" i="34"/>
  <c r="M49" i="24"/>
  <c r="G11" i="46"/>
  <c r="L39" i="34"/>
  <c r="M39" i="24"/>
  <c r="L44" i="34"/>
  <c r="M44" i="24"/>
  <c r="L42" i="34"/>
  <c r="M42" i="24"/>
  <c r="L41" i="34"/>
  <c r="M41" i="24"/>
  <c r="L46" i="34"/>
  <c r="M46" i="24"/>
  <c r="L50" i="34"/>
  <c r="M50" i="24"/>
  <c r="L37" i="34"/>
  <c r="M37" i="24"/>
  <c r="I5" i="40"/>
  <c r="I19" i="40" s="1"/>
  <c r="K3" i="49"/>
  <c r="K24" i="49" s="1"/>
  <c r="K3" i="40"/>
  <c r="K17" i="40" s="1"/>
  <c r="J6" i="44"/>
  <c r="I5" i="49"/>
  <c r="I26" i="49" s="1"/>
  <c r="K4" i="43"/>
  <c r="I5" i="39"/>
  <c r="K3" i="39"/>
  <c r="I4" i="48"/>
  <c r="J3" i="48"/>
  <c r="L4" i="44"/>
  <c r="G26" i="46"/>
  <c r="J6" i="42"/>
  <c r="L4" i="42"/>
  <c r="J5" i="43"/>
  <c r="J3" i="41"/>
  <c r="I4" i="41"/>
  <c r="C30" i="48"/>
  <c r="C30" i="49"/>
  <c r="C32" i="48"/>
  <c r="C32" i="49"/>
  <c r="C33" i="48"/>
  <c r="C33" i="49"/>
  <c r="F32" i="48"/>
  <c r="F32" i="49"/>
  <c r="F33" i="48"/>
  <c r="F33" i="49"/>
  <c r="C31" i="48"/>
  <c r="C31" i="49"/>
  <c r="F31" i="48"/>
  <c r="F31" i="49"/>
  <c r="F30" i="48"/>
  <c r="F30" i="49"/>
  <c r="F32" i="46"/>
  <c r="F32" i="47"/>
  <c r="C31" i="46"/>
  <c r="C31" i="47"/>
  <c r="C33" i="46"/>
  <c r="C33" i="47"/>
  <c r="F33" i="46"/>
  <c r="F33" i="47"/>
  <c r="F31" i="46"/>
  <c r="F31" i="47"/>
  <c r="F30" i="46"/>
  <c r="F30" i="47"/>
  <c r="C32" i="46"/>
  <c r="C32" i="47"/>
  <c r="C30" i="46"/>
  <c r="C30" i="47"/>
  <c r="F30" i="44"/>
  <c r="F30" i="45"/>
  <c r="C30" i="44"/>
  <c r="C30" i="45"/>
  <c r="C31" i="44"/>
  <c r="C31" i="45"/>
  <c r="C32" i="44"/>
  <c r="C32" i="45"/>
  <c r="C33" i="44"/>
  <c r="C33" i="45"/>
  <c r="F32" i="44"/>
  <c r="F32" i="45"/>
  <c r="F33" i="44"/>
  <c r="F33" i="45"/>
  <c r="F31" i="44"/>
  <c r="F31" i="45"/>
  <c r="C32" i="42"/>
  <c r="C32" i="43"/>
  <c r="C31" i="42"/>
  <c r="C31" i="43"/>
  <c r="C33" i="42"/>
  <c r="C33" i="43"/>
  <c r="F32" i="42"/>
  <c r="F32" i="43"/>
  <c r="F33" i="42"/>
  <c r="F33" i="43"/>
  <c r="F30" i="42"/>
  <c r="F30" i="43"/>
  <c r="F31" i="42"/>
  <c r="F31" i="43"/>
  <c r="C30" i="42"/>
  <c r="C30" i="43"/>
  <c r="F31" i="40"/>
  <c r="F31" i="41"/>
  <c r="C32" i="40"/>
  <c r="C32" i="41"/>
  <c r="F30" i="40"/>
  <c r="F30" i="41"/>
  <c r="C30" i="40"/>
  <c r="C30" i="41"/>
  <c r="C31" i="40"/>
  <c r="C31" i="41"/>
  <c r="C33" i="40"/>
  <c r="C33" i="41"/>
  <c r="F32" i="40"/>
  <c r="F32" i="41"/>
  <c r="F33" i="40"/>
  <c r="F33" i="41"/>
  <c r="C31" i="39"/>
  <c r="C31" i="37"/>
  <c r="C33" i="37"/>
  <c r="C33" i="39"/>
  <c r="F32" i="39"/>
  <c r="F32" i="37"/>
  <c r="F33" i="37"/>
  <c r="F33" i="39"/>
  <c r="F31" i="37"/>
  <c r="F31" i="39"/>
  <c r="F30" i="37"/>
  <c r="F30" i="39"/>
  <c r="C30" i="37"/>
  <c r="C30" i="39"/>
  <c r="C32" i="39"/>
  <c r="C32" i="37"/>
  <c r="G20" i="37"/>
  <c r="M35" i="34"/>
  <c r="M44" i="34"/>
  <c r="M38" i="34"/>
  <c r="M36" i="34"/>
  <c r="M48" i="34"/>
  <c r="M42" i="34"/>
  <c r="M39" i="34"/>
  <c r="M46" i="34"/>
  <c r="M50" i="34"/>
  <c r="M40" i="34"/>
  <c r="M37" i="34"/>
  <c r="M47" i="34"/>
  <c r="M41" i="34"/>
  <c r="M45" i="34"/>
  <c r="M49" i="34"/>
  <c r="M43" i="34"/>
  <c r="G18" i="37"/>
  <c r="G17" i="37"/>
  <c r="G24" i="37"/>
  <c r="G19" i="37"/>
  <c r="C11" i="37"/>
  <c r="G12" i="37"/>
  <c r="N49" i="36"/>
  <c r="N48" i="36"/>
  <c r="N47" i="36"/>
  <c r="N46" i="36"/>
  <c r="N45" i="36"/>
  <c r="N44" i="36"/>
  <c r="N43" i="36"/>
  <c r="N42" i="36"/>
  <c r="N41" i="36"/>
  <c r="N40" i="36"/>
  <c r="N39" i="36"/>
  <c r="N38" i="36"/>
  <c r="N37" i="36"/>
  <c r="N36" i="36"/>
  <c r="N35" i="36"/>
  <c r="N34" i="36"/>
  <c r="N33" i="36"/>
  <c r="N32" i="36"/>
  <c r="N31" i="36"/>
  <c r="N30" i="36"/>
  <c r="N29" i="36"/>
  <c r="N28" i="36"/>
  <c r="N27" i="36"/>
  <c r="N26" i="36"/>
  <c r="N25" i="36"/>
  <c r="N24" i="36"/>
  <c r="T80" i="24" s="1"/>
  <c r="N23" i="36"/>
  <c r="N22" i="36"/>
  <c r="N21" i="36"/>
  <c r="N20" i="36"/>
  <c r="N19" i="36"/>
  <c r="N18" i="36"/>
  <c r="T46" i="24" s="1"/>
  <c r="N17" i="36"/>
  <c r="T53" i="24" s="1"/>
  <c r="N16" i="36"/>
  <c r="T45" i="24" s="1"/>
  <c r="N15" i="36"/>
  <c r="T52" i="24" s="1"/>
  <c r="N14" i="36"/>
  <c r="T39" i="24" s="1"/>
  <c r="N13" i="36"/>
  <c r="T32" i="24" s="1"/>
  <c r="N12" i="36"/>
  <c r="T38" i="24" s="1"/>
  <c r="N11" i="36"/>
  <c r="T31" i="24" s="1"/>
  <c r="N10" i="36"/>
  <c r="N9" i="36"/>
  <c r="T18" i="24" s="1"/>
  <c r="N8" i="36"/>
  <c r="T17" i="24" s="1"/>
  <c r="N7" i="36"/>
  <c r="N6" i="36"/>
  <c r="T24" i="24" s="1"/>
  <c r="N5" i="36"/>
  <c r="T10" i="24" s="1"/>
  <c r="N4" i="36"/>
  <c r="N3" i="36"/>
  <c r="T3" i="24" s="1"/>
  <c r="K37" i="37" s="1"/>
  <c r="I49" i="36"/>
  <c r="I48" i="36"/>
  <c r="I47" i="36"/>
  <c r="I46" i="36"/>
  <c r="I45" i="36"/>
  <c r="I44" i="36"/>
  <c r="I43" i="36"/>
  <c r="I42" i="36"/>
  <c r="I41" i="36"/>
  <c r="I40" i="36"/>
  <c r="I39" i="36"/>
  <c r="I38" i="36"/>
  <c r="I37" i="36"/>
  <c r="I36" i="36"/>
  <c r="I35" i="36"/>
  <c r="I34" i="36"/>
  <c r="I33" i="36"/>
  <c r="I32" i="36"/>
  <c r="I31" i="36"/>
  <c r="I30" i="36"/>
  <c r="I29" i="36"/>
  <c r="I28" i="36"/>
  <c r="I27" i="36"/>
  <c r="I26" i="36"/>
  <c r="I25" i="36"/>
  <c r="I24" i="36"/>
  <c r="S80" i="24" s="1"/>
  <c r="AF80" i="24" s="1"/>
  <c r="D47" i="24" s="1"/>
  <c r="L6" i="24" s="1"/>
  <c r="I23" i="36"/>
  <c r="I22" i="36"/>
  <c r="I21" i="36"/>
  <c r="I20" i="36"/>
  <c r="I19" i="36"/>
  <c r="I18" i="36"/>
  <c r="S46" i="24" s="1"/>
  <c r="I17" i="36"/>
  <c r="S53" i="24" s="1"/>
  <c r="I16" i="36"/>
  <c r="S45" i="24" s="1"/>
  <c r="AF45" i="24" s="1"/>
  <c r="D27" i="24" s="1"/>
  <c r="L11" i="24" s="1"/>
  <c r="I15" i="36"/>
  <c r="S52" i="24" s="1"/>
  <c r="AF52" i="24" s="1"/>
  <c r="D31" i="24" s="1"/>
  <c r="L4" i="24" s="1"/>
  <c r="I14" i="36"/>
  <c r="S39" i="24" s="1"/>
  <c r="I13" i="36"/>
  <c r="S32" i="24" s="1"/>
  <c r="I12" i="36"/>
  <c r="S38" i="24" s="1"/>
  <c r="AF38" i="24" s="1"/>
  <c r="D23" i="24" s="1"/>
  <c r="L10" i="24" s="1"/>
  <c r="I11" i="36"/>
  <c r="S31" i="24" s="1"/>
  <c r="AF31" i="24" s="1"/>
  <c r="D19" i="24" s="1"/>
  <c r="L12" i="24" s="1"/>
  <c r="I10" i="36"/>
  <c r="I9" i="36"/>
  <c r="S18" i="24" s="1"/>
  <c r="I8" i="36"/>
  <c r="S17" i="24" s="1"/>
  <c r="AF17" i="24" s="1"/>
  <c r="D11" i="24" s="1"/>
  <c r="L8" i="24" s="1"/>
  <c r="I7" i="36"/>
  <c r="I6" i="36"/>
  <c r="S24" i="24" s="1"/>
  <c r="AF24" i="24" s="1"/>
  <c r="D15" i="24" s="1"/>
  <c r="L18" i="24" s="1"/>
  <c r="I5" i="36"/>
  <c r="S10" i="24" s="1"/>
  <c r="AF10" i="24" s="1"/>
  <c r="D7" i="24" s="1"/>
  <c r="L29" i="24" s="1"/>
  <c r="I4" i="36"/>
  <c r="S4" i="24" s="1"/>
  <c r="I3" i="36"/>
  <c r="S3" i="24" s="1"/>
  <c r="D49" i="36"/>
  <c r="B49" i="36"/>
  <c r="D48" i="36"/>
  <c r="B48" i="36"/>
  <c r="D47" i="36"/>
  <c r="B47" i="36"/>
  <c r="D46" i="36"/>
  <c r="B46" i="36"/>
  <c r="D45" i="36"/>
  <c r="B45" i="36"/>
  <c r="D44" i="36"/>
  <c r="B44" i="36"/>
  <c r="D43" i="36"/>
  <c r="B43" i="36"/>
  <c r="D42" i="36"/>
  <c r="B42" i="36"/>
  <c r="D41" i="36"/>
  <c r="B41" i="36"/>
  <c r="D40" i="36"/>
  <c r="B40" i="36"/>
  <c r="D39" i="36"/>
  <c r="B39" i="36"/>
  <c r="D38" i="36"/>
  <c r="B38" i="36"/>
  <c r="D37" i="36"/>
  <c r="B37" i="36"/>
  <c r="D36" i="36"/>
  <c r="B36" i="36"/>
  <c r="D35" i="36"/>
  <c r="B35" i="36"/>
  <c r="D34" i="36"/>
  <c r="B34" i="36"/>
  <c r="D33" i="36"/>
  <c r="B33" i="36"/>
  <c r="D32" i="36"/>
  <c r="B32" i="36"/>
  <c r="D31" i="36"/>
  <c r="B31" i="36"/>
  <c r="D30" i="36"/>
  <c r="B30" i="36"/>
  <c r="D29" i="36"/>
  <c r="B29" i="36"/>
  <c r="D28" i="36"/>
  <c r="B28" i="36"/>
  <c r="D27" i="36"/>
  <c r="B27" i="36"/>
  <c r="D26" i="36"/>
  <c r="B26" i="36"/>
  <c r="D25" i="36"/>
  <c r="B25" i="36"/>
  <c r="D24" i="36"/>
  <c r="B24" i="36"/>
  <c r="D23" i="36"/>
  <c r="B23" i="36"/>
  <c r="D22" i="36"/>
  <c r="B22" i="36"/>
  <c r="D21" i="36"/>
  <c r="B21" i="36"/>
  <c r="D20" i="36"/>
  <c r="B20" i="36"/>
  <c r="D19" i="36"/>
  <c r="B19" i="36"/>
  <c r="D18" i="36"/>
  <c r="B18" i="36"/>
  <c r="D17" i="36"/>
  <c r="B17" i="36"/>
  <c r="D16" i="36"/>
  <c r="B16" i="36"/>
  <c r="D15" i="36"/>
  <c r="B15" i="36"/>
  <c r="D14" i="36"/>
  <c r="B14" i="36"/>
  <c r="D13" i="36"/>
  <c r="B13" i="36"/>
  <c r="D12" i="36"/>
  <c r="B12" i="36"/>
  <c r="D11" i="36"/>
  <c r="B11" i="36"/>
  <c r="D10" i="36"/>
  <c r="B10" i="36"/>
  <c r="D9" i="36"/>
  <c r="B9" i="36"/>
  <c r="D8" i="36"/>
  <c r="B8" i="36"/>
  <c r="D7" i="36"/>
  <c r="B7" i="36"/>
  <c r="D6" i="36"/>
  <c r="B6" i="36"/>
  <c r="D5" i="36"/>
  <c r="B5" i="36"/>
  <c r="D4" i="36"/>
  <c r="B4" i="36"/>
  <c r="D3" i="36"/>
  <c r="B3" i="36"/>
  <c r="K38" i="43" l="1"/>
  <c r="AF48" i="24"/>
  <c r="J38" i="43"/>
  <c r="K38" i="59"/>
  <c r="AF47" i="24"/>
  <c r="J38" i="59"/>
  <c r="I6" i="45"/>
  <c r="K38" i="42"/>
  <c r="AF55" i="24"/>
  <c r="J38" i="42"/>
  <c r="AF54" i="24"/>
  <c r="K38" i="58"/>
  <c r="J38" i="58"/>
  <c r="K37" i="43"/>
  <c r="AF46" i="24"/>
  <c r="D28" i="24" s="1"/>
  <c r="L28" i="24" s="1"/>
  <c r="K4" i="47"/>
  <c r="K18" i="47" s="1"/>
  <c r="K37" i="42"/>
  <c r="AF53" i="24"/>
  <c r="D32" i="24" s="1"/>
  <c r="L46" i="24" s="1"/>
  <c r="K38" i="45"/>
  <c r="AF41" i="24"/>
  <c r="J38" i="45"/>
  <c r="K38" i="60"/>
  <c r="J38" i="60"/>
  <c r="AF40" i="24"/>
  <c r="K38" i="46"/>
  <c r="AF34" i="24"/>
  <c r="J38" i="46"/>
  <c r="J38" i="61"/>
  <c r="K38" i="61"/>
  <c r="AF33" i="24"/>
  <c r="K37" i="45"/>
  <c r="AF39" i="24"/>
  <c r="D24" i="24" s="1"/>
  <c r="L19" i="24" s="1"/>
  <c r="K37" i="46"/>
  <c r="AF32" i="24"/>
  <c r="D20" i="24" s="1"/>
  <c r="L48" i="24" s="1"/>
  <c r="K38" i="49"/>
  <c r="AF20" i="24"/>
  <c r="J38" i="49"/>
  <c r="AF19" i="24"/>
  <c r="K38" i="63"/>
  <c r="J38" i="63"/>
  <c r="K37" i="49"/>
  <c r="AF18" i="24"/>
  <c r="D12" i="24" s="1"/>
  <c r="L9" i="24" s="1"/>
  <c r="K37" i="47"/>
  <c r="AF25" i="24"/>
  <c r="D16" i="24" s="1"/>
  <c r="L35" i="24" s="1"/>
  <c r="K37" i="48"/>
  <c r="AF11" i="24"/>
  <c r="D8" i="24" s="1"/>
  <c r="L45" i="24" s="1"/>
  <c r="K38" i="53"/>
  <c r="J38" i="53"/>
  <c r="J38" i="37"/>
  <c r="AF5" i="24"/>
  <c r="V35" i="34"/>
  <c r="Z35" i="34"/>
  <c r="Z37" i="34"/>
  <c r="V37" i="34"/>
  <c r="Z36" i="34"/>
  <c r="V36" i="34"/>
  <c r="W49" i="34"/>
  <c r="X49" i="34" s="1"/>
  <c r="AA49" i="34"/>
  <c r="AB49" i="34" s="1"/>
  <c r="AA44" i="34"/>
  <c r="AB44" i="34" s="1"/>
  <c r="W44" i="34"/>
  <c r="X44" i="34" s="1"/>
  <c r="W35" i="34"/>
  <c r="X35" i="34" s="1"/>
  <c r="AA35" i="34"/>
  <c r="AB35" i="34" s="1"/>
  <c r="V50" i="34"/>
  <c r="Z50" i="34"/>
  <c r="V40" i="34"/>
  <c r="Z40" i="34"/>
  <c r="V46" i="34"/>
  <c r="Z46" i="34"/>
  <c r="AA43" i="34"/>
  <c r="AB43" i="34" s="1"/>
  <c r="W43" i="34"/>
  <c r="X43" i="34" s="1"/>
  <c r="V47" i="34"/>
  <c r="Z47" i="34"/>
  <c r="V41" i="34"/>
  <c r="Z41" i="34"/>
  <c r="V48" i="34"/>
  <c r="Z48" i="34"/>
  <c r="V42" i="34"/>
  <c r="Z42" i="34"/>
  <c r="Z38" i="34"/>
  <c r="V38" i="34"/>
  <c r="W47" i="34"/>
  <c r="X47" i="34" s="1"/>
  <c r="AA47" i="34"/>
  <c r="AB47" i="34" s="1"/>
  <c r="AA37" i="34"/>
  <c r="AB37" i="34" s="1"/>
  <c r="W37" i="34"/>
  <c r="X37" i="34" s="1"/>
  <c r="Z44" i="34"/>
  <c r="V44" i="34"/>
  <c r="W45" i="34"/>
  <c r="X45" i="34" s="1"/>
  <c r="AA45" i="34"/>
  <c r="AB45" i="34" s="1"/>
  <c r="V43" i="34"/>
  <c r="Z43" i="34"/>
  <c r="W40" i="34"/>
  <c r="X40" i="34" s="1"/>
  <c r="AA40" i="34"/>
  <c r="AB40" i="34" s="1"/>
  <c r="W50" i="34"/>
  <c r="X50" i="34" s="1"/>
  <c r="AA50" i="34"/>
  <c r="AB50" i="34" s="1"/>
  <c r="V39" i="34"/>
  <c r="Z39" i="34"/>
  <c r="W46" i="34"/>
  <c r="X46" i="34" s="1"/>
  <c r="AA46" i="34"/>
  <c r="AB46" i="34" s="1"/>
  <c r="W42" i="34"/>
  <c r="X42" i="34" s="1"/>
  <c r="AA42" i="34"/>
  <c r="AB42" i="34" s="1"/>
  <c r="V49" i="34"/>
  <c r="Z49" i="34"/>
  <c r="W41" i="34"/>
  <c r="X41" i="34" s="1"/>
  <c r="AA41" i="34"/>
  <c r="AB41" i="34" s="1"/>
  <c r="V45" i="34"/>
  <c r="Z45" i="34"/>
  <c r="W39" i="34"/>
  <c r="X39" i="34" s="1"/>
  <c r="AA39" i="34"/>
  <c r="AB39" i="34" s="1"/>
  <c r="W48" i="34"/>
  <c r="X48" i="34" s="1"/>
  <c r="AA48" i="34"/>
  <c r="AB48" i="34" s="1"/>
  <c r="AA36" i="34"/>
  <c r="AB36" i="34" s="1"/>
  <c r="W36" i="34"/>
  <c r="X36" i="34" s="1"/>
  <c r="AA38" i="34"/>
  <c r="AB38" i="34" s="1"/>
  <c r="W38" i="34"/>
  <c r="X38" i="34" s="1"/>
  <c r="Q49" i="34"/>
  <c r="Q47" i="34"/>
  <c r="Q37" i="34"/>
  <c r="Q41" i="34"/>
  <c r="Q46" i="34"/>
  <c r="Q35" i="34"/>
  <c r="Q50" i="34"/>
  <c r="Q39" i="34"/>
  <c r="Q40" i="34"/>
  <c r="Q42" i="34"/>
  <c r="Q43" i="34"/>
  <c r="Q45" i="34"/>
  <c r="Q48" i="34"/>
  <c r="Q44" i="34"/>
  <c r="Q36" i="34"/>
  <c r="Q38" i="34"/>
  <c r="K37" i="64"/>
  <c r="J37" i="64"/>
  <c r="K37" i="63"/>
  <c r="J37" i="63"/>
  <c r="K37" i="62"/>
  <c r="J37" i="62"/>
  <c r="K37" i="61"/>
  <c r="J37" i="61"/>
  <c r="K37" i="60"/>
  <c r="J37" i="60"/>
  <c r="K37" i="59"/>
  <c r="J37" i="59"/>
  <c r="K37" i="58"/>
  <c r="J37" i="58"/>
  <c r="K37" i="57"/>
  <c r="J37" i="57"/>
  <c r="I5" i="43"/>
  <c r="I26" i="43" s="1"/>
  <c r="K37" i="56"/>
  <c r="J37" i="56"/>
  <c r="L4" i="43"/>
  <c r="L25" i="43" s="1"/>
  <c r="K37" i="55"/>
  <c r="J37" i="55"/>
  <c r="K37" i="54"/>
  <c r="J37" i="54"/>
  <c r="K6" i="43"/>
  <c r="K27" i="43" s="1"/>
  <c r="L5" i="43"/>
  <c r="L26" i="43" s="1"/>
  <c r="L5" i="40"/>
  <c r="L26" i="40" s="1"/>
  <c r="K37" i="53"/>
  <c r="J37" i="53"/>
  <c r="K6" i="40"/>
  <c r="K20" i="40" s="1"/>
  <c r="I6" i="40"/>
  <c r="I20" i="40" s="1"/>
  <c r="J5" i="45"/>
  <c r="J26" i="45" s="1"/>
  <c r="I4" i="39"/>
  <c r="I25" i="39" s="1"/>
  <c r="K3" i="45"/>
  <c r="K17" i="45" s="1"/>
  <c r="K4" i="39"/>
  <c r="K25" i="39" s="1"/>
  <c r="K4" i="44"/>
  <c r="K25" i="44" s="1"/>
  <c r="I5" i="45"/>
  <c r="I19" i="45" s="1"/>
  <c r="L5" i="45"/>
  <c r="L19" i="45" s="1"/>
  <c r="K6" i="44"/>
  <c r="K27" i="44" s="1"/>
  <c r="J5" i="39"/>
  <c r="J19" i="39" s="1"/>
  <c r="L5" i="44"/>
  <c r="L26" i="44" s="1"/>
  <c r="L3" i="43"/>
  <c r="L24" i="43" s="1"/>
  <c r="I6" i="43"/>
  <c r="I27" i="43" s="1"/>
  <c r="J3" i="43"/>
  <c r="J24" i="43" s="1"/>
  <c r="K3" i="43"/>
  <c r="K24" i="43" s="1"/>
  <c r="I6" i="41"/>
  <c r="I20" i="41" s="1"/>
  <c r="K4" i="48"/>
  <c r="K25" i="48" s="1"/>
  <c r="I4" i="40"/>
  <c r="I25" i="40" s="1"/>
  <c r="L5" i="42"/>
  <c r="L19" i="42" s="1"/>
  <c r="K6" i="42"/>
  <c r="K20" i="42" s="1"/>
  <c r="L3" i="41"/>
  <c r="L24" i="41" s="1"/>
  <c r="J5" i="46"/>
  <c r="J19" i="46" s="1"/>
  <c r="I5" i="46"/>
  <c r="I19" i="46" s="1"/>
  <c r="J6" i="40"/>
  <c r="J27" i="40" s="1"/>
  <c r="J6" i="41"/>
  <c r="J27" i="41" s="1"/>
  <c r="L4" i="40"/>
  <c r="L25" i="40" s="1"/>
  <c r="J5" i="42"/>
  <c r="J19" i="42" s="1"/>
  <c r="K4" i="40"/>
  <c r="K25" i="40" s="1"/>
  <c r="L5" i="46"/>
  <c r="L19" i="46" s="1"/>
  <c r="J5" i="40"/>
  <c r="J19" i="40" s="1"/>
  <c r="K3" i="48"/>
  <c r="K24" i="48" s="1"/>
  <c r="I5" i="42"/>
  <c r="I26" i="42" s="1"/>
  <c r="L3" i="39"/>
  <c r="L24" i="39" s="1"/>
  <c r="L4" i="39"/>
  <c r="L25" i="39" s="1"/>
  <c r="J6" i="39"/>
  <c r="J27" i="39" s="1"/>
  <c r="L5" i="39"/>
  <c r="L26" i="39" s="1"/>
  <c r="K6" i="39"/>
  <c r="L3" i="42"/>
  <c r="L17" i="42" s="1"/>
  <c r="J6" i="48"/>
  <c r="J27" i="48" s="1"/>
  <c r="L3" i="48"/>
  <c r="L24" i="48" s="1"/>
  <c r="L3" i="49"/>
  <c r="L17" i="49" s="1"/>
  <c r="I4" i="47"/>
  <c r="I25" i="47" s="1"/>
  <c r="K6" i="48"/>
  <c r="K20" i="48" s="1"/>
  <c r="L4" i="48"/>
  <c r="L25" i="48" s="1"/>
  <c r="L5" i="48"/>
  <c r="L26" i="48" s="1"/>
  <c r="I5" i="48"/>
  <c r="I19" i="48" s="1"/>
  <c r="I5" i="44"/>
  <c r="K3" i="42"/>
  <c r="K24" i="42" s="1"/>
  <c r="I6" i="42"/>
  <c r="I20" i="42" s="1"/>
  <c r="I4" i="44"/>
  <c r="L4" i="47"/>
  <c r="L18" i="47" s="1"/>
  <c r="L3" i="44"/>
  <c r="L24" i="44" s="1"/>
  <c r="K4" i="41"/>
  <c r="M4" i="41" s="1"/>
  <c r="J3" i="42"/>
  <c r="L5" i="49"/>
  <c r="L19" i="49" s="1"/>
  <c r="I4" i="49"/>
  <c r="I25" i="49" s="1"/>
  <c r="I6" i="49"/>
  <c r="I27" i="49" s="1"/>
  <c r="K4" i="49"/>
  <c r="K18" i="49" s="1"/>
  <c r="J5" i="41"/>
  <c r="J26" i="41" s="1"/>
  <c r="I5" i="41"/>
  <c r="I26" i="41" s="1"/>
  <c r="I6" i="47"/>
  <c r="I20" i="47" s="1"/>
  <c r="I5" i="47"/>
  <c r="I26" i="47" s="1"/>
  <c r="L3" i="47"/>
  <c r="L17" i="47" s="1"/>
  <c r="K6" i="47"/>
  <c r="K20" i="47" s="1"/>
  <c r="J6" i="47"/>
  <c r="J27" i="47" s="1"/>
  <c r="L4" i="46"/>
  <c r="L18" i="46" s="1"/>
  <c r="I6" i="46"/>
  <c r="I27" i="46" s="1"/>
  <c r="L3" i="46"/>
  <c r="L24" i="46" s="1"/>
  <c r="J3" i="46"/>
  <c r="J24" i="46" s="1"/>
  <c r="I4" i="45"/>
  <c r="I18" i="45" s="1"/>
  <c r="K6" i="41"/>
  <c r="J3" i="44"/>
  <c r="J17" i="44" s="1"/>
  <c r="L5" i="41"/>
  <c r="K3" i="44"/>
  <c r="K24" i="44" s="1"/>
  <c r="J3" i="47"/>
  <c r="J17" i="47" s="1"/>
  <c r="L4" i="49"/>
  <c r="L18" i="49" s="1"/>
  <c r="J5" i="49"/>
  <c r="J26" i="49" s="1"/>
  <c r="K4" i="45"/>
  <c r="K25" i="45" s="1"/>
  <c r="J6" i="49"/>
  <c r="J27" i="49" s="1"/>
  <c r="J6" i="45"/>
  <c r="M6" i="45" s="1"/>
  <c r="K3" i="46"/>
  <c r="K24" i="46" s="1"/>
  <c r="L4" i="45"/>
  <c r="J3" i="45"/>
  <c r="J24" i="45" s="1"/>
  <c r="J6" i="46"/>
  <c r="I4" i="46"/>
  <c r="I18" i="46" s="1"/>
  <c r="K4" i="46"/>
  <c r="K25" i="46" s="1"/>
  <c r="K37" i="44"/>
  <c r="AF81" i="24"/>
  <c r="D48" i="24" s="1"/>
  <c r="L13" i="24" s="1"/>
  <c r="K18" i="42"/>
  <c r="K11" i="42" s="1"/>
  <c r="I26" i="40"/>
  <c r="I12" i="40" s="1"/>
  <c r="J17" i="49"/>
  <c r="J10" i="49" s="1"/>
  <c r="L17" i="40"/>
  <c r="L10" i="40" s="1"/>
  <c r="K17" i="49"/>
  <c r="K10" i="49" s="1"/>
  <c r="I19" i="49"/>
  <c r="I12" i="49" s="1"/>
  <c r="I20" i="48"/>
  <c r="I13" i="48" s="1"/>
  <c r="L26" i="47"/>
  <c r="L19" i="47"/>
  <c r="M3" i="40"/>
  <c r="K24" i="40"/>
  <c r="K10" i="40" s="1"/>
  <c r="K25" i="47"/>
  <c r="K11" i="47" s="1"/>
  <c r="K20" i="49"/>
  <c r="K13" i="49" s="1"/>
  <c r="J26" i="44"/>
  <c r="J12" i="44" s="1"/>
  <c r="K17" i="47"/>
  <c r="K10" i="47" s="1"/>
  <c r="J17" i="40"/>
  <c r="C34" i="46"/>
  <c r="I27" i="39"/>
  <c r="I20" i="39"/>
  <c r="J17" i="39"/>
  <c r="J24" i="39"/>
  <c r="J27" i="44"/>
  <c r="J20" i="44"/>
  <c r="J19" i="47"/>
  <c r="J26" i="47"/>
  <c r="K24" i="41"/>
  <c r="K10" i="41" s="1"/>
  <c r="J26" i="43"/>
  <c r="J19" i="43"/>
  <c r="J20" i="43"/>
  <c r="J27" i="43"/>
  <c r="I25" i="43"/>
  <c r="I18" i="43"/>
  <c r="K25" i="43"/>
  <c r="K18" i="43"/>
  <c r="L25" i="41"/>
  <c r="L18" i="41"/>
  <c r="K20" i="45"/>
  <c r="K27" i="45"/>
  <c r="J26" i="48"/>
  <c r="J19" i="48"/>
  <c r="I27" i="44"/>
  <c r="I20" i="44"/>
  <c r="K17" i="39"/>
  <c r="K24" i="39"/>
  <c r="I27" i="45"/>
  <c r="I20" i="45"/>
  <c r="J17" i="48"/>
  <c r="J24" i="48"/>
  <c r="I25" i="41"/>
  <c r="I18" i="41"/>
  <c r="I26" i="39"/>
  <c r="I19" i="39"/>
  <c r="J17" i="41"/>
  <c r="J24" i="41"/>
  <c r="I18" i="42"/>
  <c r="M4" i="42"/>
  <c r="I25" i="42"/>
  <c r="L17" i="45"/>
  <c r="L24" i="45"/>
  <c r="L18" i="42"/>
  <c r="L25" i="42"/>
  <c r="J27" i="42"/>
  <c r="J20" i="42"/>
  <c r="L18" i="44"/>
  <c r="L25" i="44"/>
  <c r="K20" i="46"/>
  <c r="K27" i="46"/>
  <c r="I25" i="48"/>
  <c r="I18" i="48"/>
  <c r="J37" i="48"/>
  <c r="J37" i="49"/>
  <c r="C34" i="49"/>
  <c r="C34" i="48"/>
  <c r="C34" i="47"/>
  <c r="J37" i="46"/>
  <c r="J37" i="47"/>
  <c r="C34" i="42"/>
  <c r="J37" i="44"/>
  <c r="J37" i="45"/>
  <c r="C34" i="45"/>
  <c r="C34" i="44"/>
  <c r="J37" i="42"/>
  <c r="J37" i="43"/>
  <c r="C34" i="43"/>
  <c r="C34" i="40"/>
  <c r="C34" i="41"/>
  <c r="J37" i="40"/>
  <c r="J37" i="41"/>
  <c r="C34" i="39"/>
  <c r="J37" i="37"/>
  <c r="J37" i="39"/>
  <c r="AF4" i="24"/>
  <c r="AF3" i="24"/>
  <c r="C34" i="37"/>
  <c r="G13" i="37"/>
  <c r="L5" i="37" s="1"/>
  <c r="G10" i="37"/>
  <c r="I5" i="37" s="1"/>
  <c r="G11" i="37"/>
  <c r="J5" i="37" s="1"/>
  <c r="D30" i="24" l="1"/>
  <c r="L50" i="24" s="1"/>
  <c r="H33" i="43"/>
  <c r="K33" i="59"/>
  <c r="D29" i="24"/>
  <c r="L21" i="24" s="1"/>
  <c r="H32" i="43"/>
  <c r="K32" i="59"/>
  <c r="D34" i="24"/>
  <c r="L17" i="24" s="1"/>
  <c r="H33" i="42"/>
  <c r="K33" i="58"/>
  <c r="D33" i="24"/>
  <c r="L43" i="24" s="1"/>
  <c r="K32" i="58"/>
  <c r="H32" i="42"/>
  <c r="D26" i="24"/>
  <c r="L37" i="24" s="1"/>
  <c r="K33" i="60"/>
  <c r="H33" i="45"/>
  <c r="D25" i="24"/>
  <c r="L33" i="24" s="1"/>
  <c r="K32" i="60"/>
  <c r="H32" i="45"/>
  <c r="D22" i="24"/>
  <c r="L23" i="24" s="1"/>
  <c r="H33" i="46"/>
  <c r="K33" i="61"/>
  <c r="D21" i="24"/>
  <c r="L31" i="24" s="1"/>
  <c r="H32" i="46"/>
  <c r="K32" i="61"/>
  <c r="N38" i="34"/>
  <c r="N36" i="34"/>
  <c r="N45" i="34"/>
  <c r="N50" i="34"/>
  <c r="N44" i="34"/>
  <c r="N48" i="34"/>
  <c r="N43" i="34"/>
  <c r="N40" i="34"/>
  <c r="N42" i="34"/>
  <c r="N46" i="34"/>
  <c r="N35" i="34"/>
  <c r="N47" i="34"/>
  <c r="N39" i="34"/>
  <c r="N41" i="34"/>
  <c r="N37" i="34"/>
  <c r="N49" i="34"/>
  <c r="D14" i="24"/>
  <c r="L36" i="24" s="1"/>
  <c r="K33" i="63"/>
  <c r="H33" i="49"/>
  <c r="D13" i="24"/>
  <c r="L49" i="24" s="1"/>
  <c r="K32" i="63"/>
  <c r="H32" i="49"/>
  <c r="L19" i="43"/>
  <c r="L12" i="43" s="1"/>
  <c r="K32" i="53"/>
  <c r="D5" i="24"/>
  <c r="L25" i="24" s="1"/>
  <c r="H32" i="37"/>
  <c r="L19" i="40"/>
  <c r="M19" i="40" s="1"/>
  <c r="M5" i="43"/>
  <c r="K18" i="48"/>
  <c r="K11" i="48" s="1"/>
  <c r="I27" i="40"/>
  <c r="I13" i="40" s="1"/>
  <c r="I19" i="43"/>
  <c r="I12" i="43" s="1"/>
  <c r="L18" i="43"/>
  <c r="M18" i="43" s="1"/>
  <c r="K20" i="44"/>
  <c r="K13" i="44" s="1"/>
  <c r="J19" i="45"/>
  <c r="M19" i="45" s="1"/>
  <c r="M4" i="43"/>
  <c r="K20" i="43"/>
  <c r="K13" i="43" s="1"/>
  <c r="L17" i="43"/>
  <c r="L10" i="43" s="1"/>
  <c r="M5" i="44"/>
  <c r="K31" i="63"/>
  <c r="K31" i="64"/>
  <c r="K30" i="63"/>
  <c r="K30" i="64"/>
  <c r="K30" i="61"/>
  <c r="K30" i="62"/>
  <c r="K31" i="61"/>
  <c r="K31" i="62"/>
  <c r="K30" i="59"/>
  <c r="K30" i="60"/>
  <c r="K31" i="59"/>
  <c r="K31" i="60"/>
  <c r="K30" i="57"/>
  <c r="K30" i="58"/>
  <c r="K31" i="57"/>
  <c r="K31" i="58"/>
  <c r="K31" i="55"/>
  <c r="K31" i="56"/>
  <c r="K30" i="55"/>
  <c r="K30" i="56"/>
  <c r="K30" i="53"/>
  <c r="K30" i="54"/>
  <c r="K31" i="53"/>
  <c r="K31" i="54"/>
  <c r="L26" i="45"/>
  <c r="K27" i="40"/>
  <c r="M5" i="45"/>
  <c r="K18" i="44"/>
  <c r="K11" i="44" s="1"/>
  <c r="I26" i="45"/>
  <c r="I12" i="45" s="1"/>
  <c r="K24" i="45"/>
  <c r="M24" i="45" s="1"/>
  <c r="K18" i="39"/>
  <c r="K11" i="39" s="1"/>
  <c r="I27" i="41"/>
  <c r="I13" i="41" s="1"/>
  <c r="M6" i="44"/>
  <c r="M3" i="43"/>
  <c r="J26" i="46"/>
  <c r="J12" i="46" s="1"/>
  <c r="J26" i="39"/>
  <c r="M26" i="39" s="1"/>
  <c r="K27" i="42"/>
  <c r="K13" i="42" s="1"/>
  <c r="L26" i="42"/>
  <c r="L12" i="42" s="1"/>
  <c r="I20" i="43"/>
  <c r="K17" i="43"/>
  <c r="K10" i="43" s="1"/>
  <c r="M4" i="44"/>
  <c r="M6" i="40"/>
  <c r="I18" i="39"/>
  <c r="I11" i="39" s="1"/>
  <c r="M6" i="43"/>
  <c r="J17" i="43"/>
  <c r="J10" i="43" s="1"/>
  <c r="L19" i="44"/>
  <c r="L12" i="44" s="1"/>
  <c r="I18" i="40"/>
  <c r="I11" i="40" s="1"/>
  <c r="L18" i="40"/>
  <c r="L11" i="40" s="1"/>
  <c r="L17" i="41"/>
  <c r="L10" i="41" s="1"/>
  <c r="M5" i="40"/>
  <c r="L17" i="39"/>
  <c r="L10" i="39" s="1"/>
  <c r="K17" i="48"/>
  <c r="K10" i="48" s="1"/>
  <c r="K27" i="48"/>
  <c r="K13" i="48" s="1"/>
  <c r="J26" i="42"/>
  <c r="M5" i="42"/>
  <c r="M3" i="39"/>
  <c r="M6" i="39"/>
  <c r="J26" i="40"/>
  <c r="M26" i="40" s="1"/>
  <c r="J20" i="39"/>
  <c r="J13" i="39" s="1"/>
  <c r="I18" i="47"/>
  <c r="M18" i="47" s="1"/>
  <c r="I26" i="48"/>
  <c r="I12" i="48" s="1"/>
  <c r="J20" i="41"/>
  <c r="J13" i="41" s="1"/>
  <c r="L25" i="46"/>
  <c r="L11" i="46" s="1"/>
  <c r="I19" i="42"/>
  <c r="I12" i="42" s="1"/>
  <c r="M3" i="41"/>
  <c r="L19" i="48"/>
  <c r="M19" i="48" s="1"/>
  <c r="L19" i="39"/>
  <c r="L12" i="39" s="1"/>
  <c r="I26" i="46"/>
  <c r="I12" i="46" s="1"/>
  <c r="M3" i="45"/>
  <c r="M3" i="48"/>
  <c r="M6" i="41"/>
  <c r="M5" i="39"/>
  <c r="L17" i="48"/>
  <c r="K18" i="40"/>
  <c r="K11" i="40" s="1"/>
  <c r="M25" i="40"/>
  <c r="M4" i="40"/>
  <c r="M5" i="46"/>
  <c r="I19" i="41"/>
  <c r="I12" i="41" s="1"/>
  <c r="L24" i="42"/>
  <c r="L10" i="42" s="1"/>
  <c r="M3" i="42"/>
  <c r="K27" i="39"/>
  <c r="M27" i="39" s="1"/>
  <c r="K17" i="42"/>
  <c r="K10" i="42" s="1"/>
  <c r="M6" i="48"/>
  <c r="L26" i="46"/>
  <c r="L12" i="46" s="1"/>
  <c r="K20" i="39"/>
  <c r="J20" i="40"/>
  <c r="J13" i="40" s="1"/>
  <c r="M4" i="48"/>
  <c r="M6" i="42"/>
  <c r="J17" i="45"/>
  <c r="M17" i="45" s="1"/>
  <c r="L24" i="49"/>
  <c r="L10" i="49" s="1"/>
  <c r="M10" i="49" s="1"/>
  <c r="L18" i="39"/>
  <c r="L11" i="39" s="1"/>
  <c r="M5" i="48"/>
  <c r="M4" i="39"/>
  <c r="J19" i="41"/>
  <c r="J12" i="41" s="1"/>
  <c r="J20" i="48"/>
  <c r="J13" i="48" s="1"/>
  <c r="I27" i="42"/>
  <c r="M3" i="49"/>
  <c r="K18" i="41"/>
  <c r="M18" i="41" s="1"/>
  <c r="L17" i="44"/>
  <c r="L10" i="44" s="1"/>
  <c r="K25" i="41"/>
  <c r="M25" i="41" s="1"/>
  <c r="J17" i="42"/>
  <c r="L18" i="48"/>
  <c r="L11" i="48" s="1"/>
  <c r="J24" i="42"/>
  <c r="M5" i="47"/>
  <c r="M3" i="47"/>
  <c r="J24" i="47"/>
  <c r="J10" i="47" s="1"/>
  <c r="I19" i="44"/>
  <c r="I26" i="44"/>
  <c r="M26" i="44" s="1"/>
  <c r="K17" i="46"/>
  <c r="K10" i="46" s="1"/>
  <c r="I18" i="44"/>
  <c r="I25" i="44"/>
  <c r="M25" i="44" s="1"/>
  <c r="I20" i="49"/>
  <c r="I13" i="49" s="1"/>
  <c r="K25" i="49"/>
  <c r="K11" i="49" s="1"/>
  <c r="K20" i="41"/>
  <c r="J17" i="46"/>
  <c r="J10" i="46" s="1"/>
  <c r="M4" i="47"/>
  <c r="K18" i="45"/>
  <c r="K11" i="45" s="1"/>
  <c r="L25" i="47"/>
  <c r="L11" i="47" s="1"/>
  <c r="I25" i="45"/>
  <c r="I11" i="45" s="1"/>
  <c r="I18" i="49"/>
  <c r="I11" i="49" s="1"/>
  <c r="L26" i="49"/>
  <c r="L12" i="49" s="1"/>
  <c r="M6" i="47"/>
  <c r="I20" i="46"/>
  <c r="I13" i="46" s="1"/>
  <c r="K27" i="41"/>
  <c r="L24" i="47"/>
  <c r="L10" i="47" s="1"/>
  <c r="K27" i="47"/>
  <c r="K13" i="47" s="1"/>
  <c r="M5" i="41"/>
  <c r="L17" i="46"/>
  <c r="L10" i="46" s="1"/>
  <c r="M6" i="46"/>
  <c r="I19" i="47"/>
  <c r="I12" i="47" s="1"/>
  <c r="I27" i="47"/>
  <c r="I13" i="47" s="1"/>
  <c r="L19" i="41"/>
  <c r="L26" i="41"/>
  <c r="J20" i="47"/>
  <c r="J13" i="47" s="1"/>
  <c r="L25" i="49"/>
  <c r="L11" i="49" s="1"/>
  <c r="M3" i="46"/>
  <c r="J20" i="45"/>
  <c r="M3" i="44"/>
  <c r="J27" i="45"/>
  <c r="M27" i="45" s="1"/>
  <c r="M4" i="45"/>
  <c r="K17" i="44"/>
  <c r="K10" i="44" s="1"/>
  <c r="M6" i="49"/>
  <c r="J24" i="44"/>
  <c r="J10" i="44" s="1"/>
  <c r="M4" i="49"/>
  <c r="M5" i="49"/>
  <c r="J19" i="49"/>
  <c r="J12" i="49" s="1"/>
  <c r="M27" i="49"/>
  <c r="J20" i="49"/>
  <c r="J13" i="49" s="1"/>
  <c r="L18" i="45"/>
  <c r="L25" i="45"/>
  <c r="K18" i="46"/>
  <c r="K11" i="46" s="1"/>
  <c r="J27" i="46"/>
  <c r="M27" i="46" s="1"/>
  <c r="M4" i="46"/>
  <c r="J20" i="46"/>
  <c r="I25" i="46"/>
  <c r="M17" i="49"/>
  <c r="M17" i="40"/>
  <c r="M24" i="40"/>
  <c r="M26" i="47"/>
  <c r="L12" i="47"/>
  <c r="M24" i="39"/>
  <c r="J10" i="40"/>
  <c r="M10" i="40" s="1"/>
  <c r="M25" i="48"/>
  <c r="M27" i="43"/>
  <c r="M27" i="44"/>
  <c r="L10" i="45"/>
  <c r="M25" i="39"/>
  <c r="K13" i="45"/>
  <c r="L11" i="41"/>
  <c r="J13" i="42"/>
  <c r="J13" i="44"/>
  <c r="J12" i="43"/>
  <c r="J12" i="48"/>
  <c r="L11" i="42"/>
  <c r="K11" i="43"/>
  <c r="I13" i="39"/>
  <c r="K13" i="46"/>
  <c r="J12" i="47"/>
  <c r="M24" i="48"/>
  <c r="M25" i="43"/>
  <c r="M17" i="47"/>
  <c r="M24" i="43"/>
  <c r="J10" i="39"/>
  <c r="M18" i="42"/>
  <c r="I11" i="42"/>
  <c r="M24" i="41"/>
  <c r="I11" i="41"/>
  <c r="J10" i="41"/>
  <c r="M24" i="46"/>
  <c r="K10" i="39"/>
  <c r="I11" i="43"/>
  <c r="M19" i="46"/>
  <c r="M20" i="42"/>
  <c r="I13" i="44"/>
  <c r="L11" i="44"/>
  <c r="J10" i="48"/>
  <c r="I12" i="39"/>
  <c r="M26" i="43"/>
  <c r="I13" i="45"/>
  <c r="J13" i="43"/>
  <c r="M25" i="42"/>
  <c r="I11" i="48"/>
  <c r="H31" i="48"/>
  <c r="H31" i="49"/>
  <c r="H30" i="48"/>
  <c r="H30" i="49"/>
  <c r="H30" i="46"/>
  <c r="H30" i="47"/>
  <c r="H31" i="46"/>
  <c r="H31" i="47"/>
  <c r="H30" i="44"/>
  <c r="H30" i="45"/>
  <c r="H31" i="44"/>
  <c r="H31" i="45"/>
  <c r="H31" i="42"/>
  <c r="H31" i="43"/>
  <c r="H30" i="42"/>
  <c r="H30" i="43"/>
  <c r="H30" i="40"/>
  <c r="H30" i="41"/>
  <c r="H31" i="40"/>
  <c r="H31" i="41"/>
  <c r="H30" i="39"/>
  <c r="H30" i="37"/>
  <c r="H31" i="37"/>
  <c r="H31" i="39"/>
  <c r="D3" i="24"/>
  <c r="D4" i="24"/>
  <c r="L42" i="24" s="1"/>
  <c r="L4" i="37"/>
  <c r="K4" i="37"/>
  <c r="I4" i="37"/>
  <c r="J19" i="37"/>
  <c r="J26" i="37"/>
  <c r="M5" i="37"/>
  <c r="I19" i="37"/>
  <c r="I26" i="37"/>
  <c r="L26" i="37"/>
  <c r="L19" i="37"/>
  <c r="J3" i="37"/>
  <c r="K3" i="37"/>
  <c r="L3" i="37"/>
  <c r="K6" i="37"/>
  <c r="J6" i="37"/>
  <c r="I6" i="37"/>
  <c r="I3" i="24"/>
  <c r="M3" i="24" s="1"/>
  <c r="I4" i="24"/>
  <c r="I5" i="24"/>
  <c r="I6" i="24"/>
  <c r="I7" i="24"/>
  <c r="I8" i="24"/>
  <c r="I9" i="24"/>
  <c r="I10" i="24"/>
  <c r="I11" i="24"/>
  <c r="I12" i="24"/>
  <c r="I13" i="24"/>
  <c r="I14" i="24"/>
  <c r="I15" i="24"/>
  <c r="I16" i="24"/>
  <c r="I17" i="24"/>
  <c r="I18" i="24"/>
  <c r="I19" i="24"/>
  <c r="I20" i="24"/>
  <c r="I21" i="24"/>
  <c r="I22" i="24"/>
  <c r="I23" i="24"/>
  <c r="I24" i="24"/>
  <c r="I25" i="24"/>
  <c r="I26" i="24"/>
  <c r="I27" i="24"/>
  <c r="I28" i="24"/>
  <c r="I29" i="24"/>
  <c r="I30" i="24"/>
  <c r="I31" i="24"/>
  <c r="I32" i="24"/>
  <c r="I33" i="24"/>
  <c r="I34" i="24"/>
  <c r="E145" i="26"/>
  <c r="C195" i="26"/>
  <c r="C186" i="26"/>
  <c r="C47" i="36"/>
  <c r="C48" i="36"/>
  <c r="C49" i="36"/>
  <c r="C46" i="36"/>
  <c r="C45" i="36"/>
  <c r="C44" i="36"/>
  <c r="C43" i="36"/>
  <c r="C42" i="36"/>
  <c r="C41" i="36"/>
  <c r="C39" i="36"/>
  <c r="C40" i="36"/>
  <c r="C36" i="36"/>
  <c r="C35" i="36"/>
  <c r="C37" i="36"/>
  <c r="C38" i="36"/>
  <c r="C31" i="36"/>
  <c r="C32" i="36"/>
  <c r="C34" i="36"/>
  <c r="C29" i="36"/>
  <c r="C33" i="36"/>
  <c r="C28" i="36"/>
  <c r="C27" i="36"/>
  <c r="C30" i="36"/>
  <c r="C23" i="36"/>
  <c r="C24" i="36"/>
  <c r="C25" i="36"/>
  <c r="C26" i="36"/>
  <c r="C21" i="36"/>
  <c r="C22" i="36"/>
  <c r="C19" i="36"/>
  <c r="C16" i="36"/>
  <c r="C20" i="36"/>
  <c r="C17" i="36"/>
  <c r="C15" i="36"/>
  <c r="C11" i="36"/>
  <c r="C18" i="36"/>
  <c r="C14" i="36"/>
  <c r="C12" i="36"/>
  <c r="C13" i="36"/>
  <c r="C9" i="36"/>
  <c r="C8" i="36"/>
  <c r="C10" i="36"/>
  <c r="C7" i="36"/>
  <c r="C6" i="36"/>
  <c r="C4" i="36"/>
  <c r="C5" i="36"/>
  <c r="C3" i="36"/>
  <c r="L11" i="43" l="1"/>
  <c r="M11" i="43" s="1"/>
  <c r="L12" i="40"/>
  <c r="L16" i="24"/>
  <c r="L15" i="24"/>
  <c r="M20" i="44"/>
  <c r="M19" i="43"/>
  <c r="M27" i="40"/>
  <c r="M20" i="43"/>
  <c r="J12" i="45"/>
  <c r="M27" i="42"/>
  <c r="K10" i="45"/>
  <c r="M26" i="45"/>
  <c r="M27" i="41"/>
  <c r="L12" i="45"/>
  <c r="K13" i="40"/>
  <c r="M13" i="40" s="1"/>
  <c r="M17" i="39"/>
  <c r="I11" i="47"/>
  <c r="M11" i="47" s="1"/>
  <c r="J12" i="39"/>
  <c r="M12" i="39" s="1"/>
  <c r="I13" i="43"/>
  <c r="M13" i="43" s="1"/>
  <c r="M18" i="44"/>
  <c r="M26" i="42"/>
  <c r="M17" i="43"/>
  <c r="M19" i="44"/>
  <c r="M25" i="46"/>
  <c r="M11" i="40"/>
  <c r="O4" i="40" s="1"/>
  <c r="M20" i="39"/>
  <c r="J12" i="42"/>
  <c r="M12" i="42" s="1"/>
  <c r="J12" i="40"/>
  <c r="M17" i="41"/>
  <c r="M34" i="24"/>
  <c r="M14" i="24"/>
  <c r="M33" i="24"/>
  <c r="M13" i="24"/>
  <c r="M32" i="24"/>
  <c r="M12" i="24"/>
  <c r="M31" i="24"/>
  <c r="M11" i="24"/>
  <c r="M9" i="24"/>
  <c r="M30" i="24"/>
  <c r="M10" i="24"/>
  <c r="M28" i="24"/>
  <c r="M29" i="24"/>
  <c r="M8" i="24"/>
  <c r="M27" i="24"/>
  <c r="M7" i="24"/>
  <c r="M27" i="48"/>
  <c r="M26" i="48"/>
  <c r="M17" i="48"/>
  <c r="M24" i="42"/>
  <c r="M19" i="39"/>
  <c r="M24" i="49"/>
  <c r="G145" i="26"/>
  <c r="D145" i="26"/>
  <c r="M20" i="40"/>
  <c r="M26" i="46"/>
  <c r="M19" i="42"/>
  <c r="M20" i="41"/>
  <c r="M17" i="42"/>
  <c r="M18" i="48"/>
  <c r="K11" i="41"/>
  <c r="M11" i="41" s="1"/>
  <c r="M19" i="41"/>
  <c r="I13" i="42"/>
  <c r="M13" i="42" s="1"/>
  <c r="L10" i="48"/>
  <c r="M10" i="48" s="1"/>
  <c r="L12" i="48"/>
  <c r="M12" i="48" s="1"/>
  <c r="K13" i="39"/>
  <c r="M13" i="39" s="1"/>
  <c r="J10" i="42"/>
  <c r="M10" i="42" s="1"/>
  <c r="M20" i="48"/>
  <c r="M18" i="39"/>
  <c r="I12" i="44"/>
  <c r="M12" i="44" s="1"/>
  <c r="J10" i="45"/>
  <c r="M18" i="40"/>
  <c r="I11" i="44"/>
  <c r="M11" i="44" s="1"/>
  <c r="I11" i="46"/>
  <c r="M11" i="46" s="1"/>
  <c r="M17" i="46"/>
  <c r="M11" i="49"/>
  <c r="P3" i="49" s="1"/>
  <c r="M20" i="47"/>
  <c r="M17" i="44"/>
  <c r="M25" i="45"/>
  <c r="M18" i="49"/>
  <c r="M25" i="47"/>
  <c r="M26" i="49"/>
  <c r="J13" i="45"/>
  <c r="M13" i="45" s="1"/>
  <c r="K13" i="41"/>
  <c r="M13" i="41" s="1"/>
  <c r="M24" i="47"/>
  <c r="M20" i="45"/>
  <c r="M20" i="46"/>
  <c r="M13" i="47"/>
  <c r="M25" i="49"/>
  <c r="L12" i="41"/>
  <c r="M12" i="41" s="1"/>
  <c r="M26" i="41"/>
  <c r="M27" i="47"/>
  <c r="M19" i="47"/>
  <c r="M24" i="44"/>
  <c r="L11" i="45"/>
  <c r="M11" i="45" s="1"/>
  <c r="M18" i="45"/>
  <c r="M18" i="46"/>
  <c r="J13" i="46"/>
  <c r="M13" i="46" s="1"/>
  <c r="M19" i="49"/>
  <c r="M13" i="49"/>
  <c r="O6" i="49" s="1"/>
  <c r="O20" i="49" s="1"/>
  <c r="M20" i="49"/>
  <c r="L21" i="34"/>
  <c r="M21" i="24"/>
  <c r="L23" i="34"/>
  <c r="M23" i="24"/>
  <c r="L26" i="34"/>
  <c r="M26" i="24"/>
  <c r="L6" i="34"/>
  <c r="M6" i="24"/>
  <c r="L25" i="34"/>
  <c r="M25" i="24"/>
  <c r="L5" i="34"/>
  <c r="M5" i="24"/>
  <c r="L22" i="34"/>
  <c r="M22" i="24"/>
  <c r="L24" i="34"/>
  <c r="M24" i="24"/>
  <c r="L19" i="34"/>
  <c r="M19" i="24"/>
  <c r="L18" i="34"/>
  <c r="M18" i="24"/>
  <c r="L20" i="34"/>
  <c r="M20" i="24"/>
  <c r="L17" i="34"/>
  <c r="M17" i="24"/>
  <c r="L16" i="34"/>
  <c r="M16" i="24"/>
  <c r="L15" i="34"/>
  <c r="M15" i="24"/>
  <c r="L4" i="34"/>
  <c r="M4" i="24"/>
  <c r="M12" i="47"/>
  <c r="M12" i="49"/>
  <c r="M12" i="46"/>
  <c r="M10" i="47"/>
  <c r="M10" i="44"/>
  <c r="M11" i="42"/>
  <c r="M13" i="48"/>
  <c r="M10" i="41"/>
  <c r="M11" i="48"/>
  <c r="M10" i="43"/>
  <c r="M13" i="44"/>
  <c r="M11" i="39"/>
  <c r="M10" i="39"/>
  <c r="M10" i="46"/>
  <c r="M12" i="43"/>
  <c r="L12" i="37"/>
  <c r="I12" i="37"/>
  <c r="J12" i="37"/>
  <c r="L34" i="34"/>
  <c r="L14" i="34"/>
  <c r="L33" i="34"/>
  <c r="L13" i="34"/>
  <c r="L32" i="34"/>
  <c r="L12" i="34"/>
  <c r="L31" i="34"/>
  <c r="L11" i="34"/>
  <c r="L30" i="34"/>
  <c r="L10" i="34"/>
  <c r="L29" i="34"/>
  <c r="L9" i="34"/>
  <c r="L28" i="34"/>
  <c r="L8" i="34"/>
  <c r="L27" i="34"/>
  <c r="L7" i="34"/>
  <c r="M26" i="37"/>
  <c r="M19" i="37"/>
  <c r="M6" i="37"/>
  <c r="I27" i="37"/>
  <c r="I20" i="37"/>
  <c r="J20" i="37"/>
  <c r="J27" i="37"/>
  <c r="K27" i="37"/>
  <c r="K20" i="37"/>
  <c r="L24" i="37"/>
  <c r="L17" i="37"/>
  <c r="K17" i="37"/>
  <c r="K24" i="37"/>
  <c r="M3" i="37"/>
  <c r="J17" i="37"/>
  <c r="J24" i="37"/>
  <c r="M4" i="37"/>
  <c r="I25" i="37"/>
  <c r="I18" i="37"/>
  <c r="K25" i="37"/>
  <c r="K18" i="37"/>
  <c r="L25" i="37"/>
  <c r="L18" i="37"/>
  <c r="L3" i="34"/>
  <c r="M12" i="40" l="1"/>
  <c r="Q4" i="40" s="1"/>
  <c r="Q25" i="40" s="1"/>
  <c r="M12" i="45"/>
  <c r="Q4" i="45" s="1"/>
  <c r="Z30" i="34"/>
  <c r="V30" i="34"/>
  <c r="Z4" i="34"/>
  <c r="V4" i="34"/>
  <c r="Z27" i="34"/>
  <c r="V27" i="34"/>
  <c r="V26" i="34"/>
  <c r="Z26" i="34"/>
  <c r="V7" i="34"/>
  <c r="Z7" i="34"/>
  <c r="V16" i="34"/>
  <c r="Z16" i="34"/>
  <c r="V8" i="34"/>
  <c r="Z8" i="34"/>
  <c r="Z29" i="34"/>
  <c r="V29" i="34"/>
  <c r="V15" i="34"/>
  <c r="Z15" i="34"/>
  <c r="V6" i="34"/>
  <c r="Z6" i="34"/>
  <c r="Z28" i="34"/>
  <c r="V28" i="34"/>
  <c r="V17" i="34"/>
  <c r="Z17" i="34"/>
  <c r="Z23" i="34"/>
  <c r="V23" i="34"/>
  <c r="V9" i="34"/>
  <c r="Z9" i="34"/>
  <c r="V10" i="34"/>
  <c r="Z10" i="34"/>
  <c r="Z11" i="34"/>
  <c r="V11" i="34"/>
  <c r="Z31" i="34"/>
  <c r="V31" i="34"/>
  <c r="Z32" i="34"/>
  <c r="V32" i="34"/>
  <c r="Z24" i="34"/>
  <c r="V24" i="34"/>
  <c r="Z13" i="34"/>
  <c r="V13" i="34"/>
  <c r="Z20" i="34"/>
  <c r="V20" i="34"/>
  <c r="Z19" i="34"/>
  <c r="V19" i="34"/>
  <c r="Z33" i="34"/>
  <c r="V33" i="34"/>
  <c r="Z22" i="34"/>
  <c r="V22" i="34"/>
  <c r="V18" i="34"/>
  <c r="Z18" i="34"/>
  <c r="Z34" i="34"/>
  <c r="V34" i="34"/>
  <c r="V5" i="34"/>
  <c r="Z5" i="34"/>
  <c r="Z14" i="34"/>
  <c r="V14" i="34"/>
  <c r="Z3" i="34"/>
  <c r="V3" i="34"/>
  <c r="Z21" i="34"/>
  <c r="V21" i="34"/>
  <c r="Z12" i="34"/>
  <c r="V12" i="34"/>
  <c r="V25" i="34"/>
  <c r="Z25" i="34"/>
  <c r="M10" i="45"/>
  <c r="P3" i="40"/>
  <c r="P17" i="40" s="1"/>
  <c r="R3" i="49"/>
  <c r="R24" i="49" s="1"/>
  <c r="O4" i="49"/>
  <c r="O25" i="49" s="1"/>
  <c r="P6" i="47"/>
  <c r="P27" i="47" s="1"/>
  <c r="R4" i="49"/>
  <c r="R25" i="49" s="1"/>
  <c r="R5" i="47"/>
  <c r="R26" i="47" s="1"/>
  <c r="R4" i="47"/>
  <c r="R25" i="47" s="1"/>
  <c r="P6" i="49"/>
  <c r="P27" i="49" s="1"/>
  <c r="Q6" i="49"/>
  <c r="Q27" i="49" s="1"/>
  <c r="R5" i="46"/>
  <c r="R19" i="46" s="1"/>
  <c r="Q4" i="47"/>
  <c r="Q18" i="47" s="1"/>
  <c r="P5" i="47"/>
  <c r="P26" i="47" s="1"/>
  <c r="O5" i="49"/>
  <c r="O19" i="49" s="1"/>
  <c r="P5" i="49"/>
  <c r="P19" i="49" s="1"/>
  <c r="Q6" i="47"/>
  <c r="Q27" i="47" s="1"/>
  <c r="O6" i="46"/>
  <c r="O27" i="46" s="1"/>
  <c r="Q3" i="47"/>
  <c r="Q24" i="47" s="1"/>
  <c r="P6" i="42"/>
  <c r="P27" i="42" s="1"/>
  <c r="Q6" i="46"/>
  <c r="Q20" i="46" s="1"/>
  <c r="R5" i="49"/>
  <c r="Q4" i="49"/>
  <c r="Q25" i="49" s="1"/>
  <c r="Q3" i="49"/>
  <c r="Q24" i="49" s="1"/>
  <c r="O4" i="47"/>
  <c r="O25" i="47" s="1"/>
  <c r="Q4" i="46"/>
  <c r="Q25" i="46" s="1"/>
  <c r="O6" i="44"/>
  <c r="O20" i="44" s="1"/>
  <c r="P3" i="42"/>
  <c r="P24" i="42" s="1"/>
  <c r="R4" i="42"/>
  <c r="R25" i="42" s="1"/>
  <c r="Q4" i="42"/>
  <c r="Q18" i="42" s="1"/>
  <c r="O6" i="42"/>
  <c r="O20" i="42" s="1"/>
  <c r="O6" i="47"/>
  <c r="R3" i="47"/>
  <c r="R24" i="47" s="1"/>
  <c r="O5" i="47"/>
  <c r="O26" i="47" s="1"/>
  <c r="P3" i="47"/>
  <c r="P3" i="41"/>
  <c r="P17" i="41" s="1"/>
  <c r="R4" i="39"/>
  <c r="R18" i="39" s="1"/>
  <c r="R4" i="41"/>
  <c r="R18" i="41" s="1"/>
  <c r="Q4" i="41"/>
  <c r="Q18" i="41" s="1"/>
  <c r="O4" i="41"/>
  <c r="Q6" i="48"/>
  <c r="Q27" i="48" s="1"/>
  <c r="Q4" i="39"/>
  <c r="Q18" i="39" s="1"/>
  <c r="Q3" i="41"/>
  <c r="Q17" i="41" s="1"/>
  <c r="P6" i="46"/>
  <c r="P27" i="46" s="1"/>
  <c r="Q6" i="42"/>
  <c r="P5" i="46"/>
  <c r="O4" i="42"/>
  <c r="O18" i="42" s="1"/>
  <c r="O5" i="42"/>
  <c r="O19" i="42" s="1"/>
  <c r="P5" i="42"/>
  <c r="P19" i="42" s="1"/>
  <c r="R4" i="46"/>
  <c r="R3" i="42"/>
  <c r="R24" i="42" s="1"/>
  <c r="R3" i="44"/>
  <c r="R17" i="44" s="1"/>
  <c r="R3" i="43"/>
  <c r="R24" i="43" s="1"/>
  <c r="R4" i="45"/>
  <c r="R25" i="45" s="1"/>
  <c r="Q6" i="39"/>
  <c r="P6" i="45"/>
  <c r="O5" i="46"/>
  <c r="O19" i="46" s="1"/>
  <c r="O6" i="43"/>
  <c r="R5" i="42"/>
  <c r="R5" i="43"/>
  <c r="R19" i="43" s="1"/>
  <c r="P6" i="39"/>
  <c r="P6" i="48"/>
  <c r="R4" i="48"/>
  <c r="R5" i="39"/>
  <c r="P5" i="39"/>
  <c r="P5" i="41"/>
  <c r="O27" i="49"/>
  <c r="Q6" i="43"/>
  <c r="O5" i="41"/>
  <c r="Q3" i="42"/>
  <c r="P24" i="49"/>
  <c r="P17" i="49"/>
  <c r="R5" i="41"/>
  <c r="R26" i="41" s="1"/>
  <c r="Q3" i="44"/>
  <c r="Q6" i="44"/>
  <c r="R5" i="44"/>
  <c r="O5" i="44"/>
  <c r="O6" i="39"/>
  <c r="P3" i="39"/>
  <c r="R3" i="39"/>
  <c r="Q3" i="39"/>
  <c r="O4" i="39"/>
  <c r="Q4" i="48"/>
  <c r="O5" i="39"/>
  <c r="R5" i="48"/>
  <c r="R26" i="48" s="1"/>
  <c r="P5" i="48"/>
  <c r="P19" i="48" s="1"/>
  <c r="R3" i="40"/>
  <c r="O6" i="40"/>
  <c r="P6" i="40"/>
  <c r="P3" i="44"/>
  <c r="R4" i="44"/>
  <c r="Q4" i="44"/>
  <c r="P6" i="44"/>
  <c r="P5" i="44"/>
  <c r="O4" i="44"/>
  <c r="Q4" i="43"/>
  <c r="O4" i="43"/>
  <c r="R4" i="43"/>
  <c r="P3" i="43"/>
  <c r="R3" i="48"/>
  <c r="Q3" i="48"/>
  <c r="P3" i="48"/>
  <c r="O5" i="48"/>
  <c r="O6" i="48"/>
  <c r="O4" i="48"/>
  <c r="P5" i="43"/>
  <c r="Q3" i="43"/>
  <c r="O5" i="43"/>
  <c r="P6" i="43"/>
  <c r="O18" i="40"/>
  <c r="O25" i="40"/>
  <c r="O4" i="46"/>
  <c r="R3" i="46"/>
  <c r="Q3" i="46"/>
  <c r="P3" i="46"/>
  <c r="R4" i="40"/>
  <c r="R3" i="41"/>
  <c r="P6" i="41"/>
  <c r="O6" i="41"/>
  <c r="Q6" i="41"/>
  <c r="K11" i="37"/>
  <c r="L10" i="37"/>
  <c r="K13" i="37"/>
  <c r="I11" i="37"/>
  <c r="M12" i="37"/>
  <c r="L11" i="37"/>
  <c r="J13" i="37"/>
  <c r="I13" i="37"/>
  <c r="J10" i="37"/>
  <c r="K10" i="37"/>
  <c r="M25" i="37"/>
  <c r="M18" i="37"/>
  <c r="M17" i="37"/>
  <c r="M24" i="37"/>
  <c r="M20" i="37"/>
  <c r="M27" i="37"/>
  <c r="C30" i="34"/>
  <c r="G30" i="34" s="1"/>
  <c r="C29" i="34"/>
  <c r="G29" i="34" s="1"/>
  <c r="C28" i="34"/>
  <c r="G28" i="34" s="1"/>
  <c r="C27" i="34"/>
  <c r="G27" i="34" s="1"/>
  <c r="C26" i="34"/>
  <c r="G26" i="34" s="1"/>
  <c r="C25" i="34"/>
  <c r="G25" i="34" s="1"/>
  <c r="C24" i="34"/>
  <c r="G24" i="34" s="1"/>
  <c r="C23" i="34"/>
  <c r="G23" i="34" s="1"/>
  <c r="C22" i="34"/>
  <c r="G22" i="34" s="1"/>
  <c r="C21" i="34"/>
  <c r="G21" i="34" s="1"/>
  <c r="C20" i="34"/>
  <c r="G20" i="34" s="1"/>
  <c r="C19" i="34"/>
  <c r="G19" i="34" s="1"/>
  <c r="C18" i="34"/>
  <c r="G18" i="34" s="1"/>
  <c r="C17" i="34"/>
  <c r="G17" i="34" s="1"/>
  <c r="C16" i="34"/>
  <c r="G16" i="34" s="1"/>
  <c r="C15" i="34"/>
  <c r="G15" i="34" s="1"/>
  <c r="C14" i="34"/>
  <c r="G14" i="34" s="1"/>
  <c r="C13" i="34"/>
  <c r="G13" i="34" s="1"/>
  <c r="C12" i="34"/>
  <c r="G12" i="34" s="1"/>
  <c r="C11" i="34"/>
  <c r="G11" i="34" s="1"/>
  <c r="C10" i="34"/>
  <c r="G10" i="34" s="1"/>
  <c r="C9" i="34"/>
  <c r="G9" i="34" s="1"/>
  <c r="C8" i="34"/>
  <c r="G8" i="34" s="1"/>
  <c r="C7" i="34"/>
  <c r="G7" i="34" s="1"/>
  <c r="C6" i="34"/>
  <c r="G6" i="34" s="1"/>
  <c r="C5" i="34"/>
  <c r="G5" i="34" s="1"/>
  <c r="C4" i="34"/>
  <c r="G4" i="34" s="1"/>
  <c r="C3" i="34"/>
  <c r="G3" i="34" s="1"/>
  <c r="AO3" i="2"/>
  <c r="I3" i="2"/>
  <c r="H3" i="2"/>
  <c r="P5" i="40" l="1"/>
  <c r="P26" i="40" s="1"/>
  <c r="O5" i="40"/>
  <c r="O26" i="40" s="1"/>
  <c r="Q6" i="40"/>
  <c r="S6" i="40" s="1"/>
  <c r="Q3" i="40"/>
  <c r="Q17" i="40" s="1"/>
  <c r="R5" i="40"/>
  <c r="R19" i="40" s="1"/>
  <c r="D29" i="34"/>
  <c r="D30" i="34"/>
  <c r="D7" i="34"/>
  <c r="D11" i="34"/>
  <c r="D12" i="34"/>
  <c r="D10" i="34"/>
  <c r="D13" i="34"/>
  <c r="D14" i="34"/>
  <c r="D6" i="34"/>
  <c r="D15" i="34"/>
  <c r="D16" i="34"/>
  <c r="D17" i="34"/>
  <c r="D18" i="34"/>
  <c r="D19" i="34"/>
  <c r="D9" i="34"/>
  <c r="D20" i="34"/>
  <c r="D21" i="34"/>
  <c r="D5" i="34"/>
  <c r="D22" i="34"/>
  <c r="D3" i="34"/>
  <c r="D23" i="34"/>
  <c r="D24" i="34"/>
  <c r="D25" i="34"/>
  <c r="D4" i="34"/>
  <c r="D26" i="34"/>
  <c r="D27" i="34"/>
  <c r="D8" i="34"/>
  <c r="D28" i="34"/>
  <c r="P5" i="45"/>
  <c r="P26" i="45" s="1"/>
  <c r="Q6" i="45"/>
  <c r="Q27" i="45" s="1"/>
  <c r="R5" i="45"/>
  <c r="R19" i="45" s="1"/>
  <c r="O5" i="45"/>
  <c r="O19" i="45" s="1"/>
  <c r="P3" i="45"/>
  <c r="P17" i="45" s="1"/>
  <c r="Q3" i="45"/>
  <c r="Q17" i="45" s="1"/>
  <c r="R3" i="45"/>
  <c r="R24" i="45" s="1"/>
  <c r="O6" i="45"/>
  <c r="O27" i="45" s="1"/>
  <c r="O4" i="45"/>
  <c r="O25" i="45" s="1"/>
  <c r="P24" i="40"/>
  <c r="P10" i="40" s="1"/>
  <c r="R17" i="49"/>
  <c r="R10" i="49" s="1"/>
  <c r="Q18" i="40"/>
  <c r="Q11" i="40" s="1"/>
  <c r="S4" i="40"/>
  <c r="O18" i="49"/>
  <c r="O11" i="49" s="1"/>
  <c r="R19" i="47"/>
  <c r="R12" i="47" s="1"/>
  <c r="R18" i="49"/>
  <c r="R11" i="49" s="1"/>
  <c r="P20" i="47"/>
  <c r="P13" i="47" s="1"/>
  <c r="S6" i="49"/>
  <c r="S27" i="49"/>
  <c r="P20" i="49"/>
  <c r="P13" i="49" s="1"/>
  <c r="Q20" i="49"/>
  <c r="Q13" i="49" s="1"/>
  <c r="R18" i="47"/>
  <c r="R11" i="47" s="1"/>
  <c r="O26" i="49"/>
  <c r="O12" i="49" s="1"/>
  <c r="Q25" i="47"/>
  <c r="S25" i="47" s="1"/>
  <c r="Q18" i="49"/>
  <c r="P19" i="47"/>
  <c r="P12" i="47" s="1"/>
  <c r="S26" i="47"/>
  <c r="Q20" i="47"/>
  <c r="Q13" i="47" s="1"/>
  <c r="Q17" i="49"/>
  <c r="S3" i="49"/>
  <c r="P26" i="49"/>
  <c r="P12" i="49" s="1"/>
  <c r="S4" i="49"/>
  <c r="S5" i="49"/>
  <c r="R26" i="46"/>
  <c r="R12" i="46" s="1"/>
  <c r="Q17" i="47"/>
  <c r="Q10" i="47" s="1"/>
  <c r="O20" i="46"/>
  <c r="O13" i="46" s="1"/>
  <c r="S6" i="47"/>
  <c r="R19" i="49"/>
  <c r="R26" i="49"/>
  <c r="Q27" i="46"/>
  <c r="Q13" i="46" s="1"/>
  <c r="P20" i="42"/>
  <c r="P13" i="42" s="1"/>
  <c r="Q18" i="46"/>
  <c r="Q11" i="46" s="1"/>
  <c r="R26" i="43"/>
  <c r="R12" i="43" s="1"/>
  <c r="R18" i="42"/>
  <c r="R11" i="42" s="1"/>
  <c r="S4" i="47"/>
  <c r="O18" i="47"/>
  <c r="O11" i="47" s="1"/>
  <c r="P17" i="42"/>
  <c r="P10" i="42" s="1"/>
  <c r="Q25" i="39"/>
  <c r="Q11" i="39" s="1"/>
  <c r="S6" i="42"/>
  <c r="O27" i="42"/>
  <c r="O13" i="42" s="1"/>
  <c r="O26" i="42"/>
  <c r="O12" i="42" s="1"/>
  <c r="O27" i="44"/>
  <c r="O13" i="44" s="1"/>
  <c r="R19" i="41"/>
  <c r="R12" i="41" s="1"/>
  <c r="O26" i="46"/>
  <c r="O12" i="46" s="1"/>
  <c r="Q25" i="42"/>
  <c r="Q11" i="42" s="1"/>
  <c r="R25" i="39"/>
  <c r="R11" i="39" s="1"/>
  <c r="S5" i="47"/>
  <c r="S6" i="46"/>
  <c r="P24" i="41"/>
  <c r="P10" i="41" s="1"/>
  <c r="O19" i="47"/>
  <c r="P24" i="47"/>
  <c r="S24" i="47" s="1"/>
  <c r="P17" i="47"/>
  <c r="R25" i="41"/>
  <c r="R11" i="41" s="1"/>
  <c r="S3" i="47"/>
  <c r="R17" i="47"/>
  <c r="R10" i="47" s="1"/>
  <c r="O20" i="47"/>
  <c r="O27" i="47"/>
  <c r="S27" i="47" s="1"/>
  <c r="S3" i="42"/>
  <c r="R18" i="45"/>
  <c r="R11" i="45" s="1"/>
  <c r="Q25" i="41"/>
  <c r="Q11" i="41" s="1"/>
  <c r="R24" i="44"/>
  <c r="R10" i="44" s="1"/>
  <c r="O18" i="41"/>
  <c r="O25" i="41"/>
  <c r="P20" i="46"/>
  <c r="P13" i="46" s="1"/>
  <c r="O13" i="49"/>
  <c r="S4" i="41"/>
  <c r="S5" i="46"/>
  <c r="Q20" i="48"/>
  <c r="Q13" i="48" s="1"/>
  <c r="Q24" i="41"/>
  <c r="Q10" i="41" s="1"/>
  <c r="R17" i="43"/>
  <c r="R10" i="43" s="1"/>
  <c r="R25" i="46"/>
  <c r="R18" i="46"/>
  <c r="R17" i="42"/>
  <c r="R10" i="42" s="1"/>
  <c r="S4" i="42"/>
  <c r="O25" i="42"/>
  <c r="P26" i="42"/>
  <c r="P12" i="42" s="1"/>
  <c r="P19" i="46"/>
  <c r="P26" i="46"/>
  <c r="Q27" i="42"/>
  <c r="Q20" i="42"/>
  <c r="Q27" i="39"/>
  <c r="Q20" i="39"/>
  <c r="P27" i="39"/>
  <c r="P20" i="39"/>
  <c r="R26" i="42"/>
  <c r="R19" i="42"/>
  <c r="S5" i="42"/>
  <c r="O27" i="43"/>
  <c r="O20" i="43"/>
  <c r="R25" i="48"/>
  <c r="R18" i="48"/>
  <c r="P27" i="48"/>
  <c r="P20" i="48"/>
  <c r="P20" i="45"/>
  <c r="P27" i="45"/>
  <c r="O26" i="41"/>
  <c r="O19" i="41"/>
  <c r="Q27" i="43"/>
  <c r="Q20" i="43"/>
  <c r="S25" i="49"/>
  <c r="P19" i="41"/>
  <c r="P26" i="41"/>
  <c r="P19" i="39"/>
  <c r="P26" i="39"/>
  <c r="S5" i="41"/>
  <c r="S24" i="49"/>
  <c r="R26" i="39"/>
  <c r="R19" i="39"/>
  <c r="P26" i="48"/>
  <c r="P12" i="48" s="1"/>
  <c r="R19" i="48"/>
  <c r="R12" i="48" s="1"/>
  <c r="Q24" i="42"/>
  <c r="S24" i="42" s="1"/>
  <c r="Q17" i="42"/>
  <c r="Q17" i="39"/>
  <c r="Q24" i="39"/>
  <c r="R24" i="39"/>
  <c r="R17" i="39"/>
  <c r="P17" i="39"/>
  <c r="S3" i="39"/>
  <c r="P24" i="39"/>
  <c r="O20" i="39"/>
  <c r="S6" i="39"/>
  <c r="O27" i="39"/>
  <c r="O26" i="44"/>
  <c r="O19" i="44"/>
  <c r="R19" i="44"/>
  <c r="R26" i="44"/>
  <c r="Q27" i="44"/>
  <c r="Q20" i="44"/>
  <c r="Q24" i="44"/>
  <c r="Q17" i="44"/>
  <c r="O19" i="39"/>
  <c r="S5" i="39"/>
  <c r="O26" i="39"/>
  <c r="P10" i="49"/>
  <c r="Q25" i="45"/>
  <c r="Q18" i="45"/>
  <c r="Q25" i="48"/>
  <c r="Q18" i="48"/>
  <c r="S4" i="39"/>
  <c r="O25" i="39"/>
  <c r="O18" i="39"/>
  <c r="P17" i="43"/>
  <c r="S3" i="43"/>
  <c r="P24" i="43"/>
  <c r="R18" i="43"/>
  <c r="R25" i="43"/>
  <c r="O25" i="43"/>
  <c r="S4" i="43"/>
  <c r="O18" i="43"/>
  <c r="Q24" i="48"/>
  <c r="Q17" i="48"/>
  <c r="Q25" i="43"/>
  <c r="Q18" i="43"/>
  <c r="R24" i="48"/>
  <c r="R17" i="48"/>
  <c r="Q17" i="46"/>
  <c r="Q24" i="46"/>
  <c r="O25" i="44"/>
  <c r="O18" i="44"/>
  <c r="S4" i="44"/>
  <c r="S3" i="46"/>
  <c r="P17" i="46"/>
  <c r="P24" i="46"/>
  <c r="R24" i="46"/>
  <c r="R17" i="46"/>
  <c r="P19" i="44"/>
  <c r="P26" i="44"/>
  <c r="S5" i="44"/>
  <c r="S4" i="46"/>
  <c r="O25" i="46"/>
  <c r="O18" i="46"/>
  <c r="P20" i="44"/>
  <c r="P27" i="44"/>
  <c r="S6" i="44"/>
  <c r="Q18" i="44"/>
  <c r="Q25" i="44"/>
  <c r="R18" i="44"/>
  <c r="R25" i="44"/>
  <c r="P27" i="43"/>
  <c r="P20" i="43"/>
  <c r="S6" i="43"/>
  <c r="S3" i="44"/>
  <c r="P17" i="44"/>
  <c r="P24" i="44"/>
  <c r="S5" i="43"/>
  <c r="O26" i="43"/>
  <c r="O19" i="43"/>
  <c r="P27" i="40"/>
  <c r="P20" i="40"/>
  <c r="Q27" i="41"/>
  <c r="Q20" i="41"/>
  <c r="Q24" i="43"/>
  <c r="Q17" i="43"/>
  <c r="O20" i="40"/>
  <c r="O27" i="40"/>
  <c r="P27" i="41"/>
  <c r="P20" i="41"/>
  <c r="R17" i="40"/>
  <c r="S17" i="40" s="1"/>
  <c r="R24" i="40"/>
  <c r="S6" i="41"/>
  <c r="O20" i="41"/>
  <c r="O27" i="41"/>
  <c r="O11" i="40"/>
  <c r="S6" i="48"/>
  <c r="O27" i="48"/>
  <c r="O20" i="48"/>
  <c r="P19" i="43"/>
  <c r="P26" i="43"/>
  <c r="R17" i="41"/>
  <c r="R24" i="41"/>
  <c r="S3" i="41"/>
  <c r="S4" i="48"/>
  <c r="O18" i="48"/>
  <c r="O25" i="48"/>
  <c r="S5" i="48"/>
  <c r="O19" i="48"/>
  <c r="O26" i="48"/>
  <c r="R18" i="40"/>
  <c r="R25" i="40"/>
  <c r="S25" i="40" s="1"/>
  <c r="S3" i="48"/>
  <c r="P17" i="48"/>
  <c r="P24" i="48"/>
  <c r="M11" i="37"/>
  <c r="M13" i="37"/>
  <c r="M10" i="37"/>
  <c r="D1" i="2"/>
  <c r="B410" i="4"/>
  <c r="B409" i="4"/>
  <c r="B408" i="4"/>
  <c r="B407" i="4"/>
  <c r="B406" i="4"/>
  <c r="B405" i="4"/>
  <c r="B404" i="4"/>
  <c r="B403" i="4"/>
  <c r="B402" i="4"/>
  <c r="B401" i="4"/>
  <c r="B400" i="4"/>
  <c r="B399" i="4"/>
  <c r="B398" i="4"/>
  <c r="B397" i="4"/>
  <c r="B396" i="4"/>
  <c r="B395" i="4"/>
  <c r="B394" i="4"/>
  <c r="B393" i="4"/>
  <c r="B392" i="4"/>
  <c r="B391" i="4"/>
  <c r="B390" i="4"/>
  <c r="B389" i="4"/>
  <c r="B388" i="4"/>
  <c r="B387" i="4"/>
  <c r="B386" i="4"/>
  <c r="B385" i="4"/>
  <c r="B384" i="4"/>
  <c r="B383" i="4"/>
  <c r="B382" i="4"/>
  <c r="B381" i="4"/>
  <c r="B380" i="4"/>
  <c r="B379" i="4"/>
  <c r="B378" i="4"/>
  <c r="B377" i="4"/>
  <c r="B376" i="4"/>
  <c r="B375" i="4"/>
  <c r="B374" i="4"/>
  <c r="B373" i="4"/>
  <c r="B372" i="4"/>
  <c r="B371" i="4"/>
  <c r="B370" i="4"/>
  <c r="B369" i="4"/>
  <c r="B368" i="4"/>
  <c r="B367" i="4"/>
  <c r="B366" i="4"/>
  <c r="B365" i="4"/>
  <c r="B364" i="4"/>
  <c r="B363" i="4"/>
  <c r="B362" i="4"/>
  <c r="B361" i="4"/>
  <c r="B360" i="4"/>
  <c r="B359" i="4"/>
  <c r="B358" i="4"/>
  <c r="B357" i="4"/>
  <c r="B356" i="4"/>
  <c r="B355" i="4"/>
  <c r="B354" i="4"/>
  <c r="B353" i="4"/>
  <c r="B352" i="4"/>
  <c r="B351" i="4"/>
  <c r="B350" i="4"/>
  <c r="B349" i="4"/>
  <c r="B348" i="4"/>
  <c r="B347" i="4"/>
  <c r="B346" i="4"/>
  <c r="B345" i="4"/>
  <c r="B344" i="4"/>
  <c r="B343" i="4"/>
  <c r="B342" i="4"/>
  <c r="B341" i="4"/>
  <c r="B340" i="4"/>
  <c r="B339" i="4"/>
  <c r="B338" i="4"/>
  <c r="B337" i="4"/>
  <c r="B336" i="4"/>
  <c r="B335" i="4"/>
  <c r="B334" i="4"/>
  <c r="B333" i="4"/>
  <c r="B332" i="4"/>
  <c r="B331" i="4"/>
  <c r="B330" i="4"/>
  <c r="B329" i="4"/>
  <c r="B328" i="4"/>
  <c r="B327" i="4"/>
  <c r="B326" i="4"/>
  <c r="B325" i="4"/>
  <c r="B324" i="4"/>
  <c r="B323" i="4"/>
  <c r="B322" i="4"/>
  <c r="B321" i="4"/>
  <c r="B320" i="4"/>
  <c r="B319" i="4"/>
  <c r="B318" i="4"/>
  <c r="B317" i="4"/>
  <c r="B316" i="4"/>
  <c r="B315" i="4"/>
  <c r="B314" i="4"/>
  <c r="B313" i="4"/>
  <c r="B312" i="4"/>
  <c r="B311" i="4"/>
  <c r="B310" i="4"/>
  <c r="B309" i="4"/>
  <c r="B308" i="4"/>
  <c r="B307" i="4"/>
  <c r="B306" i="4"/>
  <c r="B305" i="4"/>
  <c r="B304" i="4"/>
  <c r="B303" i="4"/>
  <c r="B302" i="4"/>
  <c r="B301" i="4"/>
  <c r="B300" i="4"/>
  <c r="B299" i="4"/>
  <c r="B298" i="4"/>
  <c r="B297" i="4"/>
  <c r="B296" i="4"/>
  <c r="B295" i="4"/>
  <c r="B294" i="4"/>
  <c r="B293" i="4"/>
  <c r="B292" i="4"/>
  <c r="B291" i="4"/>
  <c r="B290" i="4"/>
  <c r="B289" i="4"/>
  <c r="B288" i="4"/>
  <c r="B287" i="4"/>
  <c r="B286" i="4"/>
  <c r="B285" i="4"/>
  <c r="B284" i="4"/>
  <c r="B283" i="4"/>
  <c r="B282" i="4"/>
  <c r="B281" i="4"/>
  <c r="B280" i="4"/>
  <c r="B279" i="4"/>
  <c r="B278" i="4"/>
  <c r="B277" i="4"/>
  <c r="B276" i="4"/>
  <c r="B275" i="4"/>
  <c r="B274" i="4"/>
  <c r="B273" i="4"/>
  <c r="B272" i="4"/>
  <c r="B271" i="4"/>
  <c r="B270" i="4"/>
  <c r="B269" i="4"/>
  <c r="B268" i="4"/>
  <c r="B267" i="4"/>
  <c r="B266" i="4"/>
  <c r="B265" i="4"/>
  <c r="B264" i="4"/>
  <c r="B263" i="4"/>
  <c r="B262" i="4"/>
  <c r="B261" i="4"/>
  <c r="B260" i="4"/>
  <c r="B259" i="4"/>
  <c r="B258" i="4"/>
  <c r="B257" i="4"/>
  <c r="B256" i="4"/>
  <c r="B255" i="4"/>
  <c r="B254" i="4"/>
  <c r="B253" i="4"/>
  <c r="B252" i="4"/>
  <c r="B251" i="4"/>
  <c r="B250" i="4"/>
  <c r="B249" i="4"/>
  <c r="B248" i="4"/>
  <c r="B247" i="4"/>
  <c r="B246" i="4"/>
  <c r="B245" i="4"/>
  <c r="B244" i="4"/>
  <c r="B243" i="4"/>
  <c r="B242" i="4"/>
  <c r="B241" i="4"/>
  <c r="B240" i="4"/>
  <c r="B239" i="4"/>
  <c r="B238" i="4"/>
  <c r="B237" i="4"/>
  <c r="B236" i="4"/>
  <c r="B235" i="4"/>
  <c r="B234" i="4"/>
  <c r="B233" i="4"/>
  <c r="B232" i="4"/>
  <c r="B231" i="4"/>
  <c r="B230" i="4"/>
  <c r="B229" i="4"/>
  <c r="B228" i="4"/>
  <c r="B227" i="4"/>
  <c r="B226" i="4"/>
  <c r="B225" i="4"/>
  <c r="B224" i="4"/>
  <c r="B223" i="4"/>
  <c r="B222" i="4"/>
  <c r="B221" i="4"/>
  <c r="B220" i="4"/>
  <c r="B219" i="4"/>
  <c r="B218" i="4"/>
  <c r="B217" i="4"/>
  <c r="B216" i="4"/>
  <c r="B215" i="4"/>
  <c r="B214" i="4"/>
  <c r="B213" i="4"/>
  <c r="B212" i="4"/>
  <c r="B211" i="4"/>
  <c r="B210" i="4"/>
  <c r="B209" i="4"/>
  <c r="B208" i="4"/>
  <c r="B207" i="4"/>
  <c r="B206" i="4"/>
  <c r="B205" i="4"/>
  <c r="B204" i="4"/>
  <c r="B203" i="4"/>
  <c r="B202" i="4"/>
  <c r="B201" i="4"/>
  <c r="B200" i="4"/>
  <c r="B199" i="4"/>
  <c r="B198" i="4"/>
  <c r="B197" i="4"/>
  <c r="B196" i="4"/>
  <c r="B195" i="4"/>
  <c r="B194" i="4"/>
  <c r="B193" i="4"/>
  <c r="B192" i="4"/>
  <c r="B191" i="4"/>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 r="B140" i="4"/>
  <c r="B139" i="4"/>
  <c r="B138" i="4"/>
  <c r="B137" i="4"/>
  <c r="B136" i="4"/>
  <c r="B135" i="4"/>
  <c r="B134" i="4"/>
  <c r="B133" i="4"/>
  <c r="B132" i="4"/>
  <c r="B131" i="4"/>
  <c r="B130" i="4"/>
  <c r="B129" i="4"/>
  <c r="B128" i="4"/>
  <c r="B127" i="4"/>
  <c r="B126" i="4"/>
  <c r="B125" i="4"/>
  <c r="B124" i="4"/>
  <c r="B123" i="4"/>
  <c r="B122" i="4"/>
  <c r="B121" i="4"/>
  <c r="B120" i="4"/>
  <c r="B119" i="4"/>
  <c r="B118" i="4"/>
  <c r="B117" i="4"/>
  <c r="B116" i="4"/>
  <c r="B115" i="4"/>
  <c r="B114" i="4"/>
  <c r="B113" i="4"/>
  <c r="B112" i="4"/>
  <c r="B111" i="4"/>
  <c r="B110" i="4"/>
  <c r="B109" i="4"/>
  <c r="B108" i="4"/>
  <c r="B107" i="4"/>
  <c r="B106" i="4"/>
  <c r="B105" i="4"/>
  <c r="B104" i="4"/>
  <c r="B103" i="4"/>
  <c r="B102" i="4"/>
  <c r="B101" i="4"/>
  <c r="B100" i="4"/>
  <c r="B99" i="4"/>
  <c r="B98" i="4"/>
  <c r="B97" i="4"/>
  <c r="B96" i="4"/>
  <c r="B95" i="4"/>
  <c r="B94" i="4"/>
  <c r="B93" i="4"/>
  <c r="B92" i="4"/>
  <c r="B91" i="4"/>
  <c r="B90" i="4"/>
  <c r="B89" i="4"/>
  <c r="B88" i="4"/>
  <c r="B87" i="4"/>
  <c r="B86" i="4"/>
  <c r="B85" i="4"/>
  <c r="B84" i="4"/>
  <c r="B83" i="4"/>
  <c r="B82" i="4"/>
  <c r="B81" i="4"/>
  <c r="B80" i="4"/>
  <c r="B79" i="4"/>
  <c r="B78" i="4"/>
  <c r="B77" i="4"/>
  <c r="B76" i="4"/>
  <c r="B75" i="4"/>
  <c r="B74" i="4"/>
  <c r="B73" i="4"/>
  <c r="B72" i="4"/>
  <c r="B71" i="4"/>
  <c r="B70" i="4"/>
  <c r="B69" i="4"/>
  <c r="B68" i="4"/>
  <c r="B67" i="4"/>
  <c r="B66" i="4"/>
  <c r="B65" i="4"/>
  <c r="B64" i="4"/>
  <c r="B63" i="4"/>
  <c r="B62" i="4"/>
  <c r="B61" i="4"/>
  <c r="B60" i="4"/>
  <c r="B59" i="4"/>
  <c r="B58" i="4"/>
  <c r="B57" i="4"/>
  <c r="B56" i="4"/>
  <c r="B55" i="4"/>
  <c r="B54" i="4"/>
  <c r="B53" i="4"/>
  <c r="B52" i="4"/>
  <c r="B51" i="4"/>
  <c r="B50" i="4"/>
  <c r="B49" i="4"/>
  <c r="B48" i="4"/>
  <c r="B47" i="4"/>
  <c r="B46" i="4"/>
  <c r="B45" i="4"/>
  <c r="B44" i="4"/>
  <c r="B43" i="4"/>
  <c r="B42" i="4"/>
  <c r="B41" i="4"/>
  <c r="B40" i="4"/>
  <c r="B39" i="4"/>
  <c r="B38" i="4"/>
  <c r="B37" i="4"/>
  <c r="B36" i="4"/>
  <c r="B35" i="4"/>
  <c r="B34" i="4"/>
  <c r="B33" i="4"/>
  <c r="B32" i="4"/>
  <c r="B31" i="4"/>
  <c r="B30" i="4"/>
  <c r="B29" i="4"/>
  <c r="B28" i="4"/>
  <c r="B27" i="4"/>
  <c r="B26" i="4"/>
  <c r="B25" i="4"/>
  <c r="B24" i="4"/>
  <c r="B23" i="4"/>
  <c r="B22" i="4"/>
  <c r="B21" i="4"/>
  <c r="B20" i="4"/>
  <c r="B19" i="4"/>
  <c r="B18" i="4"/>
  <c r="B17" i="4"/>
  <c r="B16" i="4"/>
  <c r="B15" i="4"/>
  <c r="B14" i="4"/>
  <c r="B13" i="4"/>
  <c r="B12" i="4"/>
  <c r="B11" i="4"/>
  <c r="B10" i="4"/>
  <c r="B9" i="4"/>
  <c r="B8" i="4"/>
  <c r="B7" i="4"/>
  <c r="B6" i="4"/>
  <c r="B5" i="4"/>
  <c r="B4" i="4"/>
  <c r="B3" i="4"/>
  <c r="B2" i="4"/>
  <c r="R26" i="40" l="1"/>
  <c r="S26" i="40" s="1"/>
  <c r="O19" i="40"/>
  <c r="O12" i="40" s="1"/>
  <c r="Q27" i="40"/>
  <c r="S3" i="40"/>
  <c r="Q24" i="40"/>
  <c r="Q10" i="40" s="1"/>
  <c r="P19" i="45"/>
  <c r="S19" i="45" s="1"/>
  <c r="P19" i="40"/>
  <c r="P12" i="40" s="1"/>
  <c r="S5" i="40"/>
  <c r="Q20" i="40"/>
  <c r="S20" i="40" s="1"/>
  <c r="P24" i="45"/>
  <c r="P10" i="45" s="1"/>
  <c r="S5" i="45"/>
  <c r="R26" i="45"/>
  <c r="R12" i="45" s="1"/>
  <c r="O26" i="45"/>
  <c r="O12" i="45" s="1"/>
  <c r="S4" i="45"/>
  <c r="O18" i="45"/>
  <c r="S18" i="45" s="1"/>
  <c r="Q20" i="45"/>
  <c r="Q13" i="45" s="1"/>
  <c r="O20" i="45"/>
  <c r="O13" i="45" s="1"/>
  <c r="S27" i="45"/>
  <c r="Q24" i="45"/>
  <c r="Q10" i="45" s="1"/>
  <c r="R17" i="45"/>
  <c r="S17" i="45" s="1"/>
  <c r="S3" i="45"/>
  <c r="S6" i="45"/>
  <c r="S17" i="49"/>
  <c r="S18" i="40"/>
  <c r="S18" i="49"/>
  <c r="S13" i="49"/>
  <c r="S20" i="49"/>
  <c r="S26" i="49"/>
  <c r="Q10" i="49"/>
  <c r="S10" i="49" s="1"/>
  <c r="Q11" i="47"/>
  <c r="S11" i="47" s="1"/>
  <c r="Q11" i="49"/>
  <c r="S11" i="49" s="1"/>
  <c r="R12" i="49"/>
  <c r="S12" i="49" s="1"/>
  <c r="S19" i="49"/>
  <c r="S27" i="46"/>
  <c r="S25" i="42"/>
  <c r="S18" i="42"/>
  <c r="S18" i="47"/>
  <c r="S25" i="46"/>
  <c r="S27" i="42"/>
  <c r="S26" i="46"/>
  <c r="S13" i="46"/>
  <c r="O11" i="42"/>
  <c r="S11" i="42" s="1"/>
  <c r="S25" i="45"/>
  <c r="S25" i="39"/>
  <c r="S24" i="41"/>
  <c r="Q13" i="43"/>
  <c r="O13" i="47"/>
  <c r="S13" i="47" s="1"/>
  <c r="S20" i="47"/>
  <c r="S25" i="41"/>
  <c r="P10" i="47"/>
  <c r="S10" i="47" s="1"/>
  <c r="S17" i="47"/>
  <c r="S19" i="47"/>
  <c r="O12" i="47"/>
  <c r="S12" i="47" s="1"/>
  <c r="Q13" i="39"/>
  <c r="S26" i="41"/>
  <c r="S27" i="43"/>
  <c r="S25" i="48"/>
  <c r="P13" i="39"/>
  <c r="S18" i="41"/>
  <c r="O11" i="41"/>
  <c r="S11" i="41" s="1"/>
  <c r="S24" i="44"/>
  <c r="R11" i="46"/>
  <c r="S20" i="46"/>
  <c r="Q11" i="48"/>
  <c r="Q13" i="42"/>
  <c r="S13" i="42" s="1"/>
  <c r="S20" i="42"/>
  <c r="S27" i="39"/>
  <c r="P13" i="48"/>
  <c r="P12" i="46"/>
  <c r="S12" i="46" s="1"/>
  <c r="S19" i="46"/>
  <c r="S26" i="48"/>
  <c r="Q10" i="44"/>
  <c r="Q10" i="42"/>
  <c r="S10" i="42" s="1"/>
  <c r="S26" i="42"/>
  <c r="S27" i="48"/>
  <c r="O12" i="41"/>
  <c r="O12" i="44"/>
  <c r="R12" i="39"/>
  <c r="S26" i="43"/>
  <c r="P13" i="45"/>
  <c r="R11" i="48"/>
  <c r="O13" i="43"/>
  <c r="P12" i="41"/>
  <c r="R12" i="42"/>
  <c r="S12" i="42" s="1"/>
  <c r="S19" i="42"/>
  <c r="S19" i="41"/>
  <c r="S26" i="44"/>
  <c r="P12" i="39"/>
  <c r="S26" i="39"/>
  <c r="S17" i="42"/>
  <c r="Q10" i="43"/>
  <c r="Q13" i="41"/>
  <c r="Q11" i="43"/>
  <c r="R12" i="44"/>
  <c r="S27" i="44"/>
  <c r="Q13" i="44"/>
  <c r="S18" i="39"/>
  <c r="O11" i="39"/>
  <c r="S11" i="39" s="1"/>
  <c r="P13" i="40"/>
  <c r="S27" i="41"/>
  <c r="S20" i="39"/>
  <c r="O13" i="39"/>
  <c r="Q11" i="45"/>
  <c r="S24" i="39"/>
  <c r="S17" i="39"/>
  <c r="P10" i="39"/>
  <c r="R10" i="39"/>
  <c r="S19" i="39"/>
  <c r="O12" i="39"/>
  <c r="Q10" i="39"/>
  <c r="P12" i="43"/>
  <c r="Q11" i="44"/>
  <c r="S19" i="43"/>
  <c r="O12" i="43"/>
  <c r="R11" i="40"/>
  <c r="S11" i="40" s="1"/>
  <c r="O13" i="41"/>
  <c r="S20" i="41"/>
  <c r="S19" i="48"/>
  <c r="O12" i="48"/>
  <c r="S12" i="48" s="1"/>
  <c r="R12" i="40"/>
  <c r="Q10" i="48"/>
  <c r="S19" i="44"/>
  <c r="P12" i="44"/>
  <c r="R10" i="40"/>
  <c r="S17" i="44"/>
  <c r="P10" i="44"/>
  <c r="O11" i="43"/>
  <c r="S18" i="43"/>
  <c r="S18" i="48"/>
  <c r="O11" i="48"/>
  <c r="P13" i="41"/>
  <c r="R10" i="46"/>
  <c r="S25" i="43"/>
  <c r="S24" i="46"/>
  <c r="R11" i="43"/>
  <c r="S17" i="41"/>
  <c r="R10" i="41"/>
  <c r="S10" i="41" s="1"/>
  <c r="S27" i="40"/>
  <c r="S17" i="46"/>
  <c r="P10" i="46"/>
  <c r="O13" i="40"/>
  <c r="R11" i="44"/>
  <c r="S24" i="43"/>
  <c r="P13" i="43"/>
  <c r="S20" i="43"/>
  <c r="S20" i="48"/>
  <c r="O13" i="48"/>
  <c r="S18" i="44"/>
  <c r="O11" i="44"/>
  <c r="S25" i="44"/>
  <c r="S17" i="43"/>
  <c r="P10" i="43"/>
  <c r="P13" i="44"/>
  <c r="S20" i="44"/>
  <c r="Q10" i="46"/>
  <c r="S24" i="48"/>
  <c r="S17" i="48"/>
  <c r="P10" i="48"/>
  <c r="S18" i="46"/>
  <c r="O11" i="46"/>
  <c r="R10" i="48"/>
  <c r="R3" i="37"/>
  <c r="Q3" i="37"/>
  <c r="P3" i="37"/>
  <c r="Q6" i="37"/>
  <c r="P6" i="37"/>
  <c r="O6" i="37"/>
  <c r="R4" i="37"/>
  <c r="Q4" i="37"/>
  <c r="O4" i="37"/>
  <c r="O5" i="37"/>
  <c r="R5" i="37"/>
  <c r="P5" i="37"/>
  <c r="P12" i="45" l="1"/>
  <c r="Q13" i="40"/>
  <c r="S10" i="40"/>
  <c r="S24" i="40"/>
  <c r="S19" i="40"/>
  <c r="S12" i="40"/>
  <c r="V5" i="40" s="1"/>
  <c r="S26" i="45"/>
  <c r="O11" i="45"/>
  <c r="S11" i="45" s="1"/>
  <c r="S24" i="45"/>
  <c r="S13" i="45"/>
  <c r="S20" i="45"/>
  <c r="R10" i="45"/>
  <c r="S10" i="45" s="1"/>
  <c r="X3" i="49"/>
  <c r="X24" i="49" s="1"/>
  <c r="V6" i="47"/>
  <c r="V20" i="47" s="1"/>
  <c r="X4" i="47"/>
  <c r="X18" i="47" s="1"/>
  <c r="U4" i="47"/>
  <c r="U25" i="47" s="1"/>
  <c r="W6" i="46"/>
  <c r="W20" i="46" s="1"/>
  <c r="S11" i="46"/>
  <c r="X4" i="46" s="1"/>
  <c r="W4" i="47"/>
  <c r="V6" i="42"/>
  <c r="V20" i="42" s="1"/>
  <c r="V3" i="42"/>
  <c r="V17" i="42" s="1"/>
  <c r="W4" i="42"/>
  <c r="W25" i="42" s="1"/>
  <c r="X4" i="42"/>
  <c r="X25" i="42" s="1"/>
  <c r="S13" i="43"/>
  <c r="S10" i="44"/>
  <c r="V3" i="41"/>
  <c r="V17" i="41" s="1"/>
  <c r="S13" i="48"/>
  <c r="X5" i="48" s="1"/>
  <c r="X26" i="48" s="1"/>
  <c r="S11" i="48"/>
  <c r="W4" i="48" s="1"/>
  <c r="W25" i="48" s="1"/>
  <c r="V3" i="47"/>
  <c r="V17" i="47" s="1"/>
  <c r="X3" i="47"/>
  <c r="X24" i="47" s="1"/>
  <c r="U6" i="47"/>
  <c r="U20" i="47" s="1"/>
  <c r="X5" i="46"/>
  <c r="X19" i="46" s="1"/>
  <c r="W3" i="47"/>
  <c r="W17" i="47" s="1"/>
  <c r="W6" i="47"/>
  <c r="W20" i="47" s="1"/>
  <c r="U5" i="47"/>
  <c r="U26" i="47" s="1"/>
  <c r="V5" i="47"/>
  <c r="V26" i="47" s="1"/>
  <c r="X5" i="47"/>
  <c r="X26" i="47" s="1"/>
  <c r="S13" i="39"/>
  <c r="X4" i="39" s="1"/>
  <c r="X5" i="42"/>
  <c r="X26" i="42" s="1"/>
  <c r="X3" i="42"/>
  <c r="S12" i="45"/>
  <c r="U6" i="42"/>
  <c r="U20" i="42" s="1"/>
  <c r="U6" i="49"/>
  <c r="U4" i="49"/>
  <c r="U25" i="49" s="1"/>
  <c r="U4" i="42"/>
  <c r="U25" i="42" s="1"/>
  <c r="W3" i="42"/>
  <c r="W17" i="42" s="1"/>
  <c r="S12" i="44"/>
  <c r="U5" i="42"/>
  <c r="U26" i="42" s="1"/>
  <c r="U4" i="41"/>
  <c r="U25" i="41" s="1"/>
  <c r="V5" i="42"/>
  <c r="S12" i="43"/>
  <c r="W6" i="42"/>
  <c r="W27" i="42" s="1"/>
  <c r="V3" i="49"/>
  <c r="V17" i="49" s="1"/>
  <c r="S12" i="39"/>
  <c r="S12" i="41"/>
  <c r="S13" i="41"/>
  <c r="X4" i="49"/>
  <c r="V6" i="49"/>
  <c r="S13" i="44"/>
  <c r="S10" i="43"/>
  <c r="S10" i="39"/>
  <c r="S11" i="43"/>
  <c r="S10" i="48"/>
  <c r="S13" i="40"/>
  <c r="U5" i="49"/>
  <c r="W6" i="49"/>
  <c r="W4" i="49"/>
  <c r="X5" i="49"/>
  <c r="V5" i="49"/>
  <c r="W3" i="49"/>
  <c r="S10" i="46"/>
  <c r="S11" i="44"/>
  <c r="O25" i="37"/>
  <c r="S4" i="37"/>
  <c r="O18" i="37"/>
  <c r="Q25" i="37"/>
  <c r="Q18" i="37"/>
  <c r="R26" i="37"/>
  <c r="R19" i="37"/>
  <c r="R25" i="37"/>
  <c r="R18" i="37"/>
  <c r="O27" i="37"/>
  <c r="S6" i="37"/>
  <c r="O20" i="37"/>
  <c r="P27" i="37"/>
  <c r="P20" i="37"/>
  <c r="P26" i="37"/>
  <c r="P19" i="37"/>
  <c r="Q27" i="37"/>
  <c r="Q20" i="37"/>
  <c r="O26" i="37"/>
  <c r="S5" i="37"/>
  <c r="O19" i="37"/>
  <c r="P17" i="37"/>
  <c r="P24" i="37"/>
  <c r="Q24" i="37"/>
  <c r="Q17" i="37"/>
  <c r="S3" i="37"/>
  <c r="R24" i="37"/>
  <c r="R17" i="37"/>
  <c r="I107" i="2"/>
  <c r="W4" i="40" l="1"/>
  <c r="W3" i="40"/>
  <c r="U4" i="40"/>
  <c r="X3" i="40"/>
  <c r="V3" i="40"/>
  <c r="U5" i="40"/>
  <c r="X5" i="45"/>
  <c r="X19" i="45" s="1"/>
  <c r="V6" i="45"/>
  <c r="V27" i="45" s="1"/>
  <c r="X17" i="49"/>
  <c r="X10" i="49" s="1"/>
  <c r="U18" i="47"/>
  <c r="U11" i="47" s="1"/>
  <c r="V27" i="42"/>
  <c r="V13" i="42" s="1"/>
  <c r="X25" i="47"/>
  <c r="X11" i="47" s="1"/>
  <c r="W18" i="42"/>
  <c r="W11" i="42" s="1"/>
  <c r="V27" i="47"/>
  <c r="V13" i="47" s="1"/>
  <c r="Y4" i="47"/>
  <c r="W18" i="47"/>
  <c r="W25" i="47"/>
  <c r="V24" i="42"/>
  <c r="V10" i="42" s="1"/>
  <c r="W27" i="46"/>
  <c r="W13" i="46" s="1"/>
  <c r="W6" i="43"/>
  <c r="W27" i="43" s="1"/>
  <c r="U6" i="43"/>
  <c r="U27" i="43" s="1"/>
  <c r="U27" i="47"/>
  <c r="U13" i="47" s="1"/>
  <c r="U18" i="41"/>
  <c r="U11" i="41" s="1"/>
  <c r="W24" i="42"/>
  <c r="W10" i="42" s="1"/>
  <c r="V5" i="46"/>
  <c r="V19" i="46" s="1"/>
  <c r="V6" i="46"/>
  <c r="V20" i="46" s="1"/>
  <c r="W4" i="46"/>
  <c r="W25" i="46" s="1"/>
  <c r="X25" i="46"/>
  <c r="X18" i="46"/>
  <c r="X18" i="42"/>
  <c r="X11" i="42" s="1"/>
  <c r="W3" i="44"/>
  <c r="W24" i="44" s="1"/>
  <c r="Y3" i="47"/>
  <c r="V24" i="47"/>
  <c r="V10" i="47" s="1"/>
  <c r="U19" i="47"/>
  <c r="U12" i="47" s="1"/>
  <c r="X26" i="46"/>
  <c r="X12" i="46" s="1"/>
  <c r="W27" i="47"/>
  <c r="W13" i="47" s="1"/>
  <c r="V24" i="41"/>
  <c r="V10" i="41" s="1"/>
  <c r="V5" i="48"/>
  <c r="V26" i="48" s="1"/>
  <c r="V6" i="48"/>
  <c r="V20" i="48" s="1"/>
  <c r="X17" i="47"/>
  <c r="X10" i="47" s="1"/>
  <c r="W24" i="47"/>
  <c r="W10" i="47" s="1"/>
  <c r="Y3" i="42"/>
  <c r="W6" i="48"/>
  <c r="Y6" i="47"/>
  <c r="X19" i="42"/>
  <c r="X12" i="42" s="1"/>
  <c r="X4" i="48"/>
  <c r="X25" i="48" s="1"/>
  <c r="Y6" i="42"/>
  <c r="X24" i="42"/>
  <c r="X17" i="42"/>
  <c r="Y17" i="42" s="1"/>
  <c r="V19" i="47"/>
  <c r="V12" i="47" s="1"/>
  <c r="W18" i="48"/>
  <c r="W11" i="48" s="1"/>
  <c r="V6" i="39"/>
  <c r="U19" i="42"/>
  <c r="U12" i="42" s="1"/>
  <c r="V24" i="49"/>
  <c r="V10" i="49" s="1"/>
  <c r="U27" i="42"/>
  <c r="X19" i="47"/>
  <c r="X12" i="47" s="1"/>
  <c r="X4" i="45"/>
  <c r="X26" i="45"/>
  <c r="X12" i="45" s="1"/>
  <c r="U18" i="49"/>
  <c r="U11" i="49" s="1"/>
  <c r="Y5" i="47"/>
  <c r="W4" i="45"/>
  <c r="W25" i="45" s="1"/>
  <c r="U18" i="42"/>
  <c r="Y4" i="42"/>
  <c r="X18" i="39"/>
  <c r="X25" i="39"/>
  <c r="W6" i="45"/>
  <c r="X19" i="48"/>
  <c r="X12" i="48" s="1"/>
  <c r="X5" i="39"/>
  <c r="X19" i="39" s="1"/>
  <c r="V5" i="45"/>
  <c r="Y5" i="42"/>
  <c r="W20" i="42"/>
  <c r="Y20" i="42" s="1"/>
  <c r="U5" i="44"/>
  <c r="U19" i="44" s="1"/>
  <c r="X5" i="44"/>
  <c r="X26" i="44" s="1"/>
  <c r="U27" i="49"/>
  <c r="U20" i="49"/>
  <c r="V5" i="39"/>
  <c r="V19" i="39" s="1"/>
  <c r="X5" i="43"/>
  <c r="V26" i="42"/>
  <c r="Y26" i="42" s="1"/>
  <c r="W4" i="39"/>
  <c r="W18" i="39" s="1"/>
  <c r="U5" i="39"/>
  <c r="U19" i="39" s="1"/>
  <c r="V19" i="42"/>
  <c r="W6" i="39"/>
  <c r="V5" i="44"/>
  <c r="V26" i="44" s="1"/>
  <c r="W4" i="41"/>
  <c r="V5" i="41"/>
  <c r="W3" i="41"/>
  <c r="U5" i="41"/>
  <c r="W3" i="45"/>
  <c r="X3" i="45"/>
  <c r="V3" i="45"/>
  <c r="U5" i="45"/>
  <c r="U6" i="45"/>
  <c r="X5" i="41"/>
  <c r="U4" i="45"/>
  <c r="X3" i="43"/>
  <c r="W3" i="43"/>
  <c r="U5" i="43"/>
  <c r="U6" i="44"/>
  <c r="X3" i="44"/>
  <c r="W6" i="44"/>
  <c r="V27" i="49"/>
  <c r="V20" i="49"/>
  <c r="X25" i="49"/>
  <c r="X18" i="49"/>
  <c r="X3" i="41"/>
  <c r="U6" i="41"/>
  <c r="V6" i="41"/>
  <c r="W6" i="41"/>
  <c r="X4" i="41"/>
  <c r="V3" i="39"/>
  <c r="W3" i="39"/>
  <c r="U4" i="39"/>
  <c r="X3" i="39"/>
  <c r="U6" i="39"/>
  <c r="W6" i="40"/>
  <c r="V6" i="40"/>
  <c r="U6" i="40"/>
  <c r="U6" i="48"/>
  <c r="U4" i="48"/>
  <c r="W3" i="48"/>
  <c r="X3" i="48"/>
  <c r="V3" i="48"/>
  <c r="U5" i="48"/>
  <c r="V24" i="40"/>
  <c r="V17" i="40"/>
  <c r="X24" i="40"/>
  <c r="X17" i="40"/>
  <c r="W24" i="40"/>
  <c r="W17" i="40"/>
  <c r="W25" i="40"/>
  <c r="W18" i="40"/>
  <c r="X4" i="40"/>
  <c r="Y4" i="40" s="1"/>
  <c r="U18" i="40"/>
  <c r="U25" i="40"/>
  <c r="V3" i="43"/>
  <c r="V6" i="43"/>
  <c r="V5" i="43"/>
  <c r="X4" i="43"/>
  <c r="W4" i="43"/>
  <c r="U4" i="43"/>
  <c r="Y5" i="49"/>
  <c r="U26" i="49"/>
  <c r="U19" i="49"/>
  <c r="W4" i="44"/>
  <c r="V3" i="44"/>
  <c r="U4" i="44"/>
  <c r="V6" i="44"/>
  <c r="X4" i="44"/>
  <c r="U5" i="46"/>
  <c r="X3" i="46"/>
  <c r="W3" i="46"/>
  <c r="V3" i="46"/>
  <c r="U6" i="46"/>
  <c r="U4" i="46"/>
  <c r="Y3" i="49"/>
  <c r="W17" i="49"/>
  <c r="W24" i="49"/>
  <c r="V26" i="49"/>
  <c r="V19" i="49"/>
  <c r="X19" i="49"/>
  <c r="X26" i="49"/>
  <c r="U26" i="40"/>
  <c r="U19" i="40"/>
  <c r="Y4" i="49"/>
  <c r="W25" i="49"/>
  <c r="W18" i="49"/>
  <c r="V26" i="40"/>
  <c r="V19" i="40"/>
  <c r="W20" i="49"/>
  <c r="W27" i="49"/>
  <c r="Y6" i="49"/>
  <c r="X5" i="40"/>
  <c r="Y5" i="40" s="1"/>
  <c r="Y20" i="47"/>
  <c r="Y26" i="47"/>
  <c r="Y25" i="42"/>
  <c r="S26" i="37"/>
  <c r="Q13" i="37"/>
  <c r="S20" i="37"/>
  <c r="O13" i="37"/>
  <c r="S27" i="37"/>
  <c r="Q11" i="37"/>
  <c r="P12" i="37"/>
  <c r="R11" i="37"/>
  <c r="P13" i="37"/>
  <c r="S24" i="37"/>
  <c r="Q10" i="37"/>
  <c r="S18" i="37"/>
  <c r="O11" i="37"/>
  <c r="R10" i="37"/>
  <c r="R12" i="37"/>
  <c r="S17" i="37"/>
  <c r="P10" i="37"/>
  <c r="S19" i="37"/>
  <c r="O12" i="37"/>
  <c r="S25" i="37"/>
  <c r="N3" i="2"/>
  <c r="AD65" i="2"/>
  <c r="AE65" i="2"/>
  <c r="AF65" i="2"/>
  <c r="Y3" i="40" l="1"/>
  <c r="V20" i="45"/>
  <c r="V13" i="45" s="1"/>
  <c r="Y18" i="47"/>
  <c r="V27" i="46"/>
  <c r="V13" i="46" s="1"/>
  <c r="Y27" i="42"/>
  <c r="W11" i="47"/>
  <c r="Y11" i="47" s="1"/>
  <c r="Y25" i="47"/>
  <c r="U20" i="43"/>
  <c r="U13" i="43" s="1"/>
  <c r="Y24" i="42"/>
  <c r="X11" i="46"/>
  <c r="W20" i="43"/>
  <c r="W13" i="43" s="1"/>
  <c r="Y24" i="47"/>
  <c r="W18" i="46"/>
  <c r="W11" i="46" s="1"/>
  <c r="W17" i="44"/>
  <c r="W10" i="44" s="1"/>
  <c r="Y18" i="42"/>
  <c r="W13" i="42"/>
  <c r="V26" i="46"/>
  <c r="V12" i="46" s="1"/>
  <c r="Y17" i="47"/>
  <c r="X18" i="48"/>
  <c r="X11" i="48" s="1"/>
  <c r="U13" i="42"/>
  <c r="X10" i="42"/>
  <c r="Y10" i="42" s="1"/>
  <c r="Y27" i="47"/>
  <c r="V19" i="48"/>
  <c r="V12" i="48" s="1"/>
  <c r="Y19" i="47"/>
  <c r="U11" i="42"/>
  <c r="Y11" i="42" s="1"/>
  <c r="Y24" i="49"/>
  <c r="Y19" i="42"/>
  <c r="U26" i="44"/>
  <c r="U12" i="44" s="1"/>
  <c r="V27" i="48"/>
  <c r="V13" i="48" s="1"/>
  <c r="X11" i="39"/>
  <c r="W20" i="48"/>
  <c r="W27" i="48"/>
  <c r="W18" i="45"/>
  <c r="W11" i="45" s="1"/>
  <c r="U13" i="49"/>
  <c r="X12" i="49"/>
  <c r="V20" i="39"/>
  <c r="V27" i="39"/>
  <c r="V12" i="42"/>
  <c r="Y12" i="42" s="1"/>
  <c r="X26" i="39"/>
  <c r="X12" i="39" s="1"/>
  <c r="Y27" i="49"/>
  <c r="X19" i="44"/>
  <c r="X12" i="44" s="1"/>
  <c r="X18" i="45"/>
  <c r="X25" i="45"/>
  <c r="V19" i="44"/>
  <c r="V12" i="44" s="1"/>
  <c r="W25" i="39"/>
  <c r="W11" i="39" s="1"/>
  <c r="V26" i="45"/>
  <c r="V19" i="45"/>
  <c r="W27" i="45"/>
  <c r="W20" i="45"/>
  <c r="V26" i="39"/>
  <c r="V12" i="39" s="1"/>
  <c r="Y5" i="39"/>
  <c r="U26" i="39"/>
  <c r="X19" i="43"/>
  <c r="X26" i="43"/>
  <c r="X11" i="49"/>
  <c r="Y5" i="44"/>
  <c r="Y25" i="49"/>
  <c r="Y19" i="39"/>
  <c r="W20" i="39"/>
  <c r="W27" i="39"/>
  <c r="Y4" i="45"/>
  <c r="U25" i="45"/>
  <c r="U18" i="45"/>
  <c r="X19" i="41"/>
  <c r="X26" i="41"/>
  <c r="U27" i="45"/>
  <c r="Y6" i="45"/>
  <c r="U20" i="45"/>
  <c r="Y5" i="45"/>
  <c r="U19" i="45"/>
  <c r="U26" i="45"/>
  <c r="Y3" i="45"/>
  <c r="V17" i="45"/>
  <c r="V24" i="45"/>
  <c r="X17" i="45"/>
  <c r="X24" i="45"/>
  <c r="W17" i="45"/>
  <c r="W24" i="45"/>
  <c r="U26" i="41"/>
  <c r="U19" i="41"/>
  <c r="Y5" i="41"/>
  <c r="W17" i="41"/>
  <c r="W24" i="41"/>
  <c r="V26" i="41"/>
  <c r="V19" i="41"/>
  <c r="W25" i="41"/>
  <c r="W18" i="41"/>
  <c r="X24" i="41"/>
  <c r="X17" i="41"/>
  <c r="Y3" i="41"/>
  <c r="V13" i="49"/>
  <c r="W27" i="44"/>
  <c r="W20" i="44"/>
  <c r="X24" i="44"/>
  <c r="X17" i="44"/>
  <c r="U27" i="44"/>
  <c r="U20" i="44"/>
  <c r="U19" i="43"/>
  <c r="U26" i="43"/>
  <c r="W17" i="43"/>
  <c r="W24" i="43"/>
  <c r="Y4" i="41"/>
  <c r="X18" i="41"/>
  <c r="X25" i="41"/>
  <c r="X17" i="43"/>
  <c r="X24" i="43"/>
  <c r="W20" i="41"/>
  <c r="W27" i="41"/>
  <c r="V20" i="41"/>
  <c r="V27" i="41"/>
  <c r="U20" i="41"/>
  <c r="U27" i="41"/>
  <c r="Y6" i="41"/>
  <c r="Y6" i="39"/>
  <c r="U27" i="39"/>
  <c r="U20" i="39"/>
  <c r="X17" i="39"/>
  <c r="X24" i="39"/>
  <c r="W11" i="40"/>
  <c r="U18" i="39"/>
  <c r="U25" i="39"/>
  <c r="Y4" i="39"/>
  <c r="W24" i="39"/>
  <c r="W17" i="39"/>
  <c r="Y3" i="39"/>
  <c r="V17" i="39"/>
  <c r="V24" i="39"/>
  <c r="Y5" i="46"/>
  <c r="U26" i="46"/>
  <c r="U19" i="46"/>
  <c r="W11" i="49"/>
  <c r="Y18" i="49"/>
  <c r="X25" i="44"/>
  <c r="X18" i="44"/>
  <c r="V27" i="44"/>
  <c r="V20" i="44"/>
  <c r="Y6" i="44"/>
  <c r="W10" i="40"/>
  <c r="U12" i="40"/>
  <c r="Y3" i="44"/>
  <c r="V24" i="44"/>
  <c r="V17" i="44"/>
  <c r="X10" i="40"/>
  <c r="Y4" i="44"/>
  <c r="U25" i="44"/>
  <c r="U18" i="44"/>
  <c r="W25" i="44"/>
  <c r="W18" i="44"/>
  <c r="Y19" i="49"/>
  <c r="U12" i="49"/>
  <c r="Y26" i="49"/>
  <c r="V10" i="40"/>
  <c r="Y17" i="40"/>
  <c r="Y24" i="40"/>
  <c r="V12" i="49"/>
  <c r="U25" i="43"/>
  <c r="U18" i="43"/>
  <c r="Y4" i="43"/>
  <c r="W25" i="43"/>
  <c r="W18" i="43"/>
  <c r="Y5" i="48"/>
  <c r="U26" i="48"/>
  <c r="Y26" i="48" s="1"/>
  <c r="U19" i="48"/>
  <c r="X18" i="43"/>
  <c r="X25" i="43"/>
  <c r="V17" i="48"/>
  <c r="V24" i="48"/>
  <c r="Y3" i="48"/>
  <c r="X17" i="48"/>
  <c r="X24" i="48"/>
  <c r="Y5" i="43"/>
  <c r="V26" i="43"/>
  <c r="V19" i="43"/>
  <c r="W10" i="49"/>
  <c r="Y10" i="49" s="1"/>
  <c r="Y17" i="49"/>
  <c r="V20" i="43"/>
  <c r="V27" i="43"/>
  <c r="Y27" i="43" s="1"/>
  <c r="Y6" i="43"/>
  <c r="W24" i="48"/>
  <c r="W17" i="48"/>
  <c r="Y3" i="43"/>
  <c r="V24" i="43"/>
  <c r="V17" i="43"/>
  <c r="U18" i="48"/>
  <c r="U25" i="48"/>
  <c r="Y25" i="48" s="1"/>
  <c r="Y4" i="48"/>
  <c r="X19" i="40"/>
  <c r="X26" i="40"/>
  <c r="Y26" i="40" s="1"/>
  <c r="Y4" i="46"/>
  <c r="U25" i="46"/>
  <c r="Y25" i="46" s="1"/>
  <c r="U18" i="46"/>
  <c r="U27" i="48"/>
  <c r="U20" i="48"/>
  <c r="Y6" i="48"/>
  <c r="Y6" i="46"/>
  <c r="U27" i="46"/>
  <c r="U20" i="46"/>
  <c r="Y6" i="40"/>
  <c r="U27" i="40"/>
  <c r="U20" i="40"/>
  <c r="Y3" i="46"/>
  <c r="V24" i="46"/>
  <c r="V17" i="46"/>
  <c r="U11" i="40"/>
  <c r="V27" i="40"/>
  <c r="V20" i="40"/>
  <c r="W13" i="49"/>
  <c r="Y20" i="49"/>
  <c r="W24" i="46"/>
  <c r="W17" i="46"/>
  <c r="X18" i="40"/>
  <c r="Y18" i="40" s="1"/>
  <c r="X25" i="40"/>
  <c r="Y25" i="40" s="1"/>
  <c r="W20" i="40"/>
  <c r="W27" i="40"/>
  <c r="V12" i="40"/>
  <c r="X24" i="46"/>
  <c r="X17" i="46"/>
  <c r="Y12" i="47"/>
  <c r="Y10" i="47"/>
  <c r="Y13" i="47"/>
  <c r="S10" i="37"/>
  <c r="S12" i="37"/>
  <c r="S11" i="37"/>
  <c r="S13" i="37"/>
  <c r="AD44" i="2"/>
  <c r="AE44" i="2"/>
  <c r="AF44" i="2"/>
  <c r="AF40" i="2"/>
  <c r="AD40" i="2"/>
  <c r="AE40" i="2"/>
  <c r="AD6" i="2"/>
  <c r="AE6" i="2"/>
  <c r="AF6" i="2"/>
  <c r="AD62" i="2"/>
  <c r="AF62" i="2"/>
  <c r="AE62" i="2"/>
  <c r="AD36" i="2"/>
  <c r="AE36" i="2"/>
  <c r="AF36" i="2"/>
  <c r="AE26" i="2"/>
  <c r="AF26" i="2"/>
  <c r="AD26" i="2"/>
  <c r="AD18" i="2"/>
  <c r="AF18" i="2"/>
  <c r="AE18" i="2" s="1"/>
  <c r="AF14" i="2"/>
  <c r="AD14" i="2"/>
  <c r="AE14" i="2"/>
  <c r="AE45" i="2"/>
  <c r="AF45" i="2"/>
  <c r="AD45" i="2"/>
  <c r="AD60" i="2"/>
  <c r="AE60" i="2"/>
  <c r="AF60" i="2"/>
  <c r="AD29" i="2"/>
  <c r="AF29" i="2"/>
  <c r="AE29" i="2"/>
  <c r="AF17" i="2"/>
  <c r="AD17" i="2"/>
  <c r="AE17" i="2"/>
  <c r="AF64" i="2"/>
  <c r="AE64" i="2"/>
  <c r="AD64" i="2"/>
  <c r="AE61" i="2"/>
  <c r="AF61" i="2"/>
  <c r="AD61" i="2"/>
  <c r="AD50" i="2"/>
  <c r="AE50" i="2"/>
  <c r="AF50" i="2"/>
  <c r="AE48" i="2"/>
  <c r="AF48" i="2"/>
  <c r="AD48" i="2"/>
  <c r="AD46" i="2"/>
  <c r="AF46" i="2"/>
  <c r="AE46" i="2"/>
  <c r="AD32" i="2"/>
  <c r="AE32" i="2"/>
  <c r="AF32" i="2"/>
  <c r="AE54" i="2"/>
  <c r="AD54" i="2"/>
  <c r="AF54" i="2"/>
  <c r="AE51" i="2"/>
  <c r="AF51" i="2"/>
  <c r="AD51" i="2"/>
  <c r="AD41" i="2"/>
  <c r="AF41" i="2"/>
  <c r="AE41" i="2"/>
  <c r="AF33" i="2"/>
  <c r="AD33" i="2"/>
  <c r="AE33" i="2"/>
  <c r="AE31" i="2"/>
  <c r="AF31" i="2"/>
  <c r="AD31" i="2"/>
  <c r="AD27" i="2"/>
  <c r="AE27" i="2"/>
  <c r="AF27" i="2"/>
  <c r="AF23" i="2"/>
  <c r="AD23" i="2"/>
  <c r="AE23" i="2"/>
  <c r="AD19" i="2"/>
  <c r="AE19" i="2"/>
  <c r="AF19" i="2"/>
  <c r="AD15" i="2"/>
  <c r="AE15" i="2"/>
  <c r="AF15" i="2"/>
  <c r="AD13" i="2"/>
  <c r="AE13" i="2"/>
  <c r="AF13" i="2"/>
  <c r="AF11" i="2"/>
  <c r="AD11" i="2"/>
  <c r="AE11" i="2"/>
  <c r="AF9" i="2"/>
  <c r="AD9" i="2"/>
  <c r="AE9" i="2"/>
  <c r="AF7" i="2"/>
  <c r="AD7" i="2"/>
  <c r="AE7" i="2"/>
  <c r="AD5" i="2"/>
  <c r="AE5" i="2"/>
  <c r="AF5" i="2"/>
  <c r="AD3" i="2"/>
  <c r="AE3" i="2"/>
  <c r="AF3" i="2"/>
  <c r="AD34" i="2"/>
  <c r="AE34" i="2"/>
  <c r="AF34" i="2"/>
  <c r="AD12" i="2"/>
  <c r="AE12" i="2"/>
  <c r="AF12" i="2"/>
  <c r="AE10" i="2"/>
  <c r="AF10" i="2"/>
  <c r="AD10" i="2"/>
  <c r="AE8" i="2"/>
  <c r="AF8" i="2"/>
  <c r="AD8" i="2"/>
  <c r="AD49" i="2"/>
  <c r="AE49" i="2"/>
  <c r="AF49" i="2"/>
  <c r="AE43" i="2"/>
  <c r="AF43" i="2"/>
  <c r="AD43" i="2"/>
  <c r="AD58" i="2"/>
  <c r="AE58" i="2"/>
  <c r="AF52" i="2"/>
  <c r="AD52" i="2"/>
  <c r="AE52" i="2"/>
  <c r="AD42" i="2"/>
  <c r="AE42" i="2"/>
  <c r="AF42" i="2"/>
  <c r="AE38" i="2"/>
  <c r="AD38" i="2" s="1"/>
  <c r="AF38" i="2"/>
  <c r="AF56" i="2"/>
  <c r="AD56" i="2"/>
  <c r="AE56" i="2"/>
  <c r="AE53" i="2"/>
  <c r="AF53" i="2"/>
  <c r="AD53" i="2"/>
  <c r="AE30" i="2"/>
  <c r="AF30" i="2"/>
  <c r="AD30" i="2"/>
  <c r="AE28" i="2"/>
  <c r="AD28" i="2"/>
  <c r="AF28" i="2"/>
  <c r="AE24" i="2"/>
  <c r="AF24" i="2"/>
  <c r="AD24" i="2"/>
  <c r="AD22" i="2"/>
  <c r="AF22" i="2"/>
  <c r="AE22" i="2"/>
  <c r="AD20" i="2"/>
  <c r="AE20" i="2"/>
  <c r="AF20" i="2"/>
  <c r="AE16" i="2"/>
  <c r="AF16" i="2"/>
  <c r="AD16" i="2"/>
  <c r="AD39" i="2"/>
  <c r="AE39" i="2"/>
  <c r="AF39" i="2"/>
  <c r="AE63" i="2"/>
  <c r="AF63" i="2"/>
  <c r="AD63" i="2"/>
  <c r="H107" i="2"/>
  <c r="AE59" i="2"/>
  <c r="AF59" i="2"/>
  <c r="AD59" i="2"/>
  <c r="AD57" i="2"/>
  <c r="AE57" i="2"/>
  <c r="AF57" i="2"/>
  <c r="AF47" i="2"/>
  <c r="AD47" i="2"/>
  <c r="AE47" i="2"/>
  <c r="AD37" i="2"/>
  <c r="AE37" i="2"/>
  <c r="AF37" i="2"/>
  <c r="AE4" i="2"/>
  <c r="AF4" i="2"/>
  <c r="AD4" i="2"/>
  <c r="AD35" i="2"/>
  <c r="AE35" i="2"/>
  <c r="AF35" i="2"/>
  <c r="AD25" i="2"/>
  <c r="AE25" i="2"/>
  <c r="AF25" i="2"/>
  <c r="AD21" i="2"/>
  <c r="AF21" i="2"/>
  <c r="AE21" i="2"/>
  <c r="Y27" i="46" l="1"/>
  <c r="Y27" i="48"/>
  <c r="Y13" i="42"/>
  <c r="Z11" i="42" s="1"/>
  <c r="G31" i="42" s="1"/>
  <c r="Y26" i="46"/>
  <c r="Y25" i="45"/>
  <c r="Y26" i="44"/>
  <c r="Y25" i="39"/>
  <c r="Y13" i="49"/>
  <c r="Y27" i="45"/>
  <c r="W13" i="48"/>
  <c r="V12" i="45"/>
  <c r="Y12" i="44"/>
  <c r="V13" i="39"/>
  <c r="Y26" i="45"/>
  <c r="Y26" i="39"/>
  <c r="W13" i="45"/>
  <c r="U12" i="39"/>
  <c r="Y12" i="39" s="1"/>
  <c r="Y11" i="49"/>
  <c r="Y26" i="41"/>
  <c r="X11" i="45"/>
  <c r="Y19" i="44"/>
  <c r="W13" i="41"/>
  <c r="V12" i="41"/>
  <c r="X12" i="40"/>
  <c r="Y12" i="40" s="1"/>
  <c r="Z10" i="47"/>
  <c r="G30" i="47" s="1"/>
  <c r="W13" i="44"/>
  <c r="Y24" i="39"/>
  <c r="X12" i="43"/>
  <c r="Y24" i="41"/>
  <c r="W13" i="39"/>
  <c r="Y27" i="44"/>
  <c r="Y27" i="39"/>
  <c r="X10" i="45"/>
  <c r="U12" i="43"/>
  <c r="X10" i="39"/>
  <c r="U13" i="44"/>
  <c r="W10" i="45"/>
  <c r="Y24" i="45"/>
  <c r="W13" i="40"/>
  <c r="Y17" i="45"/>
  <c r="V10" i="45"/>
  <c r="Y27" i="41"/>
  <c r="Y19" i="41"/>
  <c r="U12" i="41"/>
  <c r="Y26" i="43"/>
  <c r="Y19" i="45"/>
  <c r="U12" i="45"/>
  <c r="U13" i="45"/>
  <c r="Y20" i="45"/>
  <c r="W11" i="41"/>
  <c r="W10" i="39"/>
  <c r="Y25" i="41"/>
  <c r="X12" i="41"/>
  <c r="Y18" i="45"/>
  <c r="U11" i="45"/>
  <c r="W10" i="41"/>
  <c r="Y24" i="44"/>
  <c r="X10" i="43"/>
  <c r="W10" i="43"/>
  <c r="Y24" i="43"/>
  <c r="X10" i="44"/>
  <c r="X11" i="41"/>
  <c r="Y18" i="41"/>
  <c r="U13" i="41"/>
  <c r="Y20" i="41"/>
  <c r="V13" i="41"/>
  <c r="Y17" i="41"/>
  <c r="X10" i="41"/>
  <c r="W10" i="46"/>
  <c r="X10" i="48"/>
  <c r="Z13" i="47"/>
  <c r="G33" i="47" s="1"/>
  <c r="Y25" i="44"/>
  <c r="Y17" i="39"/>
  <c r="V10" i="39"/>
  <c r="W10" i="48"/>
  <c r="W11" i="43"/>
  <c r="Y18" i="39"/>
  <c r="U11" i="39"/>
  <c r="Y11" i="39" s="1"/>
  <c r="Y19" i="40"/>
  <c r="Y20" i="39"/>
  <c r="U13" i="39"/>
  <c r="X11" i="44"/>
  <c r="Y18" i="48"/>
  <c r="U11" i="48"/>
  <c r="Y11" i="48" s="1"/>
  <c r="X11" i="43"/>
  <c r="Y24" i="46"/>
  <c r="Y17" i="43"/>
  <c r="V10" i="43"/>
  <c r="Y19" i="48"/>
  <c r="U12" i="48"/>
  <c r="Y12" i="48" s="1"/>
  <c r="Y18" i="44"/>
  <c r="U11" i="44"/>
  <c r="Y17" i="46"/>
  <c r="V10" i="46"/>
  <c r="Y17" i="44"/>
  <c r="V10" i="44"/>
  <c r="U13" i="40"/>
  <c r="Y20" i="40"/>
  <c r="Y27" i="40"/>
  <c r="X10" i="46"/>
  <c r="Y18" i="43"/>
  <c r="U11" i="43"/>
  <c r="V13" i="43"/>
  <c r="Y13" i="43" s="1"/>
  <c r="Y20" i="43"/>
  <c r="Y25" i="43"/>
  <c r="Y20" i="46"/>
  <c r="U13" i="46"/>
  <c r="Y13" i="46" s="1"/>
  <c r="Y20" i="44"/>
  <c r="V13" i="44"/>
  <c r="X11" i="40"/>
  <c r="Y11" i="40" s="1"/>
  <c r="Y10" i="40"/>
  <c r="U11" i="46"/>
  <c r="Y11" i="46" s="1"/>
  <c r="Y18" i="46"/>
  <c r="Y12" i="49"/>
  <c r="Y19" i="43"/>
  <c r="V12" i="43"/>
  <c r="V13" i="40"/>
  <c r="W11" i="44"/>
  <c r="U12" i="46"/>
  <c r="Y12" i="46" s="1"/>
  <c r="Y19" i="46"/>
  <c r="Y20" i="48"/>
  <c r="U13" i="48"/>
  <c r="Y24" i="48"/>
  <c r="Y17" i="48"/>
  <c r="V10" i="48"/>
  <c r="Z11" i="47"/>
  <c r="G31" i="47" s="1"/>
  <c r="Z12" i="47"/>
  <c r="G32" i="47" s="1"/>
  <c r="W6" i="37"/>
  <c r="V6" i="37"/>
  <c r="U6" i="37"/>
  <c r="X4" i="37"/>
  <c r="W4" i="37"/>
  <c r="U4" i="37"/>
  <c r="U5" i="37"/>
  <c r="X5" i="37"/>
  <c r="V5" i="37"/>
  <c r="X3" i="37"/>
  <c r="W3" i="37"/>
  <c r="V3" i="37"/>
  <c r="AD55" i="2"/>
  <c r="AD107" i="2" s="1"/>
  <c r="AE55" i="2"/>
  <c r="AE107" i="2" s="1"/>
  <c r="AF55" i="2"/>
  <c r="Z12" i="42" l="1"/>
  <c r="G32" i="42" s="1"/>
  <c r="Z10" i="42"/>
  <c r="G30" i="42" s="1"/>
  <c r="Z13" i="42"/>
  <c r="G33" i="42" s="1"/>
  <c r="Y13" i="48"/>
  <c r="Y12" i="45"/>
  <c r="Y13" i="45"/>
  <c r="Y13" i="44"/>
  <c r="Y11" i="45"/>
  <c r="Z12" i="49"/>
  <c r="G32" i="49" s="1"/>
  <c r="Y13" i="39"/>
  <c r="Y12" i="43"/>
  <c r="Y10" i="43"/>
  <c r="Y10" i="41"/>
  <c r="Y10" i="48"/>
  <c r="Y10" i="45"/>
  <c r="Y12" i="41"/>
  <c r="Y11" i="41"/>
  <c r="Y10" i="44"/>
  <c r="Y10" i="39"/>
  <c r="Y13" i="41"/>
  <c r="Y10" i="46"/>
  <c r="Z12" i="46" s="1"/>
  <c r="G32" i="46" s="1"/>
  <c r="Z11" i="49"/>
  <c r="G31" i="49" s="1"/>
  <c r="Z13" i="49"/>
  <c r="G33" i="49" s="1"/>
  <c r="Y13" i="40"/>
  <c r="Z13" i="40" s="1"/>
  <c r="G33" i="40" s="1"/>
  <c r="Z10" i="49"/>
  <c r="G30" i="49" s="1"/>
  <c r="Y11" i="44"/>
  <c r="Y11" i="43"/>
  <c r="V24" i="37"/>
  <c r="V17" i="37"/>
  <c r="Y3" i="37"/>
  <c r="X17" i="37"/>
  <c r="X24" i="37"/>
  <c r="V26" i="37"/>
  <c r="V19" i="37"/>
  <c r="Y5" i="37"/>
  <c r="X19" i="37"/>
  <c r="X26" i="37"/>
  <c r="U26" i="37"/>
  <c r="U19" i="37"/>
  <c r="U25" i="37"/>
  <c r="U18" i="37"/>
  <c r="W18" i="37"/>
  <c r="W25" i="37"/>
  <c r="Y4" i="37"/>
  <c r="X18" i="37"/>
  <c r="X25" i="37"/>
  <c r="W24" i="37"/>
  <c r="W17" i="37"/>
  <c r="U27" i="37"/>
  <c r="Y6" i="37"/>
  <c r="U20" i="37"/>
  <c r="V27" i="37"/>
  <c r="V20" i="37"/>
  <c r="W20" i="37"/>
  <c r="W27" i="37"/>
  <c r="Z11" i="39" l="1"/>
  <c r="G31" i="39" s="1"/>
  <c r="Z12" i="48"/>
  <c r="G32" i="48" s="1"/>
  <c r="Z13" i="48"/>
  <c r="G33" i="48" s="1"/>
  <c r="Z11" i="48"/>
  <c r="G31" i="48" s="1"/>
  <c r="Z10" i="48"/>
  <c r="G30" i="48" s="1"/>
  <c r="Z13" i="39"/>
  <c r="G33" i="39" s="1"/>
  <c r="Z12" i="39"/>
  <c r="G32" i="39" s="1"/>
  <c r="Z10" i="39"/>
  <c r="G30" i="39" s="1"/>
  <c r="Z12" i="44"/>
  <c r="G32" i="44" s="1"/>
  <c r="Z10" i="46"/>
  <c r="G30" i="46" s="1"/>
  <c r="Z11" i="45"/>
  <c r="G31" i="45" s="1"/>
  <c r="Z10" i="45"/>
  <c r="G30" i="45" s="1"/>
  <c r="Z12" i="45"/>
  <c r="G32" i="45" s="1"/>
  <c r="Z13" i="46"/>
  <c r="G33" i="46" s="1"/>
  <c r="Z13" i="45"/>
  <c r="G33" i="45" s="1"/>
  <c r="Z11" i="46"/>
  <c r="G31" i="46" s="1"/>
  <c r="Z10" i="40"/>
  <c r="G30" i="40" s="1"/>
  <c r="Z10" i="41"/>
  <c r="G30" i="41" s="1"/>
  <c r="Z13" i="41"/>
  <c r="G33" i="41" s="1"/>
  <c r="Z12" i="41"/>
  <c r="G32" i="41" s="1"/>
  <c r="Z11" i="41"/>
  <c r="G31" i="41" s="1"/>
  <c r="Z13" i="43"/>
  <c r="G33" i="43" s="1"/>
  <c r="Z10" i="43"/>
  <c r="G30" i="43" s="1"/>
  <c r="Z12" i="43"/>
  <c r="G32" i="43" s="1"/>
  <c r="Z11" i="43"/>
  <c r="G31" i="43" s="1"/>
  <c r="Z13" i="44"/>
  <c r="G33" i="44" s="1"/>
  <c r="Z11" i="44"/>
  <c r="G31" i="44" s="1"/>
  <c r="Z12" i="40"/>
  <c r="G32" i="40" s="1"/>
  <c r="Z11" i="40"/>
  <c r="G31" i="40" s="1"/>
  <c r="V13" i="37"/>
  <c r="Z10" i="44"/>
  <c r="G30" i="44" s="1"/>
  <c r="Y25" i="37"/>
  <c r="X10" i="37"/>
  <c r="X11" i="37"/>
  <c r="W11" i="37"/>
  <c r="Y18" i="37"/>
  <c r="U11" i="37"/>
  <c r="Y19" i="37"/>
  <c r="U12" i="37"/>
  <c r="Y26" i="37"/>
  <c r="X12" i="37"/>
  <c r="V12" i="37"/>
  <c r="Y20" i="37"/>
  <c r="U13" i="37"/>
  <c r="V10" i="37"/>
  <c r="Y17" i="37"/>
  <c r="W13" i="37"/>
  <c r="Y24" i="37"/>
  <c r="Y27" i="37"/>
  <c r="W10" i="37"/>
  <c r="Y11" i="37" l="1"/>
  <c r="Y13" i="37"/>
  <c r="Y12" i="37"/>
  <c r="Y10" i="37"/>
  <c r="B173" i="33"/>
  <c r="AG106" i="31" s="1"/>
  <c r="AH106" i="31" s="1"/>
  <c r="L106" i="31" s="1"/>
  <c r="B156" i="33"/>
  <c r="AG90" i="31" s="1"/>
  <c r="AH90" i="31" s="1"/>
  <c r="L90" i="31" s="1"/>
  <c r="B155" i="33"/>
  <c r="AG89" i="31" s="1"/>
  <c r="AH89" i="31" s="1"/>
  <c r="L89" i="31" s="1"/>
  <c r="B154" i="33"/>
  <c r="AG87" i="31" s="1"/>
  <c r="AH87" i="31" s="1"/>
  <c r="L87" i="31" s="1"/>
  <c r="B153" i="33"/>
  <c r="AG85" i="31" s="1"/>
  <c r="AH85" i="31" s="1"/>
  <c r="L85" i="31" s="1"/>
  <c r="B152" i="33"/>
  <c r="AG86" i="31" s="1"/>
  <c r="AH86" i="31" s="1"/>
  <c r="L86" i="31" s="1"/>
  <c r="B151" i="33"/>
  <c r="AG83" i="31" s="1"/>
  <c r="AH83" i="31" s="1"/>
  <c r="L83" i="31" s="1"/>
  <c r="B150" i="33"/>
  <c r="AG84" i="31" s="1"/>
  <c r="AH84" i="31" s="1"/>
  <c r="L84" i="31" s="1"/>
  <c r="B149" i="33"/>
  <c r="AG82" i="31" s="1"/>
  <c r="AH82" i="31" s="1"/>
  <c r="L82" i="31" s="1"/>
  <c r="B148" i="33"/>
  <c r="AG81" i="31" s="1"/>
  <c r="AH81" i="31" s="1"/>
  <c r="L81" i="31" s="1"/>
  <c r="B147" i="33"/>
  <c r="AG79" i="31" s="1"/>
  <c r="AH79" i="31" s="1"/>
  <c r="L79" i="31" s="1"/>
  <c r="B146" i="33"/>
  <c r="AG80" i="31" s="1"/>
  <c r="AH80" i="31" s="1"/>
  <c r="L80" i="31" s="1"/>
  <c r="B145" i="33"/>
  <c r="AG76" i="31" s="1"/>
  <c r="AH76" i="31" s="1"/>
  <c r="L76" i="31" s="1"/>
  <c r="B144" i="33"/>
  <c r="AG78" i="31" s="1"/>
  <c r="AH78" i="31" s="1"/>
  <c r="L78" i="31" s="1"/>
  <c r="B143" i="33"/>
  <c r="AG77" i="31" s="1"/>
  <c r="AH77" i="31" s="1"/>
  <c r="L77" i="31" s="1"/>
  <c r="B142" i="33"/>
  <c r="AG75" i="31" s="1"/>
  <c r="B122" i="33"/>
  <c r="AD89" i="31" s="1"/>
  <c r="B121" i="33"/>
  <c r="AD87" i="31" s="1"/>
  <c r="B120" i="33"/>
  <c r="AD85" i="31" s="1"/>
  <c r="B119" i="33"/>
  <c r="AD86" i="31" s="1"/>
  <c r="B118" i="33"/>
  <c r="AD83" i="31" s="1"/>
  <c r="B117" i="33"/>
  <c r="AD84" i="31" s="1"/>
  <c r="B116" i="33"/>
  <c r="AD82" i="31" s="1"/>
  <c r="B115" i="33"/>
  <c r="AD81" i="31" s="1"/>
  <c r="B114" i="33"/>
  <c r="AD79" i="31" s="1"/>
  <c r="B113" i="33"/>
  <c r="AD80" i="31" s="1"/>
  <c r="B112" i="33"/>
  <c r="AD76" i="31" s="1"/>
  <c r="B111" i="33"/>
  <c r="AD78" i="31" s="1"/>
  <c r="B110" i="33"/>
  <c r="AD77" i="31" s="1"/>
  <c r="B109" i="33"/>
  <c r="AD75" i="31" s="1"/>
  <c r="B65" i="33"/>
  <c r="Y66" i="31" s="1"/>
  <c r="B64" i="33"/>
  <c r="B63" i="33"/>
  <c r="B62" i="33"/>
  <c r="B61" i="33"/>
  <c r="B60" i="33"/>
  <c r="B59" i="33"/>
  <c r="B58" i="33"/>
  <c r="B57" i="33"/>
  <c r="B56" i="33"/>
  <c r="B55" i="33"/>
  <c r="B54" i="33"/>
  <c r="B53" i="33"/>
  <c r="B52" i="33"/>
  <c r="B51" i="33"/>
  <c r="B50" i="33"/>
  <c r="B49" i="33"/>
  <c r="B48" i="33"/>
  <c r="B47" i="33"/>
  <c r="B46" i="33"/>
  <c r="B45" i="33"/>
  <c r="B44" i="33"/>
  <c r="B43" i="33"/>
  <c r="B42" i="33"/>
  <c r="B41" i="33"/>
  <c r="B40" i="33"/>
  <c r="B39" i="33"/>
  <c r="B38" i="33"/>
  <c r="B37" i="33"/>
  <c r="B36" i="33"/>
  <c r="B35" i="33"/>
  <c r="B34" i="33"/>
  <c r="B33" i="33"/>
  <c r="B32" i="33"/>
  <c r="B31" i="33"/>
  <c r="B30" i="33"/>
  <c r="B29" i="33"/>
  <c r="B28" i="33"/>
  <c r="B27" i="33"/>
  <c r="B26" i="33"/>
  <c r="B25" i="33"/>
  <c r="B24" i="33"/>
  <c r="B23" i="33"/>
  <c r="B22" i="33"/>
  <c r="B21" i="33"/>
  <c r="B20" i="33"/>
  <c r="B19" i="33"/>
  <c r="B18" i="33"/>
  <c r="B17" i="33"/>
  <c r="B16" i="33"/>
  <c r="B15" i="33"/>
  <c r="B14" i="33"/>
  <c r="B13" i="33"/>
  <c r="B12" i="33"/>
  <c r="B11" i="33"/>
  <c r="B10" i="33"/>
  <c r="B9" i="33"/>
  <c r="B8" i="33"/>
  <c r="B7" i="33"/>
  <c r="B6" i="33"/>
  <c r="B5" i="33"/>
  <c r="B4" i="33"/>
  <c r="B3" i="33"/>
  <c r="B2" i="33"/>
  <c r="AI77" i="31" l="1"/>
  <c r="M77" i="31" s="1"/>
  <c r="AI78" i="31"/>
  <c r="M78" i="31" s="1"/>
  <c r="AI76" i="31"/>
  <c r="M76" i="31" s="1"/>
  <c r="AI80" i="31"/>
  <c r="M80" i="31" s="1"/>
  <c r="AI79" i="31"/>
  <c r="M79" i="31" s="1"/>
  <c r="AI81" i="31"/>
  <c r="M81" i="31" s="1"/>
  <c r="AI82" i="31"/>
  <c r="M82" i="31" s="1"/>
  <c r="AI84" i="31"/>
  <c r="M84" i="31" s="1"/>
  <c r="AI83" i="31"/>
  <c r="M83" i="31" s="1"/>
  <c r="AI86" i="31"/>
  <c r="M86" i="31" s="1"/>
  <c r="AI85" i="31"/>
  <c r="M85" i="31" s="1"/>
  <c r="AI87" i="31"/>
  <c r="M87" i="31" s="1"/>
  <c r="AI89" i="31"/>
  <c r="M89" i="31" s="1"/>
  <c r="AI90" i="31"/>
  <c r="M90" i="31" s="1"/>
  <c r="AI106" i="31"/>
  <c r="M106" i="31" s="1"/>
  <c r="AH75" i="31"/>
  <c r="Z10" i="37"/>
  <c r="G30" i="37" s="1"/>
  <c r="Z11" i="37"/>
  <c r="G31" i="37" s="1"/>
  <c r="Z12" i="37"/>
  <c r="G32" i="37" s="1"/>
  <c r="Z13" i="37"/>
  <c r="G33" i="37" s="1"/>
  <c r="AI75" i="31" l="1"/>
  <c r="M75" i="31" s="1"/>
  <c r="L75" i="31"/>
  <c r="Y65" i="31"/>
  <c r="Y63" i="31" l="1"/>
  <c r="Y62" i="31" l="1"/>
  <c r="Y61" i="31" l="1"/>
  <c r="Y60" i="31"/>
  <c r="Y59" i="31" l="1"/>
  <c r="Y58" i="31" l="1"/>
  <c r="Y57" i="31"/>
  <c r="Y56" i="31"/>
  <c r="Y55" i="31"/>
  <c r="Y54" i="31"/>
  <c r="Y53" i="31"/>
  <c r="Y52" i="31"/>
  <c r="Y51" i="31" l="1"/>
  <c r="Y50" i="31" l="1"/>
  <c r="Y49" i="31"/>
  <c r="Y48" i="31"/>
  <c r="Y47" i="31"/>
  <c r="Y46" i="31"/>
  <c r="Y45" i="31" l="1"/>
  <c r="Y44" i="31" l="1"/>
  <c r="Y43" i="31"/>
  <c r="Y42" i="31"/>
  <c r="Y41" i="31"/>
  <c r="Y40" i="31"/>
  <c r="Y39" i="31"/>
  <c r="Y38" i="31"/>
  <c r="Y37" i="31"/>
  <c r="Y36" i="31"/>
  <c r="Y35" i="31" l="1"/>
  <c r="Y34" i="31"/>
  <c r="Y33" i="31"/>
  <c r="Y32" i="31" l="1"/>
  <c r="Y31" i="31" l="1"/>
  <c r="Y30" i="31"/>
  <c r="Y29" i="31"/>
  <c r="Y28" i="31"/>
  <c r="Y27" i="31" l="1"/>
  <c r="Y26" i="31" l="1"/>
  <c r="Y25" i="31"/>
  <c r="Y24" i="31"/>
  <c r="Y23" i="31" l="1"/>
  <c r="Y22" i="31"/>
  <c r="Y21" i="31"/>
  <c r="Y20" i="31"/>
  <c r="Y19" i="31" l="1"/>
  <c r="Y18" i="31"/>
  <c r="Y17" i="31" l="1"/>
  <c r="Y16" i="31" l="1"/>
  <c r="Y15" i="31"/>
  <c r="Y14" i="31" l="1"/>
  <c r="Y13" i="31" l="1"/>
  <c r="Y12" i="31" l="1"/>
  <c r="Y11" i="31" l="1"/>
  <c r="Y10" i="31" l="1"/>
  <c r="Y9" i="31"/>
  <c r="Y8" i="31"/>
  <c r="Y7" i="31"/>
  <c r="Y6" i="31" l="1"/>
  <c r="Y5" i="31"/>
  <c r="Y4" i="31" l="1"/>
  <c r="Y3" i="31" l="1"/>
  <c r="D1" i="31" l="1"/>
  <c r="A33" i="32" s="1"/>
  <c r="D32" i="32"/>
  <c r="A32" i="32"/>
  <c r="A31" i="32"/>
  <c r="A30" i="32"/>
  <c r="A29" i="32"/>
  <c r="A28" i="32"/>
  <c r="A27" i="32"/>
  <c r="A26" i="32"/>
  <c r="A25" i="32"/>
  <c r="A24" i="32"/>
  <c r="A23" i="32"/>
  <c r="A22" i="32"/>
  <c r="D19" i="32"/>
  <c r="A19" i="32"/>
  <c r="A18" i="32"/>
  <c r="A17" i="32"/>
  <c r="D14" i="32"/>
  <c r="A14" i="32"/>
  <c r="A13" i="32"/>
  <c r="A12" i="32"/>
  <c r="A11" i="32"/>
  <c r="A10" i="32"/>
  <c r="A9" i="32"/>
  <c r="A8" i="32"/>
  <c r="A7" i="32"/>
  <c r="A6" i="32"/>
  <c r="A5" i="32"/>
  <c r="A4" i="32"/>
  <c r="A20" i="32" l="1"/>
  <c r="A15" i="32"/>
  <c r="C4" i="5"/>
  <c r="C5" i="5" l="1"/>
  <c r="O23" i="2"/>
  <c r="O93" i="2"/>
  <c r="O5" i="2"/>
  <c r="O68" i="2"/>
  <c r="O41" i="2"/>
  <c r="O15" i="2"/>
  <c r="O47" i="2"/>
  <c r="O54" i="2"/>
  <c r="O66" i="2"/>
  <c r="O106" i="2"/>
  <c r="O11" i="2"/>
  <c r="O37" i="2"/>
  <c r="O80" i="2"/>
  <c r="O62" i="2"/>
  <c r="O3" i="2"/>
  <c r="H50" i="34" l="1"/>
  <c r="H44" i="34"/>
  <c r="H38" i="34"/>
  <c r="H32" i="34"/>
  <c r="H31" i="34"/>
  <c r="H48" i="34"/>
  <c r="H36" i="34"/>
  <c r="H40" i="34"/>
  <c r="H34" i="34"/>
  <c r="H45" i="34"/>
  <c r="H42" i="34"/>
  <c r="H46" i="34"/>
  <c r="H39" i="34"/>
  <c r="H49" i="34"/>
  <c r="H47" i="34"/>
  <c r="H41" i="34"/>
  <c r="H35" i="34"/>
  <c r="H33" i="34"/>
  <c r="H43" i="34"/>
  <c r="H37" i="34"/>
  <c r="R50" i="34"/>
  <c r="R42" i="34"/>
  <c r="R47" i="34"/>
  <c r="R37" i="34"/>
  <c r="R41" i="34"/>
  <c r="R36" i="34"/>
  <c r="R43" i="34"/>
  <c r="R38" i="34"/>
  <c r="R49" i="34"/>
  <c r="R44" i="34"/>
  <c r="R39" i="34"/>
  <c r="R34" i="34"/>
  <c r="R48" i="34"/>
  <c r="R40" i="34"/>
  <c r="R35" i="34"/>
  <c r="R46" i="34"/>
  <c r="R45" i="34"/>
  <c r="H12" i="34"/>
  <c r="H11" i="34"/>
  <c r="H13" i="34"/>
  <c r="H14" i="34"/>
  <c r="H22" i="34"/>
  <c r="H19" i="34"/>
  <c r="H21" i="34"/>
  <c r="H20" i="34"/>
  <c r="H26" i="34"/>
  <c r="H24" i="34"/>
  <c r="H25" i="34"/>
  <c r="H23" i="34"/>
  <c r="H5" i="34"/>
  <c r="H6" i="34"/>
  <c r="H4" i="34"/>
  <c r="H3" i="34"/>
  <c r="H30" i="34"/>
  <c r="H29" i="34"/>
  <c r="H28" i="34"/>
  <c r="H27" i="34"/>
  <c r="H10" i="34"/>
  <c r="H9" i="34"/>
  <c r="H7" i="34"/>
  <c r="H8" i="34"/>
  <c r="H15" i="34"/>
  <c r="H17" i="34"/>
  <c r="H18" i="34"/>
  <c r="H16" i="34"/>
  <c r="R29" i="34"/>
  <c r="R9" i="34"/>
  <c r="R6" i="34"/>
  <c r="R15" i="34"/>
  <c r="R11" i="34"/>
  <c r="R28" i="34"/>
  <c r="R8" i="34"/>
  <c r="R26" i="34"/>
  <c r="R4" i="34"/>
  <c r="R23" i="34"/>
  <c r="R22" i="34"/>
  <c r="R30" i="34"/>
  <c r="R27" i="34"/>
  <c r="R7" i="34"/>
  <c r="R14" i="34"/>
  <c r="R32" i="34"/>
  <c r="R25" i="34"/>
  <c r="R5" i="34"/>
  <c r="R24" i="34"/>
  <c r="R3" i="34"/>
  <c r="R12" i="34"/>
  <c r="R21" i="34"/>
  <c r="R20" i="34"/>
  <c r="R19" i="34"/>
  <c r="R18" i="34"/>
  <c r="R17" i="34"/>
  <c r="R16" i="34"/>
  <c r="R13" i="34"/>
  <c r="R31" i="34"/>
  <c r="R33" i="34"/>
  <c r="R10" i="34"/>
  <c r="R51" i="34" l="1"/>
  <c r="B1" i="1"/>
  <c r="E197" i="26" l="1"/>
  <c r="G197" i="26" s="1"/>
  <c r="E196" i="26"/>
  <c r="E188" i="26"/>
  <c r="E187" i="26"/>
  <c r="E182" i="26"/>
  <c r="E181" i="26"/>
  <c r="E179" i="26"/>
  <c r="E178" i="26"/>
  <c r="E170" i="26"/>
  <c r="E169" i="26"/>
  <c r="E173" i="26"/>
  <c r="E172" i="26"/>
  <c r="E164" i="26"/>
  <c r="E163" i="26"/>
  <c r="E167" i="26"/>
  <c r="E166" i="26"/>
  <c r="E158" i="26"/>
  <c r="E157" i="26"/>
  <c r="E155" i="26"/>
  <c r="E154" i="26"/>
  <c r="E152" i="26"/>
  <c r="E151" i="26"/>
  <c r="E149" i="26"/>
  <c r="E148" i="26"/>
  <c r="G196" i="26" l="1"/>
  <c r="D196" i="26"/>
  <c r="G187" i="26"/>
  <c r="D187" i="26"/>
  <c r="G188" i="26"/>
  <c r="D188" i="26"/>
  <c r="G181" i="26"/>
  <c r="D181" i="26"/>
  <c r="G182" i="26"/>
  <c r="D182" i="26"/>
  <c r="G172" i="26"/>
  <c r="D172" i="26"/>
  <c r="G173" i="26"/>
  <c r="D173" i="26"/>
  <c r="G157" i="26"/>
  <c r="D157" i="26"/>
  <c r="G158" i="26"/>
  <c r="D158" i="26"/>
  <c r="G163" i="26"/>
  <c r="D163" i="26"/>
  <c r="G170" i="26"/>
  <c r="D170" i="26"/>
  <c r="G179" i="26"/>
  <c r="D179" i="26"/>
  <c r="G148" i="26"/>
  <c r="D148" i="26"/>
  <c r="G166" i="26"/>
  <c r="D166" i="26"/>
  <c r="G149" i="26"/>
  <c r="D149" i="26"/>
  <c r="G155" i="26"/>
  <c r="D155" i="26"/>
  <c r="G164" i="26"/>
  <c r="D164" i="26"/>
  <c r="G169" i="26"/>
  <c r="D169" i="26"/>
  <c r="G151" i="26"/>
  <c r="D151" i="26"/>
  <c r="G154" i="26"/>
  <c r="D154" i="26"/>
  <c r="G167" i="26"/>
  <c r="D167" i="26"/>
  <c r="G178" i="26"/>
  <c r="D178" i="26"/>
  <c r="G152" i="26"/>
  <c r="D152" i="26"/>
  <c r="E143" i="26"/>
  <c r="E142" i="26"/>
  <c r="E146" i="26"/>
  <c r="E140" i="26"/>
  <c r="E139" i="26"/>
  <c r="G140" i="26" l="1"/>
  <c r="D140" i="26"/>
  <c r="G146" i="26"/>
  <c r="D146" i="26"/>
  <c r="G139" i="26"/>
  <c r="D139" i="26"/>
  <c r="G142" i="26"/>
  <c r="D142" i="26"/>
  <c r="G143" i="26"/>
  <c r="D143" i="26"/>
  <c r="E137" i="26"/>
  <c r="E136" i="26"/>
  <c r="J48" i="36"/>
  <c r="E48" i="36"/>
  <c r="E49" i="36"/>
  <c r="J45" i="36"/>
  <c r="E45" i="36"/>
  <c r="J44" i="36"/>
  <c r="E44" i="36"/>
  <c r="J42" i="36"/>
  <c r="E42" i="36"/>
  <c r="J41" i="36"/>
  <c r="E41" i="36"/>
  <c r="J39" i="36"/>
  <c r="E39" i="36"/>
  <c r="J40" i="36"/>
  <c r="E40" i="36"/>
  <c r="J36" i="36"/>
  <c r="E36" i="36"/>
  <c r="J38" i="36"/>
  <c r="E38" i="36"/>
  <c r="J32" i="36"/>
  <c r="E32" i="36"/>
  <c r="E29" i="36"/>
  <c r="J33" i="36"/>
  <c r="E33" i="36"/>
  <c r="J28" i="36"/>
  <c r="E28" i="36"/>
  <c r="E30" i="36"/>
  <c r="E23" i="36"/>
  <c r="J24" i="36"/>
  <c r="E24" i="36"/>
  <c r="J25" i="36"/>
  <c r="E25" i="36"/>
  <c r="J26" i="36"/>
  <c r="E26" i="36"/>
  <c r="E21" i="36"/>
  <c r="J22" i="36"/>
  <c r="E22" i="36"/>
  <c r="E16" i="36"/>
  <c r="J20" i="36"/>
  <c r="E20" i="36"/>
  <c r="E17" i="36"/>
  <c r="J15" i="36"/>
  <c r="J18" i="36"/>
  <c r="E14" i="36"/>
  <c r="J12" i="36"/>
  <c r="J13" i="36"/>
  <c r="E13" i="36"/>
  <c r="J9" i="36"/>
  <c r="J8" i="36"/>
  <c r="E8" i="36"/>
  <c r="J10" i="36"/>
  <c r="E10" i="36"/>
  <c r="J7" i="36"/>
  <c r="E7" i="36"/>
  <c r="J6" i="36"/>
  <c r="J4" i="36"/>
  <c r="E4" i="36"/>
  <c r="E5" i="36"/>
  <c r="J3" i="36"/>
  <c r="J34" i="24"/>
  <c r="J33" i="24"/>
  <c r="J32" i="24"/>
  <c r="J31" i="24"/>
  <c r="J30" i="24"/>
  <c r="J29" i="24"/>
  <c r="J28" i="24"/>
  <c r="J27" i="24"/>
  <c r="J26" i="24"/>
  <c r="J25" i="24"/>
  <c r="J24" i="24"/>
  <c r="J23" i="24"/>
  <c r="J22" i="24"/>
  <c r="J21" i="24"/>
  <c r="B33" i="1" l="1"/>
  <c r="M28" i="34"/>
  <c r="B27" i="1"/>
  <c r="M32" i="34"/>
  <c r="B31" i="1"/>
  <c r="M31" i="34"/>
  <c r="B30" i="1"/>
  <c r="M30" i="34"/>
  <c r="B29" i="1"/>
  <c r="M21" i="34"/>
  <c r="B20" i="1"/>
  <c r="M27" i="34"/>
  <c r="B26" i="1"/>
  <c r="M22" i="34"/>
  <c r="B21" i="1"/>
  <c r="M23" i="34"/>
  <c r="B22" i="1"/>
  <c r="M29" i="34"/>
  <c r="B28" i="1"/>
  <c r="M33" i="34"/>
  <c r="B32" i="1"/>
  <c r="M24" i="34"/>
  <c r="B23" i="1"/>
  <c r="M26" i="34"/>
  <c r="B25" i="1"/>
  <c r="M25" i="34"/>
  <c r="B24" i="1"/>
  <c r="G136" i="26"/>
  <c r="D136" i="26"/>
  <c r="G137" i="26"/>
  <c r="D137" i="26"/>
  <c r="M34" i="34"/>
  <c r="J16" i="36"/>
  <c r="J34" i="36"/>
  <c r="J47" i="36"/>
  <c r="J17" i="36"/>
  <c r="E47" i="36"/>
  <c r="E34" i="36"/>
  <c r="E31" i="36"/>
  <c r="J49" i="36"/>
  <c r="E15" i="36"/>
  <c r="J31" i="36"/>
  <c r="E18" i="36"/>
  <c r="E43" i="36"/>
  <c r="J11" i="36"/>
  <c r="E11" i="36"/>
  <c r="J29" i="36"/>
  <c r="J14" i="36"/>
  <c r="J43" i="36"/>
  <c r="E27" i="36"/>
  <c r="J30" i="36"/>
  <c r="J46" i="36"/>
  <c r="E12" i="36"/>
  <c r="J27" i="36"/>
  <c r="E46" i="36"/>
  <c r="J23" i="36"/>
  <c r="E9" i="36"/>
  <c r="E19" i="36"/>
  <c r="E37" i="36"/>
  <c r="E6" i="36"/>
  <c r="J19" i="36"/>
  <c r="J37" i="36"/>
  <c r="J5" i="36"/>
  <c r="E35" i="36"/>
  <c r="J21" i="36"/>
  <c r="J35" i="36"/>
  <c r="E3" i="36"/>
  <c r="J20" i="24"/>
  <c r="AA29" i="34" l="1"/>
  <c r="AB29" i="34" s="1"/>
  <c r="W29" i="34"/>
  <c r="X29" i="34" s="1"/>
  <c r="AA23" i="34"/>
  <c r="AB23" i="34" s="1"/>
  <c r="W23" i="34"/>
  <c r="X23" i="34" s="1"/>
  <c r="AA27" i="34"/>
  <c r="AB27" i="34" s="1"/>
  <c r="W27" i="34"/>
  <c r="X27" i="34" s="1"/>
  <c r="AA30" i="34"/>
  <c r="AB30" i="34" s="1"/>
  <c r="W30" i="34"/>
  <c r="X30" i="34" s="1"/>
  <c r="AA33" i="34"/>
  <c r="AB33" i="34" s="1"/>
  <c r="W33" i="34"/>
  <c r="X33" i="34" s="1"/>
  <c r="AA21" i="34"/>
  <c r="AB21" i="34" s="1"/>
  <c r="W21" i="34"/>
  <c r="X21" i="34" s="1"/>
  <c r="AA31" i="34"/>
  <c r="AB31" i="34" s="1"/>
  <c r="W31" i="34"/>
  <c r="X31" i="34" s="1"/>
  <c r="AA22" i="34"/>
  <c r="AB22" i="34" s="1"/>
  <c r="W22" i="34"/>
  <c r="X22" i="34" s="1"/>
  <c r="W26" i="34"/>
  <c r="X26" i="34" s="1"/>
  <c r="AA26" i="34"/>
  <c r="AB26" i="34" s="1"/>
  <c r="AA32" i="34"/>
  <c r="AB32" i="34" s="1"/>
  <c r="W32" i="34"/>
  <c r="X32" i="34" s="1"/>
  <c r="AA24" i="34"/>
  <c r="AB24" i="34" s="1"/>
  <c r="W24" i="34"/>
  <c r="X24" i="34" s="1"/>
  <c r="AA28" i="34"/>
  <c r="AB28" i="34" s="1"/>
  <c r="W28" i="34"/>
  <c r="X28" i="34" s="1"/>
  <c r="AA34" i="34"/>
  <c r="AB34" i="34" s="1"/>
  <c r="W34" i="34"/>
  <c r="X34" i="34" s="1"/>
  <c r="W25" i="34"/>
  <c r="X25" i="34" s="1"/>
  <c r="AA25" i="34"/>
  <c r="AB25" i="34" s="1"/>
  <c r="Q22" i="34"/>
  <c r="Q26" i="34"/>
  <c r="Q33" i="34"/>
  <c r="Q31" i="34"/>
  <c r="Q29" i="34"/>
  <c r="Q27" i="34"/>
  <c r="Q30" i="34"/>
  <c r="Q24" i="34"/>
  <c r="Q23" i="34"/>
  <c r="Q34" i="34"/>
  <c r="Q21" i="34"/>
  <c r="Q25" i="34"/>
  <c r="Q32" i="34"/>
  <c r="Q28" i="34"/>
  <c r="D79" i="24"/>
  <c r="W25" i="52"/>
  <c r="M20" i="34"/>
  <c r="B19" i="1"/>
  <c r="L31" i="52"/>
  <c r="L43" i="52"/>
  <c r="G40" i="52"/>
  <c r="L7" i="52"/>
  <c r="G22" i="52"/>
  <c r="G34" i="52"/>
  <c r="G16" i="52"/>
  <c r="Q13" i="52"/>
  <c r="G46" i="52"/>
  <c r="G28" i="52"/>
  <c r="Q37" i="52"/>
  <c r="L19" i="52"/>
  <c r="G4" i="52"/>
  <c r="J19" i="24"/>
  <c r="J18" i="24"/>
  <c r="J17" i="24"/>
  <c r="J16" i="24"/>
  <c r="J15" i="24"/>
  <c r="J14" i="24"/>
  <c r="J13" i="24"/>
  <c r="J12" i="24"/>
  <c r="J11" i="24"/>
  <c r="J10" i="24"/>
  <c r="J9" i="24"/>
  <c r="J8" i="24"/>
  <c r="J7" i="24"/>
  <c r="J6" i="24"/>
  <c r="J5" i="24"/>
  <c r="J4" i="24"/>
  <c r="J3" i="24"/>
  <c r="Y64" i="31"/>
  <c r="N25" i="34" l="1"/>
  <c r="N23" i="34"/>
  <c r="N24" i="34"/>
  <c r="N27" i="34"/>
  <c r="N21" i="34"/>
  <c r="N31" i="34"/>
  <c r="N34" i="34"/>
  <c r="N29" i="34"/>
  <c r="N26" i="34"/>
  <c r="N30" i="34"/>
  <c r="N33" i="34"/>
  <c r="N22" i="34"/>
  <c r="N32" i="34"/>
  <c r="N28" i="34"/>
  <c r="AA20" i="34"/>
  <c r="AB20" i="34" s="1"/>
  <c r="W20" i="34"/>
  <c r="X20" i="34" s="1"/>
  <c r="Q20" i="34"/>
  <c r="L30" i="64"/>
  <c r="L31" i="64"/>
  <c r="L33" i="64"/>
  <c r="L32" i="64"/>
  <c r="L31" i="63"/>
  <c r="L30" i="63"/>
  <c r="L32" i="63"/>
  <c r="L33" i="63"/>
  <c r="L31" i="62"/>
  <c r="L33" i="62"/>
  <c r="L30" i="62"/>
  <c r="L32" i="62"/>
  <c r="L30" i="61"/>
  <c r="L31" i="61"/>
  <c r="L32" i="61"/>
  <c r="L33" i="61"/>
  <c r="L30" i="60"/>
  <c r="L31" i="60"/>
  <c r="L32" i="60"/>
  <c r="L33" i="60"/>
  <c r="L30" i="59"/>
  <c r="L31" i="59"/>
  <c r="L33" i="59"/>
  <c r="L32" i="59"/>
  <c r="L30" i="58"/>
  <c r="L31" i="58"/>
  <c r="L33" i="58"/>
  <c r="L32" i="58"/>
  <c r="L30" i="57"/>
  <c r="L31" i="57"/>
  <c r="L33" i="57"/>
  <c r="L32" i="57"/>
  <c r="L30" i="56"/>
  <c r="L31" i="56"/>
  <c r="L33" i="56"/>
  <c r="L32" i="56"/>
  <c r="L31" i="55"/>
  <c r="L33" i="55"/>
  <c r="L30" i="55"/>
  <c r="L32" i="55"/>
  <c r="L30" i="54"/>
  <c r="L31" i="54"/>
  <c r="L33" i="54"/>
  <c r="L32" i="54"/>
  <c r="M13" i="34"/>
  <c r="B12" i="1"/>
  <c r="M15" i="34"/>
  <c r="B14" i="1"/>
  <c r="M14" i="34"/>
  <c r="B13" i="1"/>
  <c r="M16" i="34"/>
  <c r="B15" i="1"/>
  <c r="M18" i="34"/>
  <c r="B17" i="1"/>
  <c r="M19" i="34"/>
  <c r="B18" i="1"/>
  <c r="M12" i="34"/>
  <c r="B11" i="1"/>
  <c r="M17" i="34"/>
  <c r="B16" i="1"/>
  <c r="M4" i="34"/>
  <c r="B3" i="1"/>
  <c r="M5" i="34"/>
  <c r="B4" i="1"/>
  <c r="M6" i="34"/>
  <c r="B5" i="1"/>
  <c r="M7" i="34"/>
  <c r="B6" i="1"/>
  <c r="M8" i="34"/>
  <c r="B7" i="1"/>
  <c r="M9" i="34"/>
  <c r="B8" i="1"/>
  <c r="B2" i="1"/>
  <c r="L31" i="53"/>
  <c r="L32" i="53"/>
  <c r="L33" i="53"/>
  <c r="L30" i="53"/>
  <c r="B15" i="2"/>
  <c r="B15" i="31" s="1"/>
  <c r="B36" i="2"/>
  <c r="B36" i="31" s="1"/>
  <c r="E31" i="2"/>
  <c r="E31" i="31" s="1"/>
  <c r="E57" i="2"/>
  <c r="E57" i="31" s="1"/>
  <c r="E68" i="2"/>
  <c r="E68" i="31" s="1"/>
  <c r="E69" i="2"/>
  <c r="E69" i="31" s="1"/>
  <c r="E63" i="2"/>
  <c r="E63" i="31" s="1"/>
  <c r="B11" i="2"/>
  <c r="B11" i="31" s="1"/>
  <c r="B71" i="2"/>
  <c r="B71" i="31" s="1"/>
  <c r="B26" i="2"/>
  <c r="B26" i="31" s="1"/>
  <c r="B37" i="2"/>
  <c r="B37" i="31" s="1"/>
  <c r="B17" i="2"/>
  <c r="B17" i="31" s="1"/>
  <c r="E39" i="2"/>
  <c r="E39" i="31" s="1"/>
  <c r="E40" i="2"/>
  <c r="E40" i="31" s="1"/>
  <c r="B10" i="2"/>
  <c r="B10" i="31" s="1"/>
  <c r="B25" i="2"/>
  <c r="B25" i="31" s="1"/>
  <c r="E15" i="2"/>
  <c r="E15" i="31" s="1"/>
  <c r="B46" i="2"/>
  <c r="B46" i="31" s="1"/>
  <c r="E18" i="2"/>
  <c r="E18" i="31" s="1"/>
  <c r="B68" i="2"/>
  <c r="B68" i="31" s="1"/>
  <c r="B50" i="2"/>
  <c r="B50" i="31" s="1"/>
  <c r="B70" i="2"/>
  <c r="B70" i="31" s="1"/>
  <c r="E62" i="2"/>
  <c r="E62" i="31" s="1"/>
  <c r="B47" i="2"/>
  <c r="B47" i="31" s="1"/>
  <c r="E38" i="2"/>
  <c r="E38" i="31" s="1"/>
  <c r="E53" i="2"/>
  <c r="E53" i="31" s="1"/>
  <c r="E60" i="2"/>
  <c r="E60" i="31" s="1"/>
  <c r="E41" i="2"/>
  <c r="E41" i="31" s="1"/>
  <c r="E45" i="2"/>
  <c r="E45" i="31" s="1"/>
  <c r="E44" i="2"/>
  <c r="E44" i="31" s="1"/>
  <c r="B41" i="2"/>
  <c r="B41" i="31" s="1"/>
  <c r="B35" i="2"/>
  <c r="B35" i="31" s="1"/>
  <c r="E35" i="2"/>
  <c r="E35" i="31" s="1"/>
  <c r="E16" i="2"/>
  <c r="E16" i="31" s="1"/>
  <c r="E17" i="2"/>
  <c r="E17" i="31" s="1"/>
  <c r="B54" i="2"/>
  <c r="B54" i="31" s="1"/>
  <c r="B12" i="2"/>
  <c r="B12" i="31" s="1"/>
  <c r="B45" i="2"/>
  <c r="B45" i="31" s="1"/>
  <c r="E33" i="2"/>
  <c r="E33" i="31" s="1"/>
  <c r="E36" i="2"/>
  <c r="E36" i="31" s="1"/>
  <c r="B53" i="2"/>
  <c r="B53" i="31" s="1"/>
  <c r="B60" i="2"/>
  <c r="B60" i="31" s="1"/>
  <c r="B67" i="2"/>
  <c r="B67" i="31" s="1"/>
  <c r="E55" i="2"/>
  <c r="E55" i="31" s="1"/>
  <c r="B69" i="2"/>
  <c r="B69" i="31" s="1"/>
  <c r="E10" i="2"/>
  <c r="E10" i="31" s="1"/>
  <c r="B52" i="2"/>
  <c r="B52" i="31" s="1"/>
  <c r="E37" i="2"/>
  <c r="E37" i="31" s="1"/>
  <c r="B49" i="2"/>
  <c r="B49" i="31" s="1"/>
  <c r="E30" i="2"/>
  <c r="E30" i="31" s="1"/>
  <c r="B23" i="2"/>
  <c r="B23" i="31" s="1"/>
  <c r="E13" i="2"/>
  <c r="E13" i="31" s="1"/>
  <c r="E51" i="2"/>
  <c r="E51" i="31" s="1"/>
  <c r="E52" i="2"/>
  <c r="E52" i="31" s="1"/>
  <c r="E66" i="2"/>
  <c r="E66" i="31" s="1"/>
  <c r="E73" i="2"/>
  <c r="E73" i="31" s="1"/>
  <c r="B62" i="2"/>
  <c r="B62" i="31" s="1"/>
  <c r="B32" i="2"/>
  <c r="B32" i="31" s="1"/>
  <c r="E65" i="2"/>
  <c r="E65" i="31" s="1"/>
  <c r="E59" i="2"/>
  <c r="E59" i="31" s="1"/>
  <c r="E7" i="2"/>
  <c r="E7" i="31" s="1"/>
  <c r="E50" i="2"/>
  <c r="E50" i="31" s="1"/>
  <c r="B14" i="2"/>
  <c r="B14" i="31" s="1"/>
  <c r="E71" i="2"/>
  <c r="E71" i="31" s="1"/>
  <c r="B58" i="2"/>
  <c r="B58" i="31" s="1"/>
  <c r="B59" i="2"/>
  <c r="B59" i="31" s="1"/>
  <c r="B73" i="2"/>
  <c r="B73" i="31" s="1"/>
  <c r="B55" i="2"/>
  <c r="B55" i="31" s="1"/>
  <c r="B39" i="2"/>
  <c r="B39" i="31" s="1"/>
  <c r="B72" i="2"/>
  <c r="B72" i="31" s="1"/>
  <c r="B66" i="2"/>
  <c r="B66" i="31" s="1"/>
  <c r="B74" i="2"/>
  <c r="B74" i="31" s="1"/>
  <c r="E8" i="2"/>
  <c r="E8" i="31" s="1"/>
  <c r="B57" i="2"/>
  <c r="B57" i="31" s="1"/>
  <c r="B64" i="2"/>
  <c r="B64" i="31" s="1"/>
  <c r="E61" i="2"/>
  <c r="E61" i="31" s="1"/>
  <c r="E14" i="2"/>
  <c r="E14" i="31" s="1"/>
  <c r="E72" i="2"/>
  <c r="E72" i="31" s="1"/>
  <c r="B40" i="2"/>
  <c r="B40" i="31" s="1"/>
  <c r="E25" i="2"/>
  <c r="E25" i="31" s="1"/>
  <c r="B61" i="2"/>
  <c r="B61" i="31" s="1"/>
  <c r="E23" i="2"/>
  <c r="E23" i="31" s="1"/>
  <c r="E28" i="2"/>
  <c r="E28" i="31" s="1"/>
  <c r="E6" i="2"/>
  <c r="E6" i="31" s="1"/>
  <c r="B19" i="2"/>
  <c r="B19" i="31" s="1"/>
  <c r="B29" i="2"/>
  <c r="B29" i="31" s="1"/>
  <c r="E67" i="2"/>
  <c r="E67" i="31" s="1"/>
  <c r="E5" i="2"/>
  <c r="E5" i="31" s="1"/>
  <c r="E22" i="2"/>
  <c r="E22" i="31" s="1"/>
  <c r="E46" i="2"/>
  <c r="E46" i="31" s="1"/>
  <c r="E70" i="2"/>
  <c r="E70" i="31" s="1"/>
  <c r="E12" i="2"/>
  <c r="E12" i="31" s="1"/>
  <c r="E34" i="2"/>
  <c r="E34" i="31" s="1"/>
  <c r="E26" i="2"/>
  <c r="E26" i="31" s="1"/>
  <c r="E29" i="2"/>
  <c r="E29" i="31" s="1"/>
  <c r="B43" i="2"/>
  <c r="B43" i="31" s="1"/>
  <c r="E42" i="2"/>
  <c r="E42" i="31" s="1"/>
  <c r="B42" i="2"/>
  <c r="B42" i="31" s="1"/>
  <c r="E48" i="2"/>
  <c r="E48" i="31" s="1"/>
  <c r="B9" i="2"/>
  <c r="B9" i="31" s="1"/>
  <c r="B22" i="2"/>
  <c r="B22" i="31" s="1"/>
  <c r="E24" i="2"/>
  <c r="E24" i="31" s="1"/>
  <c r="E21" i="2"/>
  <c r="E21" i="31" s="1"/>
  <c r="B33" i="2"/>
  <c r="B33" i="31" s="1"/>
  <c r="B18" i="2"/>
  <c r="B18" i="31" s="1"/>
  <c r="B6" i="2"/>
  <c r="B6" i="31" s="1"/>
  <c r="E27" i="2"/>
  <c r="E27" i="31" s="1"/>
  <c r="B30" i="2"/>
  <c r="B30" i="31" s="1"/>
  <c r="E32" i="2"/>
  <c r="E32" i="31" s="1"/>
  <c r="B4" i="2"/>
  <c r="B4" i="31" s="1"/>
  <c r="E58" i="2"/>
  <c r="E58" i="31" s="1"/>
  <c r="B38" i="2"/>
  <c r="B38" i="31" s="1"/>
  <c r="B7" i="2"/>
  <c r="B7" i="31" s="1"/>
  <c r="E54" i="2"/>
  <c r="E54" i="31" s="1"/>
  <c r="B8" i="2"/>
  <c r="B8" i="31" s="1"/>
  <c r="B63" i="2"/>
  <c r="B63" i="31" s="1"/>
  <c r="B13" i="2"/>
  <c r="B13" i="31" s="1"/>
  <c r="B5" i="2"/>
  <c r="B5" i="31" s="1"/>
  <c r="B28" i="2"/>
  <c r="B28" i="31" s="1"/>
  <c r="E56" i="2"/>
  <c r="E56" i="31" s="1"/>
  <c r="B44" i="2"/>
  <c r="B44" i="31" s="1"/>
  <c r="B21" i="2"/>
  <c r="B21" i="31" s="1"/>
  <c r="E43" i="2"/>
  <c r="E43" i="31" s="1"/>
  <c r="B24" i="2"/>
  <c r="B24" i="31" s="1"/>
  <c r="E47" i="2"/>
  <c r="E47" i="31" s="1"/>
  <c r="B31" i="2"/>
  <c r="B31" i="31" s="1"/>
  <c r="B51" i="2"/>
  <c r="B51" i="31" s="1"/>
  <c r="B65" i="2"/>
  <c r="B65" i="31" s="1"/>
  <c r="E9" i="2"/>
  <c r="E9" i="31" s="1"/>
  <c r="B48" i="2"/>
  <c r="B48" i="31" s="1"/>
  <c r="B20" i="2"/>
  <c r="B20" i="31" s="1"/>
  <c r="E11" i="2"/>
  <c r="E11" i="31" s="1"/>
  <c r="B34" i="2"/>
  <c r="B34" i="31" s="1"/>
  <c r="B56" i="2"/>
  <c r="B56" i="31" s="1"/>
  <c r="E49" i="2"/>
  <c r="E49" i="31" s="1"/>
  <c r="E4" i="2"/>
  <c r="E4" i="31" s="1"/>
  <c r="E64" i="2"/>
  <c r="E64" i="31" s="1"/>
  <c r="B16" i="2"/>
  <c r="B16" i="31" s="1"/>
  <c r="B27" i="2"/>
  <c r="B27" i="31" s="1"/>
  <c r="E19" i="2"/>
  <c r="E19" i="31" s="1"/>
  <c r="E20" i="2"/>
  <c r="E20" i="31" s="1"/>
  <c r="E74" i="2"/>
  <c r="E74" i="31" s="1"/>
  <c r="M10" i="34"/>
  <c r="B9" i="1"/>
  <c r="M11" i="34"/>
  <c r="B10" i="1"/>
  <c r="I32" i="49"/>
  <c r="J32" i="49" s="1"/>
  <c r="I30" i="49"/>
  <c r="J30" i="49" s="1"/>
  <c r="I33" i="49"/>
  <c r="J33" i="49" s="1"/>
  <c r="I31" i="49"/>
  <c r="J31" i="49" s="1"/>
  <c r="I33" i="48"/>
  <c r="J33" i="48" s="1"/>
  <c r="I31" i="48"/>
  <c r="J31" i="48" s="1"/>
  <c r="I32" i="48"/>
  <c r="J32" i="48" s="1"/>
  <c r="I30" i="48"/>
  <c r="J30" i="48" s="1"/>
  <c r="I33" i="47"/>
  <c r="J33" i="47" s="1"/>
  <c r="I32" i="47"/>
  <c r="J32" i="47" s="1"/>
  <c r="I31" i="47"/>
  <c r="J31" i="47" s="1"/>
  <c r="I30" i="47"/>
  <c r="J30" i="47" s="1"/>
  <c r="I33" i="46"/>
  <c r="J33" i="46" s="1"/>
  <c r="I31" i="46"/>
  <c r="J31" i="46" s="1"/>
  <c r="I32" i="46"/>
  <c r="J32" i="46" s="1"/>
  <c r="I30" i="46"/>
  <c r="J30" i="46" s="1"/>
  <c r="I32" i="45"/>
  <c r="J32" i="45" s="1"/>
  <c r="I33" i="45"/>
  <c r="J33" i="45" s="1"/>
  <c r="I31" i="45"/>
  <c r="J31" i="45" s="1"/>
  <c r="I30" i="45"/>
  <c r="J30" i="45" s="1"/>
  <c r="I32" i="44"/>
  <c r="J32" i="44" s="1"/>
  <c r="I31" i="44"/>
  <c r="J31" i="44" s="1"/>
  <c r="I33" i="44"/>
  <c r="J33" i="44" s="1"/>
  <c r="I30" i="44"/>
  <c r="J30" i="44" s="1"/>
  <c r="I32" i="43"/>
  <c r="J32" i="43" s="1"/>
  <c r="I33" i="43"/>
  <c r="J33" i="43" s="1"/>
  <c r="I31" i="43"/>
  <c r="J31" i="43" s="1"/>
  <c r="I30" i="43"/>
  <c r="J30" i="43" s="1"/>
  <c r="I32" i="42"/>
  <c r="J32" i="42" s="1"/>
  <c r="I33" i="42"/>
  <c r="J33" i="42" s="1"/>
  <c r="I31" i="42"/>
  <c r="J31" i="42" s="1"/>
  <c r="I30" i="42"/>
  <c r="J30" i="42" s="1"/>
  <c r="I32" i="41"/>
  <c r="J32" i="41" s="1"/>
  <c r="I33" i="41"/>
  <c r="J33" i="41" s="1"/>
  <c r="I31" i="41"/>
  <c r="J31" i="41" s="1"/>
  <c r="I30" i="41"/>
  <c r="J30" i="41" s="1"/>
  <c r="I31" i="40"/>
  <c r="J31" i="40" s="1"/>
  <c r="I32" i="40"/>
  <c r="J32" i="40" s="1"/>
  <c r="I33" i="40"/>
  <c r="J33" i="40" s="1"/>
  <c r="I30" i="40"/>
  <c r="J30" i="40" s="1"/>
  <c r="I32" i="39"/>
  <c r="J32" i="39" s="1"/>
  <c r="I33" i="39"/>
  <c r="J33" i="39" s="1"/>
  <c r="I31" i="39"/>
  <c r="J31" i="39" s="1"/>
  <c r="I30" i="39"/>
  <c r="J30" i="39" s="1"/>
  <c r="I30" i="37"/>
  <c r="I32" i="37"/>
  <c r="J32" i="37" s="1"/>
  <c r="I33" i="37"/>
  <c r="J33" i="37" s="1"/>
  <c r="I31" i="37"/>
  <c r="J31" i="37" s="1"/>
  <c r="E3" i="2"/>
  <c r="E3" i="31" s="1"/>
  <c r="B3" i="2"/>
  <c r="B3" i="31" s="1"/>
  <c r="M3" i="34"/>
  <c r="N20" i="34" l="1"/>
  <c r="AA12" i="34"/>
  <c r="AB12" i="34" s="1"/>
  <c r="W12" i="34"/>
  <c r="X12" i="34" s="1"/>
  <c r="AA19" i="34"/>
  <c r="AB19" i="34" s="1"/>
  <c r="W19" i="34"/>
  <c r="X19" i="34" s="1"/>
  <c r="AA3" i="34"/>
  <c r="AB3" i="34" s="1"/>
  <c r="W3" i="34"/>
  <c r="X3" i="34" s="1"/>
  <c r="AA18" i="34"/>
  <c r="AB18" i="34" s="1"/>
  <c r="W18" i="34"/>
  <c r="X18" i="34" s="1"/>
  <c r="W9" i="34"/>
  <c r="X9" i="34" s="1"/>
  <c r="AA9" i="34"/>
  <c r="AB9" i="34" s="1"/>
  <c r="W16" i="34"/>
  <c r="X16" i="34" s="1"/>
  <c r="AA16" i="34"/>
  <c r="AB16" i="34" s="1"/>
  <c r="AA10" i="34"/>
  <c r="AB10" i="34" s="1"/>
  <c r="W10" i="34"/>
  <c r="X10" i="34" s="1"/>
  <c r="W8" i="34"/>
  <c r="X8" i="34" s="1"/>
  <c r="AA8" i="34"/>
  <c r="AB8" i="34" s="1"/>
  <c r="AA14" i="34"/>
  <c r="AB14" i="34" s="1"/>
  <c r="W14" i="34"/>
  <c r="X14" i="34" s="1"/>
  <c r="W7" i="34"/>
  <c r="X7" i="34" s="1"/>
  <c r="AA7" i="34"/>
  <c r="AB7" i="34" s="1"/>
  <c r="W15" i="34"/>
  <c r="X15" i="34" s="1"/>
  <c r="AA15" i="34"/>
  <c r="AB15" i="34" s="1"/>
  <c r="W6" i="34"/>
  <c r="X6" i="34" s="1"/>
  <c r="AA6" i="34"/>
  <c r="AB6" i="34" s="1"/>
  <c r="AA13" i="34"/>
  <c r="AB13" i="34" s="1"/>
  <c r="W13" i="34"/>
  <c r="X13" i="34" s="1"/>
  <c r="W5" i="34"/>
  <c r="X5" i="34" s="1"/>
  <c r="AA5" i="34"/>
  <c r="AB5" i="34" s="1"/>
  <c r="AA11" i="34"/>
  <c r="AB11" i="34" s="1"/>
  <c r="W11" i="34"/>
  <c r="X11" i="34" s="1"/>
  <c r="AA4" i="34"/>
  <c r="AB4" i="34" s="1"/>
  <c r="W4" i="34"/>
  <c r="X4" i="34" s="1"/>
  <c r="W17" i="34"/>
  <c r="X17" i="34" s="1"/>
  <c r="AA17" i="34"/>
  <c r="AB17" i="34" s="1"/>
  <c r="Q14" i="34"/>
  <c r="Q9" i="34"/>
  <c r="Q8" i="34"/>
  <c r="Q15" i="34"/>
  <c r="Q16" i="34"/>
  <c r="Q6" i="34"/>
  <c r="Q13" i="34"/>
  <c r="Q18" i="34"/>
  <c r="Q3" i="34"/>
  <c r="Q7" i="34"/>
  <c r="Q5" i="34"/>
  <c r="Q12" i="34"/>
  <c r="Q11" i="34"/>
  <c r="Q4" i="34"/>
  <c r="Q19" i="34"/>
  <c r="Q10" i="34"/>
  <c r="Q17" i="34"/>
  <c r="K30" i="48"/>
  <c r="A30" i="48" s="1"/>
  <c r="K30" i="47"/>
  <c r="A30" i="47" s="1"/>
  <c r="K30" i="45"/>
  <c r="A30" i="45" s="1"/>
  <c r="K30" i="46"/>
  <c r="A30" i="46" s="1"/>
  <c r="K31" i="49"/>
  <c r="A31" i="49" s="1"/>
  <c r="K31" i="48"/>
  <c r="A31" i="48" s="1"/>
  <c r="K33" i="49"/>
  <c r="A33" i="49" s="1"/>
  <c r="K30" i="49"/>
  <c r="A30" i="49" s="1"/>
  <c r="K32" i="49"/>
  <c r="A32" i="49" s="1"/>
  <c r="K31" i="47"/>
  <c r="A31" i="47" s="1"/>
  <c r="K32" i="48"/>
  <c r="A32" i="48" s="1"/>
  <c r="K33" i="48"/>
  <c r="A33" i="48" s="1"/>
  <c r="K31" i="43"/>
  <c r="A31" i="43" s="1"/>
  <c r="K33" i="44"/>
  <c r="A33" i="44" s="1"/>
  <c r="K32" i="47"/>
  <c r="A32" i="47" s="1"/>
  <c r="K33" i="47"/>
  <c r="A33" i="47" s="1"/>
  <c r="K31" i="42"/>
  <c r="A31" i="42" s="1"/>
  <c r="K30" i="44"/>
  <c r="A30" i="44" s="1"/>
  <c r="K32" i="46"/>
  <c r="A32" i="46" s="1"/>
  <c r="K31" i="46"/>
  <c r="A31" i="46" s="1"/>
  <c r="K33" i="46"/>
  <c r="A33" i="46" s="1"/>
  <c r="K30" i="41"/>
  <c r="A30" i="41" s="1"/>
  <c r="K30" i="43"/>
  <c r="A30" i="43" s="1"/>
  <c r="K31" i="45"/>
  <c r="A31" i="45" s="1"/>
  <c r="K33" i="45"/>
  <c r="A33" i="45" s="1"/>
  <c r="K32" i="45"/>
  <c r="A32" i="45" s="1"/>
  <c r="K30" i="42"/>
  <c r="A30" i="42" s="1"/>
  <c r="K33" i="43"/>
  <c r="A33" i="43" s="1"/>
  <c r="K31" i="44"/>
  <c r="A31" i="44" s="1"/>
  <c r="K32" i="44"/>
  <c r="A32" i="44" s="1"/>
  <c r="K30" i="40"/>
  <c r="A30" i="40" s="1"/>
  <c r="K33" i="41"/>
  <c r="A33" i="41" s="1"/>
  <c r="K32" i="43"/>
  <c r="A32" i="43" s="1"/>
  <c r="K31" i="41"/>
  <c r="A31" i="41" s="1"/>
  <c r="K33" i="42"/>
  <c r="A33" i="42" s="1"/>
  <c r="K32" i="42"/>
  <c r="A32" i="42" s="1"/>
  <c r="K31" i="39"/>
  <c r="A31" i="39" s="1"/>
  <c r="K33" i="39"/>
  <c r="A33" i="39" s="1"/>
  <c r="K33" i="40"/>
  <c r="A33" i="40" s="1"/>
  <c r="K32" i="41"/>
  <c r="A32" i="41" s="1"/>
  <c r="K32" i="40"/>
  <c r="A32" i="40" s="1"/>
  <c r="K31" i="40"/>
  <c r="A31" i="40" s="1"/>
  <c r="K30" i="39"/>
  <c r="A30" i="39" s="1"/>
  <c r="K32" i="39"/>
  <c r="A32" i="39" s="1"/>
  <c r="J30" i="37"/>
  <c r="C50" i="1"/>
  <c r="E54" i="24"/>
  <c r="N13" i="34" l="1"/>
  <c r="N5" i="34"/>
  <c r="N6" i="34"/>
  <c r="N16" i="34"/>
  <c r="N15" i="34"/>
  <c r="N8" i="34"/>
  <c r="N9" i="34"/>
  <c r="N14" i="34"/>
  <c r="N18" i="34"/>
  <c r="N17" i="34"/>
  <c r="N3" i="34"/>
  <c r="N19" i="34"/>
  <c r="N7" i="34"/>
  <c r="N4" i="34"/>
  <c r="N10" i="34"/>
  <c r="N11" i="34"/>
  <c r="N12" i="34"/>
  <c r="X51" i="34"/>
  <c r="AB51" i="34"/>
  <c r="B48" i="48"/>
  <c r="B46" i="45"/>
  <c r="B47" i="48"/>
  <c r="B48" i="47"/>
  <c r="B46" i="44"/>
  <c r="B46" i="41"/>
  <c r="B46" i="46"/>
  <c r="B48" i="41"/>
  <c r="B46" i="47"/>
  <c r="B47" i="43"/>
  <c r="B46" i="40"/>
  <c r="B46" i="48"/>
  <c r="B47" i="47"/>
  <c r="B47" i="49"/>
  <c r="B45" i="49"/>
  <c r="B48" i="49"/>
  <c r="B46" i="49"/>
  <c r="B45" i="48"/>
  <c r="B48" i="43"/>
  <c r="B47" i="46"/>
  <c r="B46" i="43"/>
  <c r="B45" i="47"/>
  <c r="B48" i="42"/>
  <c r="B47" i="45"/>
  <c r="B48" i="46"/>
  <c r="B45" i="46"/>
  <c r="B47" i="44"/>
  <c r="B48" i="45"/>
  <c r="B47" i="42"/>
  <c r="B45" i="45"/>
  <c r="B46" i="42"/>
  <c r="B48" i="44"/>
  <c r="B47" i="41"/>
  <c r="B45" i="44"/>
  <c r="B45" i="43"/>
  <c r="B47" i="40"/>
  <c r="B45" i="42"/>
  <c r="B45" i="41"/>
  <c r="B48" i="40"/>
  <c r="B45" i="40"/>
  <c r="B47" i="39"/>
  <c r="B45" i="39"/>
  <c r="B48" i="39"/>
  <c r="B46" i="39"/>
  <c r="K33" i="37"/>
  <c r="A33" i="37" s="1"/>
  <c r="K31" i="37"/>
  <c r="A31" i="37" s="1"/>
  <c r="K30" i="37"/>
  <c r="A30" i="37" s="1"/>
  <c r="K32" i="37"/>
  <c r="A32" i="37" s="1"/>
  <c r="D54" i="24"/>
  <c r="D50" i="1"/>
  <c r="S68" i="26" l="1"/>
  <c r="S75" i="26"/>
  <c r="S87" i="26"/>
  <c r="S90" i="26"/>
  <c r="S52" i="26"/>
  <c r="S61" i="26"/>
  <c r="S89" i="26"/>
  <c r="I46" i="44"/>
  <c r="S81" i="26"/>
  <c r="E46" i="45"/>
  <c r="S76" i="26"/>
  <c r="S66" i="26"/>
  <c r="S83" i="26"/>
  <c r="S80" i="26"/>
  <c r="S73" i="26"/>
  <c r="S59" i="26"/>
  <c r="E46" i="44"/>
  <c r="D46" i="44"/>
  <c r="H46" i="44"/>
  <c r="D46" i="45"/>
  <c r="I46" i="45"/>
  <c r="K46" i="45"/>
  <c r="C46" i="45"/>
  <c r="K48" i="43"/>
  <c r="S55" i="26"/>
  <c r="K46" i="42"/>
  <c r="S60" i="26"/>
  <c r="D46" i="40"/>
  <c r="S74" i="26"/>
  <c r="C13" i="50"/>
  <c r="M13" i="50" s="1"/>
  <c r="S82" i="26"/>
  <c r="C9" i="50"/>
  <c r="M9" i="50" s="1"/>
  <c r="S54" i="26"/>
  <c r="K48" i="41"/>
  <c r="S69" i="26"/>
  <c r="J46" i="41"/>
  <c r="S67" i="26"/>
  <c r="G46" i="44"/>
  <c r="S88" i="26"/>
  <c r="E48" i="42"/>
  <c r="S62" i="26"/>
  <c r="D46" i="43"/>
  <c r="S53" i="26"/>
  <c r="S17" i="26"/>
  <c r="S25" i="26"/>
  <c r="S27" i="26"/>
  <c r="S45" i="26"/>
  <c r="S24" i="26"/>
  <c r="S48" i="26"/>
  <c r="H47" i="47"/>
  <c r="S18" i="26"/>
  <c r="S32" i="26"/>
  <c r="J46" i="46"/>
  <c r="S39" i="26"/>
  <c r="S38" i="26"/>
  <c r="S41" i="26"/>
  <c r="S40" i="26"/>
  <c r="S47" i="26"/>
  <c r="S34" i="26"/>
  <c r="S19" i="26"/>
  <c r="S31" i="26"/>
  <c r="J46" i="45"/>
  <c r="S46" i="26"/>
  <c r="S20" i="26"/>
  <c r="C48" i="47"/>
  <c r="J46" i="44"/>
  <c r="K46" i="44"/>
  <c r="C46" i="44"/>
  <c r="M44" i="44"/>
  <c r="M45" i="44" s="1"/>
  <c r="F46" i="44"/>
  <c r="J48" i="48"/>
  <c r="D48" i="47"/>
  <c r="N44" i="48"/>
  <c r="N48" i="48" s="1"/>
  <c r="K48" i="48"/>
  <c r="O44" i="47"/>
  <c r="O46" i="47" s="1"/>
  <c r="E48" i="47"/>
  <c r="F48" i="47"/>
  <c r="G48" i="47"/>
  <c r="H48" i="47"/>
  <c r="I48" i="47"/>
  <c r="J48" i="47"/>
  <c r="M44" i="45"/>
  <c r="M45" i="45" s="1"/>
  <c r="F46" i="45"/>
  <c r="G46" i="45"/>
  <c r="H46" i="45"/>
  <c r="C46" i="41"/>
  <c r="K48" i="47"/>
  <c r="E46" i="40"/>
  <c r="M44" i="40"/>
  <c r="M48" i="40" s="1"/>
  <c r="H46" i="40"/>
  <c r="E47" i="48"/>
  <c r="M44" i="41"/>
  <c r="M47" i="41" s="1"/>
  <c r="K46" i="41"/>
  <c r="O44" i="48"/>
  <c r="O47" i="48" s="1"/>
  <c r="C48" i="48"/>
  <c r="D48" i="48"/>
  <c r="E48" i="48"/>
  <c r="F48" i="48"/>
  <c r="G48" i="48"/>
  <c r="H48" i="48"/>
  <c r="I48" i="48"/>
  <c r="D46" i="41"/>
  <c r="G46" i="41"/>
  <c r="H46" i="41"/>
  <c r="I46" i="41"/>
  <c r="E46" i="41"/>
  <c r="F46" i="41"/>
  <c r="N44" i="43"/>
  <c r="N46" i="43" s="1"/>
  <c r="D47" i="43"/>
  <c r="C47" i="43"/>
  <c r="E47" i="43"/>
  <c r="H47" i="43"/>
  <c r="I47" i="43"/>
  <c r="J47" i="43"/>
  <c r="F47" i="48"/>
  <c r="G47" i="48"/>
  <c r="K47" i="43"/>
  <c r="H47" i="48"/>
  <c r="F47" i="43"/>
  <c r="I47" i="48"/>
  <c r="G47" i="43"/>
  <c r="J47" i="48"/>
  <c r="K47" i="48"/>
  <c r="C47" i="48"/>
  <c r="D47" i="48"/>
  <c r="D46" i="47"/>
  <c r="C46" i="47"/>
  <c r="E46" i="47"/>
  <c r="M44" i="47"/>
  <c r="M48" i="47" s="1"/>
  <c r="C4" i="50"/>
  <c r="M4" i="50" s="1"/>
  <c r="F46" i="40"/>
  <c r="G46" i="40"/>
  <c r="I46" i="40"/>
  <c r="J46" i="40"/>
  <c r="K46" i="40"/>
  <c r="C46" i="40"/>
  <c r="F46" i="47"/>
  <c r="G46" i="47"/>
  <c r="C46" i="46"/>
  <c r="D46" i="46"/>
  <c r="E46" i="46"/>
  <c r="M44" i="46"/>
  <c r="M48" i="46" s="1"/>
  <c r="F46" i="46"/>
  <c r="H46" i="46"/>
  <c r="I46" i="46"/>
  <c r="G46" i="46"/>
  <c r="K46" i="46"/>
  <c r="I46" i="47"/>
  <c r="J46" i="47"/>
  <c r="H46" i="47"/>
  <c r="K47" i="47"/>
  <c r="K46" i="47"/>
  <c r="C48" i="41"/>
  <c r="D48" i="41"/>
  <c r="O44" i="41"/>
  <c r="O46" i="41" s="1"/>
  <c r="E48" i="41"/>
  <c r="G48" i="41"/>
  <c r="H48" i="41"/>
  <c r="I48" i="41"/>
  <c r="F48" i="41"/>
  <c r="J48" i="41"/>
  <c r="I47" i="47"/>
  <c r="J47" i="47"/>
  <c r="G47" i="42"/>
  <c r="C10" i="50"/>
  <c r="C46" i="48"/>
  <c r="E46" i="48"/>
  <c r="H46" i="48"/>
  <c r="G47" i="45"/>
  <c r="C8" i="50"/>
  <c r="G47" i="41"/>
  <c r="C11" i="50"/>
  <c r="S26" i="26"/>
  <c r="C5" i="50"/>
  <c r="D47" i="47"/>
  <c r="S33" i="26"/>
  <c r="C6" i="50"/>
  <c r="G47" i="46"/>
  <c r="C7" i="50"/>
  <c r="J47" i="44"/>
  <c r="C14" i="50"/>
  <c r="D47" i="40"/>
  <c r="C12" i="50"/>
  <c r="N44" i="47"/>
  <c r="N46" i="47" s="1"/>
  <c r="C47" i="47"/>
  <c r="E47" i="47"/>
  <c r="F47" i="47"/>
  <c r="G47" i="47"/>
  <c r="F46" i="48"/>
  <c r="G46" i="48"/>
  <c r="I46" i="48"/>
  <c r="J46" i="48"/>
  <c r="K46" i="48"/>
  <c r="H47" i="44"/>
  <c r="M44" i="48"/>
  <c r="M47" i="48" s="1"/>
  <c r="D46" i="48"/>
  <c r="G48" i="42"/>
  <c r="I48" i="42"/>
  <c r="J48" i="42"/>
  <c r="C48" i="42"/>
  <c r="H48" i="42"/>
  <c r="F48" i="42"/>
  <c r="C46" i="43"/>
  <c r="M44" i="43"/>
  <c r="M48" i="43" s="1"/>
  <c r="F46" i="43"/>
  <c r="G46" i="43"/>
  <c r="E46" i="43"/>
  <c r="H46" i="43"/>
  <c r="K46" i="43"/>
  <c r="N44" i="46"/>
  <c r="N46" i="46" s="1"/>
  <c r="K48" i="42"/>
  <c r="I46" i="43"/>
  <c r="J46" i="43"/>
  <c r="O44" i="43"/>
  <c r="O47" i="43" s="1"/>
  <c r="C48" i="43"/>
  <c r="D48" i="43"/>
  <c r="E48" i="43"/>
  <c r="F48" i="43"/>
  <c r="D46" i="49"/>
  <c r="K46" i="49"/>
  <c r="J46" i="49"/>
  <c r="I46" i="49"/>
  <c r="H46" i="49"/>
  <c r="G46" i="49"/>
  <c r="F46" i="49"/>
  <c r="M44" i="49"/>
  <c r="M47" i="49" s="1"/>
  <c r="E46" i="49"/>
  <c r="C46" i="49"/>
  <c r="G48" i="43"/>
  <c r="H48" i="43"/>
  <c r="I48" i="43"/>
  <c r="J48" i="43"/>
  <c r="K48" i="49"/>
  <c r="J48" i="49"/>
  <c r="I48" i="49"/>
  <c r="H48" i="49"/>
  <c r="G48" i="49"/>
  <c r="F48" i="49"/>
  <c r="E48" i="49"/>
  <c r="D48" i="49"/>
  <c r="C48" i="49"/>
  <c r="O44" i="49"/>
  <c r="O46" i="49" s="1"/>
  <c r="O44" i="42"/>
  <c r="O47" i="42" s="1"/>
  <c r="K45" i="49"/>
  <c r="J45" i="49"/>
  <c r="I45" i="49"/>
  <c r="H45" i="49"/>
  <c r="G45" i="49"/>
  <c r="F45" i="49"/>
  <c r="E45" i="49"/>
  <c r="D45" i="49"/>
  <c r="C45" i="49"/>
  <c r="L44" i="49"/>
  <c r="L47" i="49" s="1"/>
  <c r="G47" i="49"/>
  <c r="F47" i="49"/>
  <c r="E47" i="49"/>
  <c r="D47" i="49"/>
  <c r="C47" i="49"/>
  <c r="K47" i="49"/>
  <c r="N44" i="49"/>
  <c r="N45" i="49" s="1"/>
  <c r="J47" i="49"/>
  <c r="I47" i="49"/>
  <c r="H47" i="49"/>
  <c r="D48" i="42"/>
  <c r="G46" i="42"/>
  <c r="J46" i="42"/>
  <c r="H47" i="42"/>
  <c r="H47" i="46"/>
  <c r="I47" i="46"/>
  <c r="J47" i="46"/>
  <c r="I47" i="44"/>
  <c r="K47" i="46"/>
  <c r="K45" i="48"/>
  <c r="J45" i="48"/>
  <c r="I45" i="48"/>
  <c r="H45" i="48"/>
  <c r="G45" i="48"/>
  <c r="F45" i="48"/>
  <c r="E45" i="48"/>
  <c r="D45" i="48"/>
  <c r="C45" i="48"/>
  <c r="L44" i="48"/>
  <c r="K47" i="44"/>
  <c r="N44" i="44"/>
  <c r="N46" i="44" s="1"/>
  <c r="C47" i="46"/>
  <c r="C47" i="45"/>
  <c r="C47" i="44"/>
  <c r="D47" i="46"/>
  <c r="D47" i="44"/>
  <c r="E47" i="46"/>
  <c r="E47" i="44"/>
  <c r="K47" i="45"/>
  <c r="N44" i="45"/>
  <c r="N46" i="45" s="1"/>
  <c r="F47" i="44"/>
  <c r="F47" i="45"/>
  <c r="G47" i="44"/>
  <c r="F46" i="42"/>
  <c r="F47" i="46"/>
  <c r="K45" i="47"/>
  <c r="J45" i="47"/>
  <c r="I45" i="47"/>
  <c r="H45" i="47"/>
  <c r="G45" i="47"/>
  <c r="F45" i="47"/>
  <c r="E45" i="47"/>
  <c r="D45" i="47"/>
  <c r="C45" i="47"/>
  <c r="L44" i="47"/>
  <c r="E46" i="42"/>
  <c r="H47" i="45"/>
  <c r="M44" i="42"/>
  <c r="M48" i="42" s="1"/>
  <c r="I47" i="45"/>
  <c r="J47" i="45"/>
  <c r="K47" i="40"/>
  <c r="K47" i="42"/>
  <c r="D47" i="45"/>
  <c r="E47" i="45"/>
  <c r="E47" i="42"/>
  <c r="F47" i="42"/>
  <c r="K45" i="46"/>
  <c r="J45" i="46"/>
  <c r="I45" i="46"/>
  <c r="H45" i="46"/>
  <c r="G45" i="46"/>
  <c r="F45" i="46"/>
  <c r="E45" i="46"/>
  <c r="D45" i="46"/>
  <c r="C45" i="46"/>
  <c r="L44" i="46"/>
  <c r="L48" i="46" s="1"/>
  <c r="K48" i="46"/>
  <c r="J48" i="46"/>
  <c r="I48" i="46"/>
  <c r="H48" i="46"/>
  <c r="G48" i="46"/>
  <c r="F48" i="46"/>
  <c r="E48" i="46"/>
  <c r="D48" i="46"/>
  <c r="C48" i="46"/>
  <c r="O44" i="46"/>
  <c r="G47" i="40"/>
  <c r="C46" i="42"/>
  <c r="D46" i="42"/>
  <c r="I47" i="42"/>
  <c r="J47" i="42"/>
  <c r="N44" i="42"/>
  <c r="N45" i="42" s="1"/>
  <c r="C47" i="42"/>
  <c r="D47" i="42"/>
  <c r="K45" i="45"/>
  <c r="J45" i="45"/>
  <c r="I45" i="45"/>
  <c r="H45" i="45"/>
  <c r="G45" i="45"/>
  <c r="F45" i="45"/>
  <c r="E45" i="45"/>
  <c r="D45" i="45"/>
  <c r="C45" i="45"/>
  <c r="L44" i="45"/>
  <c r="K48" i="45"/>
  <c r="J48" i="45"/>
  <c r="I48" i="45"/>
  <c r="H48" i="45"/>
  <c r="G48" i="45"/>
  <c r="F48" i="45"/>
  <c r="E48" i="45"/>
  <c r="D48" i="45"/>
  <c r="C48" i="45"/>
  <c r="O44" i="45"/>
  <c r="O45" i="45" s="1"/>
  <c r="F47" i="40"/>
  <c r="H46" i="42"/>
  <c r="J47" i="41"/>
  <c r="I46" i="42"/>
  <c r="H47" i="41"/>
  <c r="I47" i="41"/>
  <c r="K45" i="44"/>
  <c r="J45" i="44"/>
  <c r="I45" i="44"/>
  <c r="H45" i="44"/>
  <c r="G45" i="44"/>
  <c r="F45" i="44"/>
  <c r="E45" i="44"/>
  <c r="D45" i="44"/>
  <c r="C45" i="44"/>
  <c r="L44" i="44"/>
  <c r="K47" i="41"/>
  <c r="K48" i="44"/>
  <c r="J48" i="44"/>
  <c r="I48" i="44"/>
  <c r="H48" i="44"/>
  <c r="G48" i="44"/>
  <c r="F48" i="44"/>
  <c r="E48" i="44"/>
  <c r="D48" i="44"/>
  <c r="C48" i="44"/>
  <c r="O44" i="44"/>
  <c r="O45" i="44" s="1"/>
  <c r="N44" i="41"/>
  <c r="N48" i="41" s="1"/>
  <c r="C47" i="41"/>
  <c r="D47" i="41"/>
  <c r="E47" i="41"/>
  <c r="F47" i="41"/>
  <c r="K45" i="43"/>
  <c r="J45" i="43"/>
  <c r="I45" i="43"/>
  <c r="H45" i="43"/>
  <c r="G45" i="43"/>
  <c r="F45" i="43"/>
  <c r="E45" i="43"/>
  <c r="D45" i="43"/>
  <c r="C45" i="43"/>
  <c r="L44" i="43"/>
  <c r="I47" i="40"/>
  <c r="J47" i="40"/>
  <c r="C47" i="40"/>
  <c r="E47" i="40"/>
  <c r="N44" i="40"/>
  <c r="N46" i="40" s="1"/>
  <c r="H47" i="40"/>
  <c r="K45" i="42"/>
  <c r="J45" i="42"/>
  <c r="I45" i="42"/>
  <c r="H45" i="42"/>
  <c r="G45" i="42"/>
  <c r="F45" i="42"/>
  <c r="E45" i="42"/>
  <c r="D45" i="42"/>
  <c r="C45" i="42"/>
  <c r="L44" i="42"/>
  <c r="K45" i="41"/>
  <c r="J45" i="41"/>
  <c r="I45" i="41"/>
  <c r="H45" i="41"/>
  <c r="G45" i="41"/>
  <c r="F45" i="41"/>
  <c r="E45" i="41"/>
  <c r="D45" i="41"/>
  <c r="C45" i="41"/>
  <c r="L44" i="41"/>
  <c r="K45" i="40"/>
  <c r="J45" i="40"/>
  <c r="I45" i="40"/>
  <c r="H45" i="40"/>
  <c r="G45" i="40"/>
  <c r="F45" i="40"/>
  <c r="E45" i="40"/>
  <c r="D45" i="40"/>
  <c r="C45" i="40"/>
  <c r="L44" i="40"/>
  <c r="L48" i="40" s="1"/>
  <c r="K48" i="40"/>
  <c r="J48" i="40"/>
  <c r="I48" i="40"/>
  <c r="H48" i="40"/>
  <c r="G48" i="40"/>
  <c r="F48" i="40"/>
  <c r="E48" i="40"/>
  <c r="D48" i="40"/>
  <c r="C48" i="40"/>
  <c r="O44" i="40"/>
  <c r="O45" i="40" s="1"/>
  <c r="K46" i="39"/>
  <c r="J46" i="39"/>
  <c r="I46" i="39"/>
  <c r="H46" i="39"/>
  <c r="G46" i="39"/>
  <c r="F46" i="39"/>
  <c r="M44" i="39"/>
  <c r="M45" i="39" s="1"/>
  <c r="E46" i="39"/>
  <c r="D46" i="39"/>
  <c r="C46" i="39"/>
  <c r="K48" i="39"/>
  <c r="J48" i="39"/>
  <c r="I48" i="39"/>
  <c r="H48" i="39"/>
  <c r="G48" i="39"/>
  <c r="F48" i="39"/>
  <c r="E48" i="39"/>
  <c r="D48" i="39"/>
  <c r="C48" i="39"/>
  <c r="O44" i="39"/>
  <c r="O46" i="39" s="1"/>
  <c r="K45" i="39"/>
  <c r="J45" i="39"/>
  <c r="I45" i="39"/>
  <c r="H45" i="39"/>
  <c r="G45" i="39"/>
  <c r="F45" i="39"/>
  <c r="E45" i="39"/>
  <c r="D45" i="39"/>
  <c r="C45" i="39"/>
  <c r="L44" i="39"/>
  <c r="L46" i="39" s="1"/>
  <c r="G47" i="39"/>
  <c r="F47" i="39"/>
  <c r="E47" i="39"/>
  <c r="D47" i="39"/>
  <c r="C47" i="39"/>
  <c r="H47" i="39"/>
  <c r="N44" i="39"/>
  <c r="N46" i="39" s="1"/>
  <c r="K47" i="39"/>
  <c r="J47" i="39"/>
  <c r="I47" i="39"/>
  <c r="B48" i="37"/>
  <c r="B45" i="37"/>
  <c r="B47" i="37"/>
  <c r="B46" i="37"/>
  <c r="C49" i="44" l="1"/>
  <c r="C49" i="40"/>
  <c r="I114" i="26" s="1"/>
  <c r="C49" i="43"/>
  <c r="C49" i="45"/>
  <c r="E93" i="26" s="1"/>
  <c r="C49" i="46"/>
  <c r="C49" i="42"/>
  <c r="C49" i="39"/>
  <c r="E126" i="26"/>
  <c r="E105" i="26"/>
  <c r="I117" i="26"/>
  <c r="C49" i="48"/>
  <c r="C49" i="41"/>
  <c r="C49" i="49"/>
  <c r="E108" i="26"/>
  <c r="I123" i="26"/>
  <c r="C49" i="47"/>
  <c r="V59" i="26"/>
  <c r="AA52" i="26"/>
  <c r="Z59" i="26"/>
  <c r="AG67" i="26"/>
  <c r="AC74" i="26"/>
  <c r="AE72" i="26" s="1"/>
  <c r="AA67" i="26"/>
  <c r="AH67" i="26" s="1"/>
  <c r="V69" i="26"/>
  <c r="V88" i="26"/>
  <c r="AG73" i="26"/>
  <c r="AA87" i="26"/>
  <c r="AH87" i="26" s="1"/>
  <c r="T76" i="26"/>
  <c r="T66" i="26"/>
  <c r="AF74" i="26"/>
  <c r="AG87" i="26"/>
  <c r="AC87" i="26"/>
  <c r="AD86" i="26" s="1"/>
  <c r="AC75" i="26"/>
  <c r="AF72" i="26" s="1"/>
  <c r="AG54" i="26"/>
  <c r="U69" i="26"/>
  <c r="AA74" i="26"/>
  <c r="AH74" i="26" s="1"/>
  <c r="U73" i="26"/>
  <c r="T60" i="26"/>
  <c r="Z81" i="26"/>
  <c r="AC80" i="26"/>
  <c r="AD79" i="26" s="1"/>
  <c r="T55" i="26"/>
  <c r="T83" i="26"/>
  <c r="AC82" i="26"/>
  <c r="AF79" i="26" s="1"/>
  <c r="U83" i="26"/>
  <c r="U76" i="26"/>
  <c r="U66" i="26"/>
  <c r="T90" i="26"/>
  <c r="AA53" i="26"/>
  <c r="T69" i="26"/>
  <c r="Z74" i="26"/>
  <c r="AC67" i="26"/>
  <c r="AE65" i="26" s="1"/>
  <c r="AC69" i="26"/>
  <c r="AG65" i="26" s="1"/>
  <c r="U80" i="26"/>
  <c r="AE80" i="26"/>
  <c r="W81" i="26"/>
  <c r="Z80" i="26"/>
  <c r="X87" i="26"/>
  <c r="AC59" i="26"/>
  <c r="AD58" i="26" s="1"/>
  <c r="U55" i="26"/>
  <c r="T74" i="26"/>
  <c r="AF69" i="26"/>
  <c r="AC61" i="26"/>
  <c r="AF58" i="26" s="1"/>
  <c r="AF81" i="26"/>
  <c r="V83" i="26"/>
  <c r="V76" i="26"/>
  <c r="V66" i="26"/>
  <c r="U90" i="26"/>
  <c r="AA55" i="26"/>
  <c r="Z53" i="26"/>
  <c r="X74" i="26"/>
  <c r="AE68" i="26"/>
  <c r="Z88" i="26"/>
  <c r="V90" i="26"/>
  <c r="Z60" i="26"/>
  <c r="AE62" i="26"/>
  <c r="Z55" i="26"/>
  <c r="AC62" i="26"/>
  <c r="AG58" i="26" s="1"/>
  <c r="W74" i="26"/>
  <c r="V46" i="26"/>
  <c r="W83" i="26"/>
  <c r="Y55" i="26"/>
  <c r="Y74" i="26"/>
  <c r="W88" i="26"/>
  <c r="V80" i="26"/>
  <c r="V73" i="26"/>
  <c r="W73" i="26"/>
  <c r="AC73" i="26"/>
  <c r="AD72" i="26" s="1"/>
  <c r="Z87" i="26"/>
  <c r="X76" i="26"/>
  <c r="W90" i="26"/>
  <c r="Y83" i="26"/>
  <c r="V60" i="26"/>
  <c r="X55" i="26"/>
  <c r="AC53" i="26"/>
  <c r="AE76" i="26"/>
  <c r="AE87" i="26"/>
  <c r="I6" i="50"/>
  <c r="AG81" i="26"/>
  <c r="W76" i="26"/>
  <c r="W66" i="26"/>
  <c r="X83" i="26"/>
  <c r="X66" i="26"/>
  <c r="Y76" i="26"/>
  <c r="Y66" i="26"/>
  <c r="X90" i="26"/>
  <c r="Y60" i="26"/>
  <c r="Z83" i="26"/>
  <c r="Z76" i="26"/>
  <c r="Z66" i="26"/>
  <c r="T52" i="26"/>
  <c r="Y90" i="26"/>
  <c r="Y53" i="26"/>
  <c r="AF53" i="26"/>
  <c r="V74" i="26"/>
  <c r="T88" i="26"/>
  <c r="AA76" i="26"/>
  <c r="AH76" i="26" s="1"/>
  <c r="AA66" i="26"/>
  <c r="AH66" i="26" s="1"/>
  <c r="U52" i="26"/>
  <c r="Z90" i="26"/>
  <c r="V53" i="26"/>
  <c r="W67" i="26"/>
  <c r="AC88" i="26"/>
  <c r="AE86" i="26" s="1"/>
  <c r="U74" i="26"/>
  <c r="V52" i="26"/>
  <c r="AA90" i="26"/>
  <c r="AH90" i="26" s="1"/>
  <c r="AA60" i="26"/>
  <c r="AH60" i="26" s="1"/>
  <c r="X53" i="26"/>
  <c r="V67" i="26"/>
  <c r="T67" i="26"/>
  <c r="AA88" i="26"/>
  <c r="AH88" i="26" s="1"/>
  <c r="AA83" i="26"/>
  <c r="AH83" i="26" s="1"/>
  <c r="T81" i="26"/>
  <c r="X60" i="26"/>
  <c r="W53" i="26"/>
  <c r="Z67" i="26"/>
  <c r="AC60" i="26"/>
  <c r="AE58" i="26" s="1"/>
  <c r="AC81" i="26"/>
  <c r="AE79" i="26" s="1"/>
  <c r="AC83" i="26"/>
  <c r="AG79" i="26" s="1"/>
  <c r="AC76" i="26"/>
  <c r="AG72" i="26" s="1"/>
  <c r="AC66" i="26"/>
  <c r="AD65" i="26" s="1"/>
  <c r="AD81" i="26"/>
  <c r="AD76" i="26"/>
  <c r="W52" i="26"/>
  <c r="AC90" i="26"/>
  <c r="AG86" i="26" s="1"/>
  <c r="AF59" i="26"/>
  <c r="T80" i="26"/>
  <c r="U81" i="26"/>
  <c r="T73" i="26"/>
  <c r="T59" i="26"/>
  <c r="X52" i="26"/>
  <c r="AC68" i="26"/>
  <c r="AF65" i="26" s="1"/>
  <c r="AF88" i="26"/>
  <c r="U62" i="26"/>
  <c r="AE55" i="26"/>
  <c r="Y67" i="26"/>
  <c r="U59" i="26"/>
  <c r="Y52" i="26"/>
  <c r="AC89" i="26"/>
  <c r="AF86" i="26" s="1"/>
  <c r="AG61" i="26"/>
  <c r="T53" i="26"/>
  <c r="X67" i="26"/>
  <c r="AC55" i="26"/>
  <c r="Z52" i="26"/>
  <c r="T87" i="26"/>
  <c r="U60" i="26"/>
  <c r="W62" i="26"/>
  <c r="U67" i="26"/>
  <c r="T46" i="26"/>
  <c r="V81" i="26"/>
  <c r="U53" i="26"/>
  <c r="AC46" i="26"/>
  <c r="AE44" i="26" s="1"/>
  <c r="AA69" i="26"/>
  <c r="AH69" i="26" s="1"/>
  <c r="X80" i="26"/>
  <c r="X81" i="26"/>
  <c r="X73" i="26"/>
  <c r="X59" i="26"/>
  <c r="AC52" i="26"/>
  <c r="V87" i="26"/>
  <c r="T62" i="26"/>
  <c r="W69" i="26"/>
  <c r="Z46" i="26"/>
  <c r="Y80" i="26"/>
  <c r="Y81" i="26"/>
  <c r="Y73" i="26"/>
  <c r="Y59" i="26"/>
  <c r="W87" i="26"/>
  <c r="AA62" i="26"/>
  <c r="AH62" i="26" s="1"/>
  <c r="Z69" i="26"/>
  <c r="V62" i="26"/>
  <c r="U46" i="26"/>
  <c r="W59" i="26"/>
  <c r="Z73" i="26"/>
  <c r="W55" i="26"/>
  <c r="Z62" i="26"/>
  <c r="Y88" i="26"/>
  <c r="W80" i="26"/>
  <c r="U87" i="26"/>
  <c r="Y62" i="26"/>
  <c r="Y69" i="26"/>
  <c r="AA80" i="26"/>
  <c r="AH80" i="26" s="1"/>
  <c r="AA81" i="26"/>
  <c r="AH81" i="26" s="1"/>
  <c r="AA73" i="26"/>
  <c r="AH73" i="26" s="1"/>
  <c r="AA59" i="26"/>
  <c r="AH59" i="26" s="1"/>
  <c r="Y87" i="26"/>
  <c r="W60" i="26"/>
  <c r="V55" i="26"/>
  <c r="X62" i="26"/>
  <c r="X69" i="26"/>
  <c r="AC54" i="26"/>
  <c r="X88" i="26"/>
  <c r="U88" i="26"/>
  <c r="M47" i="45"/>
  <c r="L13" i="50"/>
  <c r="M48" i="45"/>
  <c r="N45" i="48"/>
  <c r="N46" i="48"/>
  <c r="M48" i="44"/>
  <c r="M47" i="44"/>
  <c r="E10" i="50"/>
  <c r="U61" i="26"/>
  <c r="E14" i="50"/>
  <c r="U89" i="26"/>
  <c r="D10" i="50"/>
  <c r="T61" i="26"/>
  <c r="D14" i="50"/>
  <c r="T89" i="26"/>
  <c r="I10" i="50"/>
  <c r="Y61" i="26"/>
  <c r="K9" i="50"/>
  <c r="AA54" i="26"/>
  <c r="K10" i="50"/>
  <c r="AA61" i="26"/>
  <c r="AH61" i="26" s="1"/>
  <c r="J10" i="50"/>
  <c r="Z61" i="26"/>
  <c r="J9" i="50"/>
  <c r="Z54" i="26"/>
  <c r="I9" i="50"/>
  <c r="Y54" i="26"/>
  <c r="F11" i="50"/>
  <c r="V68" i="26"/>
  <c r="H11" i="50"/>
  <c r="X68" i="26"/>
  <c r="F9" i="50"/>
  <c r="V54" i="26"/>
  <c r="G11" i="50"/>
  <c r="W68" i="26"/>
  <c r="E11" i="50"/>
  <c r="U68" i="26"/>
  <c r="H12" i="50"/>
  <c r="X75" i="26"/>
  <c r="D9" i="50"/>
  <c r="T54" i="26"/>
  <c r="D11" i="50"/>
  <c r="T68" i="26"/>
  <c r="G10" i="50"/>
  <c r="W61" i="26"/>
  <c r="E9" i="50"/>
  <c r="U54" i="26"/>
  <c r="J13" i="50"/>
  <c r="Z82" i="26"/>
  <c r="F12" i="50"/>
  <c r="V75" i="26"/>
  <c r="I12" i="50"/>
  <c r="Y75" i="26"/>
  <c r="F10" i="50"/>
  <c r="V61" i="26"/>
  <c r="D12" i="50"/>
  <c r="T75" i="26"/>
  <c r="E12" i="50"/>
  <c r="U75" i="26"/>
  <c r="I13" i="50"/>
  <c r="Y82" i="26"/>
  <c r="K12" i="50"/>
  <c r="AA75" i="26"/>
  <c r="AH75" i="26" s="1"/>
  <c r="J11" i="50"/>
  <c r="Z68" i="26"/>
  <c r="H14" i="50"/>
  <c r="X89" i="26"/>
  <c r="H10" i="50"/>
  <c r="X61" i="26"/>
  <c r="K14" i="50"/>
  <c r="AA89" i="26"/>
  <c r="AH89" i="26" s="1"/>
  <c r="I11" i="50"/>
  <c r="Y68" i="26"/>
  <c r="E13" i="50"/>
  <c r="U82" i="26"/>
  <c r="G14" i="50"/>
  <c r="W89" i="26"/>
  <c r="L9" i="50"/>
  <c r="K11" i="50"/>
  <c r="AA68" i="26"/>
  <c r="AH68" i="26" s="1"/>
  <c r="H9" i="50"/>
  <c r="X54" i="26"/>
  <c r="J12" i="50"/>
  <c r="Z75" i="26"/>
  <c r="F13" i="50"/>
  <c r="V82" i="26"/>
  <c r="G13" i="50"/>
  <c r="W82" i="26"/>
  <c r="I14" i="50"/>
  <c r="Y89" i="26"/>
  <c r="K13" i="50"/>
  <c r="AA82" i="26"/>
  <c r="AH82" i="26" s="1"/>
  <c r="D13" i="50"/>
  <c r="T82" i="26"/>
  <c r="H13" i="50"/>
  <c r="X82" i="26"/>
  <c r="G12" i="50"/>
  <c r="W75" i="26"/>
  <c r="F14" i="50"/>
  <c r="V89" i="26"/>
  <c r="G9" i="50"/>
  <c r="W54" i="26"/>
  <c r="J14" i="50"/>
  <c r="Z89" i="26"/>
  <c r="AC24" i="26"/>
  <c r="AD23" i="26" s="1"/>
  <c r="X48" i="26"/>
  <c r="Y38" i="26"/>
  <c r="W31" i="26"/>
  <c r="D7" i="50"/>
  <c r="T40" i="26"/>
  <c r="Z24" i="26"/>
  <c r="AE26" i="26"/>
  <c r="AG19" i="26"/>
  <c r="AC20" i="26"/>
  <c r="AG16" i="26" s="1"/>
  <c r="S13" i="26"/>
  <c r="Y48" i="26"/>
  <c r="Z38" i="26"/>
  <c r="X31" i="26"/>
  <c r="AA24" i="26"/>
  <c r="AH24" i="26" s="1"/>
  <c r="W25" i="26"/>
  <c r="Y31" i="26"/>
  <c r="U34" i="26"/>
  <c r="AC38" i="26"/>
  <c r="AD37" i="26" s="1"/>
  <c r="Z31" i="26"/>
  <c r="Y25" i="26"/>
  <c r="AC33" i="26"/>
  <c r="AF30" i="26" s="1"/>
  <c r="V19" i="26"/>
  <c r="AA20" i="26"/>
  <c r="AH20" i="26" s="1"/>
  <c r="AC48" i="26"/>
  <c r="AG44" i="26" s="1"/>
  <c r="AA31" i="26"/>
  <c r="AH31" i="26" s="1"/>
  <c r="T17" i="26"/>
  <c r="AG25" i="26"/>
  <c r="Z25" i="26"/>
  <c r="Y32" i="26"/>
  <c r="T41" i="26"/>
  <c r="AC31" i="26"/>
  <c r="AD30" i="26" s="1"/>
  <c r="U17" i="26"/>
  <c r="T27" i="26"/>
  <c r="AA25" i="26"/>
  <c r="AH25" i="26" s="1"/>
  <c r="H8" i="50"/>
  <c r="X47" i="26"/>
  <c r="AA32" i="26"/>
  <c r="AH32" i="26" s="1"/>
  <c r="AE34" i="26"/>
  <c r="U41" i="26"/>
  <c r="F8" i="50"/>
  <c r="V47" i="26"/>
  <c r="V17" i="26"/>
  <c r="AF24" i="26"/>
  <c r="U27" i="26"/>
  <c r="AC25" i="26"/>
  <c r="AE23" i="26" s="1"/>
  <c r="AF32" i="26"/>
  <c r="Y18" i="26"/>
  <c r="Z32" i="26"/>
  <c r="V32" i="26"/>
  <c r="AA38" i="26"/>
  <c r="AH38" i="26" s="1"/>
  <c r="T45" i="26"/>
  <c r="V41" i="26"/>
  <c r="E8" i="50"/>
  <c r="U47" i="26"/>
  <c r="G7" i="50"/>
  <c r="W40" i="26"/>
  <c r="W17" i="26"/>
  <c r="AC26" i="26"/>
  <c r="AF23" i="26" s="1"/>
  <c r="V27" i="26"/>
  <c r="U25" i="26"/>
  <c r="V18" i="26"/>
  <c r="AC39" i="26"/>
  <c r="AE37" i="26" s="1"/>
  <c r="T32" i="26"/>
  <c r="AC34" i="26"/>
  <c r="AG30" i="26" s="1"/>
  <c r="AA48" i="26"/>
  <c r="AH48" i="26" s="1"/>
  <c r="U45" i="26"/>
  <c r="W41" i="26"/>
  <c r="X17" i="26"/>
  <c r="W27" i="26"/>
  <c r="T18" i="26"/>
  <c r="X39" i="26"/>
  <c r="U32" i="26"/>
  <c r="V45" i="26"/>
  <c r="X41" i="26"/>
  <c r="Y17" i="26"/>
  <c r="X27" i="26"/>
  <c r="Z39" i="26"/>
  <c r="U19" i="26"/>
  <c r="Y46" i="26"/>
  <c r="T34" i="26"/>
  <c r="AC32" i="26"/>
  <c r="AE30" i="26" s="1"/>
  <c r="W45" i="26"/>
  <c r="Y41" i="26"/>
  <c r="G8" i="50"/>
  <c r="W47" i="26"/>
  <c r="Z17" i="26"/>
  <c r="Y27" i="26"/>
  <c r="AF20" i="26"/>
  <c r="Y39" i="26"/>
  <c r="D4" i="50"/>
  <c r="X46" i="26"/>
  <c r="X45" i="26"/>
  <c r="Z41" i="26"/>
  <c r="K8" i="50"/>
  <c r="AA47" i="26"/>
  <c r="AH47" i="26" s="1"/>
  <c r="AA17" i="26"/>
  <c r="AH17" i="26" s="1"/>
  <c r="Z27" i="26"/>
  <c r="U18" i="26"/>
  <c r="K6" i="50"/>
  <c r="W39" i="26"/>
  <c r="AC19" i="26"/>
  <c r="AF16" i="26" s="1"/>
  <c r="W46" i="26"/>
  <c r="Z48" i="26"/>
  <c r="Y45" i="26"/>
  <c r="AA41" i="26"/>
  <c r="AH41" i="26" s="1"/>
  <c r="J8" i="50"/>
  <c r="Z47" i="26"/>
  <c r="AF46" i="26"/>
  <c r="AC17" i="26"/>
  <c r="AD16" i="26" s="1"/>
  <c r="AA27" i="26"/>
  <c r="AH27" i="26" s="1"/>
  <c r="AE19" i="26"/>
  <c r="Z33" i="26"/>
  <c r="AE41" i="26"/>
  <c r="K4" i="50"/>
  <c r="AE45" i="26"/>
  <c r="Z45" i="26"/>
  <c r="AC41" i="26"/>
  <c r="AG37" i="26" s="1"/>
  <c r="AC47" i="26"/>
  <c r="AF44" i="26" s="1"/>
  <c r="AD26" i="26"/>
  <c r="AC27" i="26"/>
  <c r="AG23" i="26" s="1"/>
  <c r="V39" i="26"/>
  <c r="Z20" i="26"/>
  <c r="AA34" i="26"/>
  <c r="AH34" i="26" s="1"/>
  <c r="AA39" i="26"/>
  <c r="AH39" i="26" s="1"/>
  <c r="X25" i="26"/>
  <c r="AA45" i="26"/>
  <c r="AH45" i="26" s="1"/>
  <c r="AD41" i="26"/>
  <c r="I8" i="50"/>
  <c r="Y47" i="26"/>
  <c r="AC40" i="26"/>
  <c r="AF37" i="26" s="1"/>
  <c r="T24" i="26"/>
  <c r="AC18" i="26"/>
  <c r="AE16" i="26" s="1"/>
  <c r="Y33" i="26"/>
  <c r="U39" i="26"/>
  <c r="J4" i="50"/>
  <c r="Y20" i="26"/>
  <c r="Z34" i="26"/>
  <c r="AA46" i="26"/>
  <c r="AH46" i="26" s="1"/>
  <c r="AG45" i="26"/>
  <c r="AC45" i="26"/>
  <c r="AD44" i="26" s="1"/>
  <c r="T38" i="26"/>
  <c r="F7" i="50"/>
  <c r="V40" i="26"/>
  <c r="U24" i="26"/>
  <c r="AA18" i="26"/>
  <c r="AH18" i="26" s="1"/>
  <c r="T39" i="26"/>
  <c r="X20" i="26"/>
  <c r="Y34" i="26"/>
  <c r="Z18" i="26"/>
  <c r="H7" i="50"/>
  <c r="X40" i="26"/>
  <c r="X32" i="26"/>
  <c r="Y19" i="26"/>
  <c r="W20" i="26"/>
  <c r="X34" i="26"/>
  <c r="T48" i="26"/>
  <c r="U38" i="26"/>
  <c r="K7" i="50"/>
  <c r="AA40" i="26"/>
  <c r="AH40" i="26" s="1"/>
  <c r="V24" i="26"/>
  <c r="AF39" i="26"/>
  <c r="S11" i="26"/>
  <c r="U48" i="26"/>
  <c r="V38" i="26"/>
  <c r="T31" i="26"/>
  <c r="E7" i="50"/>
  <c r="U40" i="26"/>
  <c r="J7" i="50"/>
  <c r="Z40" i="26"/>
  <c r="W24" i="26"/>
  <c r="W32" i="26"/>
  <c r="V20" i="26"/>
  <c r="W34" i="26"/>
  <c r="I7" i="50"/>
  <c r="Y40" i="26"/>
  <c r="X24" i="26"/>
  <c r="T25" i="26"/>
  <c r="X18" i="26"/>
  <c r="X19" i="26"/>
  <c r="U20" i="26"/>
  <c r="V34" i="26"/>
  <c r="V48" i="26"/>
  <c r="W38" i="26"/>
  <c r="U31" i="26"/>
  <c r="S10" i="26"/>
  <c r="W48" i="26"/>
  <c r="X38" i="26"/>
  <c r="V31" i="26"/>
  <c r="D8" i="50"/>
  <c r="T47" i="26"/>
  <c r="Y24" i="26"/>
  <c r="V25" i="26"/>
  <c r="W18" i="26"/>
  <c r="W19" i="26"/>
  <c r="T20" i="26"/>
  <c r="AG32" i="26"/>
  <c r="O45" i="47"/>
  <c r="N45" i="43"/>
  <c r="N48" i="43"/>
  <c r="O47" i="47"/>
  <c r="M45" i="40"/>
  <c r="M47" i="40"/>
  <c r="M48" i="41"/>
  <c r="M45" i="41"/>
  <c r="O45" i="48"/>
  <c r="O46" i="48"/>
  <c r="O45" i="41"/>
  <c r="F4" i="50"/>
  <c r="H4" i="50"/>
  <c r="L4" i="50"/>
  <c r="I4" i="50"/>
  <c r="G4" i="50"/>
  <c r="M45" i="46"/>
  <c r="M47" i="46"/>
  <c r="AA19" i="26"/>
  <c r="AH19" i="26" s="1"/>
  <c r="Z19" i="26"/>
  <c r="T19" i="26"/>
  <c r="M47" i="47"/>
  <c r="M45" i="47"/>
  <c r="E4" i="50"/>
  <c r="O47" i="41"/>
  <c r="N45" i="46"/>
  <c r="AA33" i="26"/>
  <c r="AH33" i="26" s="1"/>
  <c r="O46" i="43"/>
  <c r="M47" i="43"/>
  <c r="M45" i="43"/>
  <c r="M45" i="48"/>
  <c r="M48" i="48"/>
  <c r="J6" i="50"/>
  <c r="N48" i="46"/>
  <c r="M12" i="50"/>
  <c r="L12" i="50"/>
  <c r="N45" i="47"/>
  <c r="M8" i="50"/>
  <c r="L8" i="50"/>
  <c r="Y26" i="26"/>
  <c r="I5" i="50"/>
  <c r="M11" i="50"/>
  <c r="L11" i="50"/>
  <c r="Z26" i="26"/>
  <c r="J5" i="50"/>
  <c r="AA26" i="26"/>
  <c r="AH26" i="26" s="1"/>
  <c r="K5" i="50"/>
  <c r="M14" i="50"/>
  <c r="L14" i="50"/>
  <c r="X33" i="26"/>
  <c r="H6" i="50"/>
  <c r="T26" i="26"/>
  <c r="D5" i="50"/>
  <c r="N48" i="47"/>
  <c r="U26" i="26"/>
  <c r="E5" i="50"/>
  <c r="V26" i="26"/>
  <c r="F5" i="50"/>
  <c r="W26" i="26"/>
  <c r="G5" i="50"/>
  <c r="W33" i="26"/>
  <c r="G6" i="50"/>
  <c r="M7" i="50"/>
  <c r="L7" i="50"/>
  <c r="X26" i="26"/>
  <c r="H5" i="50"/>
  <c r="V33" i="26"/>
  <c r="F6" i="50"/>
  <c r="M6" i="50"/>
  <c r="L6" i="50"/>
  <c r="M10" i="50"/>
  <c r="L10" i="50"/>
  <c r="S12" i="26"/>
  <c r="C3" i="50"/>
  <c r="T33" i="26"/>
  <c r="D6" i="50"/>
  <c r="U33" i="26"/>
  <c r="E6" i="50"/>
  <c r="L5" i="50"/>
  <c r="M5" i="50"/>
  <c r="M48" i="49"/>
  <c r="M45" i="49"/>
  <c r="O47" i="49"/>
  <c r="N45" i="44"/>
  <c r="L46" i="49"/>
  <c r="N46" i="49"/>
  <c r="O45" i="49"/>
  <c r="N48" i="49"/>
  <c r="N48" i="44"/>
  <c r="O46" i="42"/>
  <c r="O45" i="42"/>
  <c r="M45" i="42"/>
  <c r="O45" i="43"/>
  <c r="L48" i="49"/>
  <c r="N45" i="45"/>
  <c r="N48" i="45"/>
  <c r="M47" i="42"/>
  <c r="L47" i="48"/>
  <c r="L46" i="48"/>
  <c r="L48" i="48"/>
  <c r="L47" i="47"/>
  <c r="L48" i="47"/>
  <c r="L46" i="47"/>
  <c r="O47" i="46"/>
  <c r="O46" i="46"/>
  <c r="O45" i="46"/>
  <c r="L47" i="46"/>
  <c r="L46" i="46"/>
  <c r="L47" i="45"/>
  <c r="L46" i="45"/>
  <c r="N48" i="40"/>
  <c r="O47" i="45"/>
  <c r="O46" i="45"/>
  <c r="N48" i="42"/>
  <c r="N46" i="42"/>
  <c r="N45" i="40"/>
  <c r="L48" i="45"/>
  <c r="N46" i="41"/>
  <c r="L47" i="44"/>
  <c r="L46" i="44"/>
  <c r="N45" i="41"/>
  <c r="O47" i="44"/>
  <c r="O46" i="44"/>
  <c r="L48" i="44"/>
  <c r="L47" i="43"/>
  <c r="L48" i="43"/>
  <c r="L46" i="43"/>
  <c r="N48" i="39"/>
  <c r="L47" i="42"/>
  <c r="L48" i="42"/>
  <c r="L46" i="42"/>
  <c r="O47" i="39"/>
  <c r="L47" i="41"/>
  <c r="L48" i="41"/>
  <c r="L46" i="41"/>
  <c r="O45" i="39"/>
  <c r="L48" i="39"/>
  <c r="L47" i="40"/>
  <c r="L46" i="40"/>
  <c r="O47" i="40"/>
  <c r="O46" i="40"/>
  <c r="M48" i="39"/>
  <c r="L47" i="39"/>
  <c r="M47" i="39"/>
  <c r="N45" i="39"/>
  <c r="H46" i="37"/>
  <c r="F46" i="37"/>
  <c r="K46" i="37"/>
  <c r="C46" i="37"/>
  <c r="M44" i="37"/>
  <c r="G46" i="37"/>
  <c r="D46" i="37"/>
  <c r="J46" i="37"/>
  <c r="I46" i="37"/>
  <c r="E46" i="37"/>
  <c r="H45" i="37"/>
  <c r="K45" i="37"/>
  <c r="E45" i="37"/>
  <c r="L44" i="37"/>
  <c r="L48" i="37" s="1"/>
  <c r="D45" i="37"/>
  <c r="G45" i="37"/>
  <c r="F45" i="37"/>
  <c r="C45" i="37"/>
  <c r="J45" i="37"/>
  <c r="I45" i="37"/>
  <c r="C48" i="37"/>
  <c r="E48" i="37"/>
  <c r="D48" i="37"/>
  <c r="I48" i="37"/>
  <c r="J48" i="37"/>
  <c r="H48" i="37"/>
  <c r="G48" i="37"/>
  <c r="K48" i="37"/>
  <c r="F48" i="37"/>
  <c r="O44" i="37"/>
  <c r="N44" i="37"/>
  <c r="N48" i="37" s="1"/>
  <c r="G47" i="37"/>
  <c r="K47" i="37"/>
  <c r="F47" i="37"/>
  <c r="E47" i="37"/>
  <c r="I47" i="37"/>
  <c r="J47" i="37"/>
  <c r="H47" i="37"/>
  <c r="D47" i="37"/>
  <c r="C47" i="37"/>
  <c r="D15" i="65" s="1"/>
  <c r="I87" i="26" l="1"/>
  <c r="E111" i="26"/>
  <c r="E123" i="26"/>
  <c r="E87" i="26"/>
  <c r="B76" i="2" s="1"/>
  <c r="I93" i="26"/>
  <c r="I96" i="26"/>
  <c r="E99" i="26"/>
  <c r="B6" i="52" s="1"/>
  <c r="E120" i="26"/>
  <c r="I84" i="26"/>
  <c r="E75" i="2" s="1"/>
  <c r="C49" i="37"/>
  <c r="E129" i="26"/>
  <c r="B90" i="2" s="1"/>
  <c r="E117" i="26"/>
  <c r="B86" i="2" s="1"/>
  <c r="E114" i="26"/>
  <c r="I126" i="26"/>
  <c r="E96" i="26"/>
  <c r="E90" i="26"/>
  <c r="B77" i="2" s="1"/>
  <c r="AE47" i="26"/>
  <c r="B89" i="2"/>
  <c r="B80" i="2"/>
  <c r="B83" i="2"/>
  <c r="AE48" i="26"/>
  <c r="B82" i="2"/>
  <c r="AG82" i="26"/>
  <c r="AE59" i="26"/>
  <c r="AG66" i="26"/>
  <c r="AD62" i="26"/>
  <c r="AG60" i="26"/>
  <c r="AE52" i="26"/>
  <c r="AE89" i="26"/>
  <c r="AD60" i="26"/>
  <c r="AF76" i="26"/>
  <c r="AG59" i="26"/>
  <c r="AD61" i="26"/>
  <c r="AF90" i="26"/>
  <c r="AE54" i="26"/>
  <c r="AE90" i="26"/>
  <c r="AE51" i="26"/>
  <c r="AG53" i="26"/>
  <c r="AF18" i="26"/>
  <c r="AD53" i="26"/>
  <c r="AE69" i="26"/>
  <c r="AF17" i="26"/>
  <c r="AF83" i="26"/>
  <c r="AD55" i="26"/>
  <c r="AE75" i="26"/>
  <c r="AE73" i="26"/>
  <c r="AF80" i="26"/>
  <c r="AD54" i="26"/>
  <c r="AG68" i="26"/>
  <c r="AE82" i="26"/>
  <c r="AD90" i="26"/>
  <c r="AF87" i="26"/>
  <c r="AF55" i="26"/>
  <c r="AE83" i="26"/>
  <c r="AG89" i="26"/>
  <c r="AF52" i="26"/>
  <c r="AG74" i="26"/>
  <c r="AF66" i="26"/>
  <c r="AD88" i="26"/>
  <c r="AE66" i="26"/>
  <c r="AG88" i="26"/>
  <c r="AD74" i="26"/>
  <c r="AD82" i="26"/>
  <c r="AG75" i="26"/>
  <c r="AD89" i="26"/>
  <c r="AF51" i="26"/>
  <c r="AD75" i="26"/>
  <c r="AF67" i="26"/>
  <c r="AD51" i="26"/>
  <c r="AD83" i="26"/>
  <c r="AE61" i="26"/>
  <c r="AD67" i="26"/>
  <c r="AF60" i="26"/>
  <c r="AD69" i="26"/>
  <c r="AF62" i="26"/>
  <c r="AG80" i="26"/>
  <c r="AF73" i="26"/>
  <c r="AG51" i="26"/>
  <c r="AD68" i="26"/>
  <c r="AG52" i="26"/>
  <c r="L126" i="26"/>
  <c r="B39" i="52"/>
  <c r="L105" i="26"/>
  <c r="L114" i="26"/>
  <c r="L99" i="26"/>
  <c r="L108" i="26"/>
  <c r="E88" i="2"/>
  <c r="B84" i="2"/>
  <c r="AH54" i="26"/>
  <c r="E79" i="2"/>
  <c r="E78" i="2"/>
  <c r="N9" i="50"/>
  <c r="N13" i="50"/>
  <c r="Y13" i="26"/>
  <c r="AG46" i="26"/>
  <c r="AA13" i="26"/>
  <c r="AH55" i="26"/>
  <c r="AG47" i="26"/>
  <c r="AF41" i="26"/>
  <c r="X11" i="26"/>
  <c r="Z13" i="26"/>
  <c r="T11" i="26"/>
  <c r="U13" i="26"/>
  <c r="AD46" i="26"/>
  <c r="AE20" i="26"/>
  <c r="T10" i="26"/>
  <c r="V13" i="26"/>
  <c r="W11" i="26"/>
  <c r="AD47" i="26"/>
  <c r="AE17" i="26"/>
  <c r="T13" i="26"/>
  <c r="Y11" i="26"/>
  <c r="AD39" i="26"/>
  <c r="AF27" i="26"/>
  <c r="AG18" i="26"/>
  <c r="Z10" i="26"/>
  <c r="AD40" i="26"/>
  <c r="AG24" i="26"/>
  <c r="AG17" i="26"/>
  <c r="AA10" i="26"/>
  <c r="AH52" i="26"/>
  <c r="AG38" i="26"/>
  <c r="AF25" i="26"/>
  <c r="AG39" i="26"/>
  <c r="AD25" i="26"/>
  <c r="W10" i="26"/>
  <c r="AG40" i="26"/>
  <c r="AF38" i="26"/>
  <c r="AD32" i="26"/>
  <c r="AG26" i="26"/>
  <c r="AG33" i="26"/>
  <c r="U10" i="26"/>
  <c r="AE31" i="26"/>
  <c r="V10" i="26"/>
  <c r="AD20" i="26"/>
  <c r="AE33" i="26"/>
  <c r="AD18" i="26"/>
  <c r="AG31" i="26"/>
  <c r="AE24" i="26"/>
  <c r="AD33" i="26"/>
  <c r="AF13" i="26"/>
  <c r="Y10" i="26"/>
  <c r="AD19" i="26"/>
  <c r="X10" i="26"/>
  <c r="AE27" i="26"/>
  <c r="V11" i="26"/>
  <c r="AD48" i="26"/>
  <c r="AF31" i="26"/>
  <c r="AD34" i="26"/>
  <c r="W13" i="26"/>
  <c r="Z11" i="26"/>
  <c r="AF48" i="26"/>
  <c r="AE40" i="26"/>
  <c r="AD13" i="26"/>
  <c r="AA11" i="26"/>
  <c r="AH53" i="26"/>
  <c r="AF45" i="26"/>
  <c r="AE38" i="26"/>
  <c r="X13" i="26"/>
  <c r="U11" i="26"/>
  <c r="AD27" i="26"/>
  <c r="AF34" i="26"/>
  <c r="N4" i="50"/>
  <c r="N12" i="50"/>
  <c r="N8" i="50"/>
  <c r="N10" i="50"/>
  <c r="N14" i="50"/>
  <c r="N7" i="50"/>
  <c r="N11" i="50"/>
  <c r="N6" i="50"/>
  <c r="AA12" i="26"/>
  <c r="K3" i="50"/>
  <c r="Z12" i="26"/>
  <c r="J3" i="50"/>
  <c r="V12" i="26"/>
  <c r="F3" i="50"/>
  <c r="W12" i="26"/>
  <c r="G3" i="50"/>
  <c r="N5" i="50"/>
  <c r="X12" i="26"/>
  <c r="H3" i="50"/>
  <c r="M3" i="50"/>
  <c r="L3" i="50"/>
  <c r="U12" i="26"/>
  <c r="E3" i="50"/>
  <c r="T12" i="26"/>
  <c r="D3" i="50"/>
  <c r="D15" i="50" s="1"/>
  <c r="Y12" i="26"/>
  <c r="I3" i="50"/>
  <c r="AC12" i="26"/>
  <c r="AF9" i="26" s="1"/>
  <c r="AC10" i="26"/>
  <c r="AD9" i="26" s="1"/>
  <c r="AC13" i="26"/>
  <c r="AG9" i="26" s="1"/>
  <c r="AC11" i="26"/>
  <c r="AE9" i="26" s="1"/>
  <c r="M48" i="37"/>
  <c r="M45" i="37"/>
  <c r="N45" i="37"/>
  <c r="O45" i="37"/>
  <c r="L47" i="37"/>
  <c r="M47" i="37"/>
  <c r="O47" i="37"/>
  <c r="L46" i="37"/>
  <c r="N46" i="37"/>
  <c r="O46" i="37"/>
  <c r="E102" i="26" l="1"/>
  <c r="B81" i="2" s="1"/>
  <c r="E84" i="26"/>
  <c r="B85" i="2"/>
  <c r="I102" i="26"/>
  <c r="I129" i="26"/>
  <c r="I120" i="26"/>
  <c r="I111" i="26"/>
  <c r="I90" i="26"/>
  <c r="I108" i="26"/>
  <c r="I105" i="26"/>
  <c r="I99" i="26"/>
  <c r="B87" i="2"/>
  <c r="B24" i="52"/>
  <c r="B36" i="52"/>
  <c r="B18" i="52"/>
  <c r="B42" i="52"/>
  <c r="B88" i="2"/>
  <c r="I144" i="26"/>
  <c r="B16" i="52"/>
  <c r="E86" i="2"/>
  <c r="E153" i="26"/>
  <c r="B28" i="52"/>
  <c r="E76" i="2"/>
  <c r="B12" i="52"/>
  <c r="B78" i="2"/>
  <c r="I150" i="26"/>
  <c r="B30" i="52"/>
  <c r="B79" i="2"/>
  <c r="I138" i="26"/>
  <c r="I147" i="26"/>
  <c r="B48" i="52"/>
  <c r="B19" i="52"/>
  <c r="E85" i="2"/>
  <c r="L129" i="26"/>
  <c r="B40" i="52"/>
  <c r="E89" i="2"/>
  <c r="L93" i="26"/>
  <c r="B13" i="52"/>
  <c r="L90" i="26"/>
  <c r="B3" i="52"/>
  <c r="L96" i="26"/>
  <c r="B31" i="52"/>
  <c r="L87" i="26"/>
  <c r="B27" i="52"/>
  <c r="L111" i="26"/>
  <c r="B21" i="52"/>
  <c r="L123" i="26"/>
  <c r="B43" i="52"/>
  <c r="L117" i="26"/>
  <c r="B15" i="52"/>
  <c r="L84" i="26"/>
  <c r="B10" i="52"/>
  <c r="L120" i="26"/>
  <c r="B45" i="52"/>
  <c r="AG11" i="26"/>
  <c r="AF11" i="26"/>
  <c r="AD11" i="26"/>
  <c r="AE12" i="26"/>
  <c r="AD12" i="26"/>
  <c r="AG10" i="26"/>
  <c r="AF10" i="26"/>
  <c r="AE10" i="26"/>
  <c r="AE13" i="26"/>
  <c r="AG12" i="26"/>
  <c r="N3" i="50"/>
  <c r="B1" i="3"/>
  <c r="C189" i="3" s="1"/>
  <c r="F189" i="3" s="1"/>
  <c r="E95" i="2" l="1"/>
  <c r="L147" i="26"/>
  <c r="G18" i="52"/>
  <c r="L138" i="26"/>
  <c r="E92" i="2"/>
  <c r="E150" i="26"/>
  <c r="E147" i="26"/>
  <c r="G24" i="52"/>
  <c r="E96" i="2"/>
  <c r="I153" i="26"/>
  <c r="B9" i="52"/>
  <c r="B75" i="2"/>
  <c r="I135" i="26"/>
  <c r="B97" i="2"/>
  <c r="L153" i="26"/>
  <c r="G41" i="52"/>
  <c r="E138" i="26"/>
  <c r="I141" i="26"/>
  <c r="G6" i="52"/>
  <c r="E141" i="26"/>
  <c r="I156" i="26"/>
  <c r="E156" i="26"/>
  <c r="E94" i="2"/>
  <c r="G36" i="52"/>
  <c r="L144" i="26"/>
  <c r="E135" i="26"/>
  <c r="C1403" i="3"/>
  <c r="F1403" i="3" s="1"/>
  <c r="E1350" i="3"/>
  <c r="H1350" i="3" s="1"/>
  <c r="C1399" i="3"/>
  <c r="F1399" i="3" s="1"/>
  <c r="E1400" i="3"/>
  <c r="H1400" i="3" s="1"/>
  <c r="E1450" i="3"/>
  <c r="H1450" i="3" s="1"/>
  <c r="D1328" i="3"/>
  <c r="G1328" i="3" s="1"/>
  <c r="E1004" i="3"/>
  <c r="H1004" i="3" s="1"/>
  <c r="C1369" i="3"/>
  <c r="F1369" i="3" s="1"/>
  <c r="D647" i="3"/>
  <c r="G647" i="3" s="1"/>
  <c r="D1424" i="3"/>
  <c r="G1424" i="3" s="1"/>
  <c r="C1147" i="3"/>
  <c r="F1147" i="3" s="1"/>
  <c r="D1403" i="3"/>
  <c r="G1403" i="3" s="1"/>
  <c r="E1364" i="3"/>
  <c r="H1364" i="3" s="1"/>
  <c r="D1314" i="3"/>
  <c r="G1314" i="3" s="1"/>
  <c r="D1202" i="3"/>
  <c r="G1202" i="3" s="1"/>
  <c r="E1247" i="3"/>
  <c r="H1247" i="3" s="1"/>
  <c r="D1291" i="3"/>
  <c r="G1291" i="3" s="1"/>
  <c r="E1152" i="3"/>
  <c r="H1152" i="3" s="1"/>
  <c r="C1297" i="3"/>
  <c r="F1297" i="3" s="1"/>
  <c r="C1148" i="3"/>
  <c r="F1148" i="3" s="1"/>
  <c r="E1019" i="3"/>
  <c r="H1019" i="3" s="1"/>
  <c r="C1146" i="3"/>
  <c r="F1146" i="3" s="1"/>
  <c r="C1018" i="3"/>
  <c r="F1018" i="3" s="1"/>
  <c r="E889" i="3"/>
  <c r="H889" i="3" s="1"/>
  <c r="C612" i="3"/>
  <c r="F612" i="3" s="1"/>
  <c r="E1377" i="3"/>
  <c r="H1377" i="3" s="1"/>
  <c r="D1448" i="3"/>
  <c r="G1448" i="3" s="1"/>
  <c r="C1173" i="3"/>
  <c r="F1173" i="3" s="1"/>
  <c r="E1034" i="3"/>
  <c r="H1034" i="3" s="1"/>
  <c r="E1442" i="3"/>
  <c r="H1442" i="3" s="1"/>
  <c r="E1342" i="3"/>
  <c r="H1342" i="3" s="1"/>
  <c r="D1401" i="3"/>
  <c r="G1401" i="3" s="1"/>
  <c r="C1468" i="3"/>
  <c r="F1468" i="3" s="1"/>
  <c r="D1444" i="3"/>
  <c r="G1444" i="3" s="1"/>
  <c r="E1423" i="3"/>
  <c r="H1423" i="3" s="1"/>
  <c r="C1396" i="3"/>
  <c r="F1396" i="3" s="1"/>
  <c r="C1360" i="3"/>
  <c r="F1360" i="3" s="1"/>
  <c r="C1312" i="3"/>
  <c r="F1312" i="3" s="1"/>
  <c r="D1200" i="3"/>
  <c r="G1200" i="3" s="1"/>
  <c r="C1248" i="3"/>
  <c r="F1248" i="3" s="1"/>
  <c r="C1286" i="3"/>
  <c r="F1286" i="3" s="1"/>
  <c r="C1149" i="3"/>
  <c r="F1149" i="3" s="1"/>
  <c r="D1297" i="3"/>
  <c r="G1297" i="3" s="1"/>
  <c r="C1140" i="3"/>
  <c r="F1140" i="3" s="1"/>
  <c r="D999" i="3"/>
  <c r="G999" i="3" s="1"/>
  <c r="E1140" i="3"/>
  <c r="H1140" i="3" s="1"/>
  <c r="C1011" i="3"/>
  <c r="F1011" i="3" s="1"/>
  <c r="C890" i="3"/>
  <c r="F890" i="3" s="1"/>
  <c r="E925" i="3"/>
  <c r="H925" i="3" s="1"/>
  <c r="E1427" i="3"/>
  <c r="H1427" i="3" s="1"/>
  <c r="C1458" i="3"/>
  <c r="F1458" i="3" s="1"/>
  <c r="E1449" i="3"/>
  <c r="H1449" i="3" s="1"/>
  <c r="E1272" i="3"/>
  <c r="H1272" i="3" s="1"/>
  <c r="C1283" i="3"/>
  <c r="F1283" i="3" s="1"/>
  <c r="D1131" i="3"/>
  <c r="G1131" i="3" s="1"/>
  <c r="C1341" i="3"/>
  <c r="F1341" i="3" s="1"/>
  <c r="D1137" i="3"/>
  <c r="G1137" i="3" s="1"/>
  <c r="E1009" i="3"/>
  <c r="H1009" i="3" s="1"/>
  <c r="C829" i="3"/>
  <c r="F829" i="3" s="1"/>
  <c r="E912" i="3"/>
  <c r="H912" i="3" s="1"/>
  <c r="D1405" i="3"/>
  <c r="G1405" i="3" s="1"/>
  <c r="D1429" i="3"/>
  <c r="G1429" i="3" s="1"/>
  <c r="C1406" i="3"/>
  <c r="F1406" i="3" s="1"/>
  <c r="D1316" i="3"/>
  <c r="G1316" i="3" s="1"/>
  <c r="D1446" i="3"/>
  <c r="G1446" i="3" s="1"/>
  <c r="C1343" i="3"/>
  <c r="F1343" i="3" s="1"/>
  <c r="E1444" i="3"/>
  <c r="H1444" i="3" s="1"/>
  <c r="C1426" i="3"/>
  <c r="F1426" i="3" s="1"/>
  <c r="C1402" i="3"/>
  <c r="F1402" i="3" s="1"/>
  <c r="E1365" i="3"/>
  <c r="H1365" i="3" s="1"/>
  <c r="E1468" i="3"/>
  <c r="H1468" i="3" s="1"/>
  <c r="C1445" i="3"/>
  <c r="F1445" i="3" s="1"/>
  <c r="E1419" i="3"/>
  <c r="H1419" i="3" s="1"/>
  <c r="D1394" i="3"/>
  <c r="G1394" i="3" s="1"/>
  <c r="E1360" i="3"/>
  <c r="H1360" i="3" s="1"/>
  <c r="C1304" i="3"/>
  <c r="F1304" i="3" s="1"/>
  <c r="D1190" i="3"/>
  <c r="G1190" i="3" s="1"/>
  <c r="E1231" i="3"/>
  <c r="H1231" i="3" s="1"/>
  <c r="E1264" i="3"/>
  <c r="H1264" i="3" s="1"/>
  <c r="C1141" i="3"/>
  <c r="F1141" i="3" s="1"/>
  <c r="C1276" i="3"/>
  <c r="F1276" i="3" s="1"/>
  <c r="C1128" i="3"/>
  <c r="F1128" i="3" s="1"/>
  <c r="D1341" i="3"/>
  <c r="G1341" i="3" s="1"/>
  <c r="C1127" i="3"/>
  <c r="F1127" i="3" s="1"/>
  <c r="D996" i="3"/>
  <c r="G996" i="3" s="1"/>
  <c r="E776" i="3"/>
  <c r="H776" i="3" s="1"/>
  <c r="D907" i="3"/>
  <c r="G907" i="3" s="1"/>
  <c r="E1405" i="3"/>
  <c r="H1405" i="3" s="1"/>
  <c r="C624" i="3"/>
  <c r="F624" i="3" s="1"/>
  <c r="D1392" i="3"/>
  <c r="G1392" i="3" s="1"/>
  <c r="C1253" i="3"/>
  <c r="F1253" i="3" s="1"/>
  <c r="C1125" i="3"/>
  <c r="F1125" i="3" s="1"/>
  <c r="C1267" i="3"/>
  <c r="F1267" i="3" s="1"/>
  <c r="D1121" i="3"/>
  <c r="G1121" i="3" s="1"/>
  <c r="E1320" i="3"/>
  <c r="H1320" i="3" s="1"/>
  <c r="D1122" i="3"/>
  <c r="G1122" i="3" s="1"/>
  <c r="E986" i="3"/>
  <c r="H986" i="3" s="1"/>
  <c r="C777" i="3"/>
  <c r="F777" i="3" s="1"/>
  <c r="C791" i="3"/>
  <c r="F791" i="3" s="1"/>
  <c r="C1368" i="3"/>
  <c r="F1368" i="3" s="1"/>
  <c r="D1369" i="3"/>
  <c r="G1369" i="3" s="1"/>
  <c r="E1355" i="3"/>
  <c r="H1355" i="3" s="1"/>
  <c r="E1103" i="3"/>
  <c r="H1103" i="3" s="1"/>
  <c r="C1293" i="3"/>
  <c r="F1293" i="3" s="1"/>
  <c r="D1110" i="3"/>
  <c r="G1110" i="3" s="1"/>
  <c r="E974" i="3"/>
  <c r="H974" i="3" s="1"/>
  <c r="E760" i="3"/>
  <c r="H760" i="3" s="1"/>
  <c r="D742" i="3"/>
  <c r="G742" i="3" s="1"/>
  <c r="C1263" i="3"/>
  <c r="F1263" i="3" s="1"/>
  <c r="C1351" i="3"/>
  <c r="F1351" i="3" s="1"/>
  <c r="C1430" i="3"/>
  <c r="F1430" i="3" s="1"/>
  <c r="C1256" i="3"/>
  <c r="F1256" i="3" s="1"/>
  <c r="D1371" i="3"/>
  <c r="G1371" i="3" s="1"/>
  <c r="C1308" i="3"/>
  <c r="F1308" i="3" s="1"/>
  <c r="C1387" i="3"/>
  <c r="F1387" i="3" s="1"/>
  <c r="C1356" i="3"/>
  <c r="F1356" i="3" s="1"/>
  <c r="C1440" i="3"/>
  <c r="F1440" i="3" s="1"/>
  <c r="C1383" i="3"/>
  <c r="F1383" i="3" s="1"/>
  <c r="E1440" i="3"/>
  <c r="H1440" i="3" s="1"/>
  <c r="E1416" i="3"/>
  <c r="H1416" i="3" s="1"/>
  <c r="E1388" i="3"/>
  <c r="H1388" i="3" s="1"/>
  <c r="D1354" i="3"/>
  <c r="G1354" i="3" s="1"/>
  <c r="C1296" i="3"/>
  <c r="F1296" i="3" s="1"/>
  <c r="D1162" i="3"/>
  <c r="G1162" i="3" s="1"/>
  <c r="C1199" i="3"/>
  <c r="F1199" i="3" s="1"/>
  <c r="E1248" i="3"/>
  <c r="H1248" i="3" s="1"/>
  <c r="C1113" i="3"/>
  <c r="F1113" i="3" s="1"/>
  <c r="C1259" i="3"/>
  <c r="F1259" i="3" s="1"/>
  <c r="D1101" i="3"/>
  <c r="G1101" i="3" s="1"/>
  <c r="D1293" i="3"/>
  <c r="G1293" i="3" s="1"/>
  <c r="C1106" i="3"/>
  <c r="F1106" i="3" s="1"/>
  <c r="E938" i="3"/>
  <c r="H938" i="3" s="1"/>
  <c r="C721" i="3"/>
  <c r="F721" i="3" s="1"/>
  <c r="E721" i="3"/>
  <c r="H721" i="3" s="1"/>
  <c r="D1431" i="3"/>
  <c r="G1431" i="3" s="1"/>
  <c r="D1027" i="3"/>
  <c r="G1027" i="3" s="1"/>
  <c r="C1400" i="3"/>
  <c r="F1400" i="3" s="1"/>
  <c r="D929" i="3"/>
  <c r="G929" i="3" s="1"/>
  <c r="C1447" i="3"/>
  <c r="F1447" i="3" s="1"/>
  <c r="E1447" i="3"/>
  <c r="H1447" i="3" s="1"/>
  <c r="C1301" i="3"/>
  <c r="F1301" i="3" s="1"/>
  <c r="E1399" i="3"/>
  <c r="H1399" i="3" s="1"/>
  <c r="C1391" i="3"/>
  <c r="F1391" i="3" s="1"/>
  <c r="D1468" i="3"/>
  <c r="G1468" i="3" s="1"/>
  <c r="C1450" i="3"/>
  <c r="F1450" i="3" s="1"/>
  <c r="D1447" i="3"/>
  <c r="G1447" i="3" s="1"/>
  <c r="D1469" i="3"/>
  <c r="G1469" i="3" s="1"/>
  <c r="E1267" i="3"/>
  <c r="H1267" i="3" s="1"/>
  <c r="C1431" i="3"/>
  <c r="F1431" i="3" s="1"/>
  <c r="E1378" i="3"/>
  <c r="H1378" i="3" s="1"/>
  <c r="E1415" i="3"/>
  <c r="H1415" i="3" s="1"/>
  <c r="C1200" i="3"/>
  <c r="F1200" i="3" s="1"/>
  <c r="D1245" i="3"/>
  <c r="G1245" i="3" s="1"/>
  <c r="C1109" i="3"/>
  <c r="F1109" i="3" s="1"/>
  <c r="E1259" i="3"/>
  <c r="H1259" i="3" s="1"/>
  <c r="D1097" i="3"/>
  <c r="G1097" i="3" s="1"/>
  <c r="E1281" i="3"/>
  <c r="H1281" i="3" s="1"/>
  <c r="E1102" i="3"/>
  <c r="H1102" i="3" s="1"/>
  <c r="C935" i="3"/>
  <c r="F935" i="3" s="1"/>
  <c r="C705" i="3"/>
  <c r="F705" i="3" s="1"/>
  <c r="E657" i="3"/>
  <c r="H657" i="3" s="1"/>
  <c r="E1451" i="3"/>
  <c r="H1451" i="3" s="1"/>
  <c r="C1186" i="3"/>
  <c r="F1186" i="3" s="1"/>
  <c r="C1424" i="3"/>
  <c r="F1424" i="3" s="1"/>
  <c r="E1027" i="3"/>
  <c r="H1027" i="3" s="1"/>
  <c r="E1346" i="3"/>
  <c r="H1346" i="3" s="1"/>
  <c r="C1313" i="3"/>
  <c r="F1313" i="3" s="1"/>
  <c r="C1347" i="3"/>
  <c r="F1347" i="3" s="1"/>
  <c r="E1294" i="3"/>
  <c r="H1294" i="3" s="1"/>
  <c r="D1367" i="3"/>
  <c r="G1367" i="3" s="1"/>
  <c r="E1386" i="3"/>
  <c r="H1386" i="3" s="1"/>
  <c r="C1366" i="3"/>
  <c r="F1366" i="3" s="1"/>
  <c r="D1421" i="3"/>
  <c r="G1421" i="3" s="1"/>
  <c r="D1253" i="3"/>
  <c r="G1253" i="3" s="1"/>
  <c r="E1397" i="3"/>
  <c r="H1397" i="3" s="1"/>
  <c r="D1359" i="3"/>
  <c r="G1359" i="3" s="1"/>
  <c r="D1286" i="3"/>
  <c r="G1286" i="3" s="1"/>
  <c r="C1475" i="3"/>
  <c r="F1475" i="3" s="1"/>
  <c r="D1443" i="3"/>
  <c r="G1443" i="3" s="1"/>
  <c r="C1349" i="3"/>
  <c r="F1349" i="3" s="1"/>
  <c r="E1191" i="3"/>
  <c r="H1191" i="3" s="1"/>
  <c r="E1088" i="3"/>
  <c r="H1088" i="3" s="1"/>
  <c r="C1236" i="3"/>
  <c r="F1236" i="3" s="1"/>
  <c r="D1096" i="3"/>
  <c r="G1096" i="3" s="1"/>
  <c r="C650" i="3"/>
  <c r="F650" i="3" s="1"/>
  <c r="D1402" i="3"/>
  <c r="G1402" i="3" s="1"/>
  <c r="C1155" i="3"/>
  <c r="F1155" i="3" s="1"/>
  <c r="C1378" i="3"/>
  <c r="F1378" i="3" s="1"/>
  <c r="D1155" i="3"/>
  <c r="G1155" i="3" s="1"/>
  <c r="D1145" i="3"/>
  <c r="G1145" i="3" s="1"/>
  <c r="D1427" i="3"/>
  <c r="G1427" i="3" s="1"/>
  <c r="C1239" i="3"/>
  <c r="F1239" i="3" s="1"/>
  <c r="C1339" i="3"/>
  <c r="F1339" i="3" s="1"/>
  <c r="D1442" i="3"/>
  <c r="G1442" i="3" s="1"/>
  <c r="E1382" i="3"/>
  <c r="H1382" i="3" s="1"/>
  <c r="C1465" i="3"/>
  <c r="F1465" i="3" s="1"/>
  <c r="D1170" i="3"/>
  <c r="G1170" i="3" s="1"/>
  <c r="E1421" i="3"/>
  <c r="H1421" i="3" s="1"/>
  <c r="C1331" i="3"/>
  <c r="F1331" i="3" s="1"/>
  <c r="E1387" i="3"/>
  <c r="H1387" i="3" s="1"/>
  <c r="E1460" i="3"/>
  <c r="H1460" i="3" s="1"/>
  <c r="D1441" i="3"/>
  <c r="G1441" i="3" s="1"/>
  <c r="D1417" i="3"/>
  <c r="G1417" i="3" s="1"/>
  <c r="D1391" i="3"/>
  <c r="G1391" i="3" s="1"/>
  <c r="E1357" i="3"/>
  <c r="H1357" i="3" s="1"/>
  <c r="C1461" i="3"/>
  <c r="F1461" i="3" s="1"/>
  <c r="C1437" i="3"/>
  <c r="F1437" i="3" s="1"/>
  <c r="E1412" i="3"/>
  <c r="H1412" i="3" s="1"/>
  <c r="D1384" i="3"/>
  <c r="G1384" i="3" s="1"/>
  <c r="C1345" i="3"/>
  <c r="F1345" i="3" s="1"/>
  <c r="D1280" i="3"/>
  <c r="G1280" i="3" s="1"/>
  <c r="D1343" i="3"/>
  <c r="G1343" i="3" s="1"/>
  <c r="E1183" i="3"/>
  <c r="H1183" i="3" s="1"/>
  <c r="E1232" i="3"/>
  <c r="H1232" i="3" s="1"/>
  <c r="C1077" i="3"/>
  <c r="F1077" i="3" s="1"/>
  <c r="E1227" i="3"/>
  <c r="H1227" i="3" s="1"/>
  <c r="E1095" i="3"/>
  <c r="H1095" i="3" s="1"/>
  <c r="E1252" i="3"/>
  <c r="H1252" i="3" s="1"/>
  <c r="C1086" i="3"/>
  <c r="F1086" i="3" s="1"/>
  <c r="E987" i="3"/>
  <c r="H987" i="3" s="1"/>
  <c r="E668" i="3"/>
  <c r="H668" i="3" s="1"/>
  <c r="E590" i="3"/>
  <c r="H590" i="3" s="1"/>
  <c r="D1457" i="3"/>
  <c r="G1457" i="3" s="1"/>
  <c r="D1472" i="3"/>
  <c r="G1472" i="3" s="1"/>
  <c r="D1335" i="3"/>
  <c r="G1335" i="3" s="1"/>
  <c r="C898" i="3"/>
  <c r="F898" i="3" s="1"/>
  <c r="C1395" i="3"/>
  <c r="F1395" i="3" s="1"/>
  <c r="D1425" i="3"/>
  <c r="G1425" i="3" s="1"/>
  <c r="E1425" i="3"/>
  <c r="H1425" i="3" s="1"/>
  <c r="E1338" i="3"/>
  <c r="H1338" i="3" s="1"/>
  <c r="D1423" i="3"/>
  <c r="G1423" i="3" s="1"/>
  <c r="E1207" i="3"/>
  <c r="H1207" i="3" s="1"/>
  <c r="E1469" i="3"/>
  <c r="H1469" i="3" s="1"/>
  <c r="C1446" i="3"/>
  <c r="F1446" i="3" s="1"/>
  <c r="E1352" i="3"/>
  <c r="H1352" i="3" s="1"/>
  <c r="C1327" i="3"/>
  <c r="F1327" i="3" s="1"/>
  <c r="D1357" i="3"/>
  <c r="G1357" i="3" s="1"/>
  <c r="C1384" i="3"/>
  <c r="F1384" i="3" s="1"/>
  <c r="D1140" i="3"/>
  <c r="G1140" i="3" s="1"/>
  <c r="D1095" i="3"/>
  <c r="G1095" i="3" s="1"/>
  <c r="E1470" i="3"/>
  <c r="H1470" i="3" s="1"/>
  <c r="E1422" i="3"/>
  <c r="H1422" i="3" s="1"/>
  <c r="C1375" i="3"/>
  <c r="F1375" i="3" s="1"/>
  <c r="E1322" i="3"/>
  <c r="H1322" i="3" s="1"/>
  <c r="D1465" i="3"/>
  <c r="G1465" i="3" s="1"/>
  <c r="C1471" i="3"/>
  <c r="F1471" i="3" s="1"/>
  <c r="C1423" i="3"/>
  <c r="F1423" i="3" s="1"/>
  <c r="E1370" i="3"/>
  <c r="H1370" i="3" s="1"/>
  <c r="C1319" i="3"/>
  <c r="F1319" i="3" s="1"/>
  <c r="E1465" i="3"/>
  <c r="H1465" i="3" s="1"/>
  <c r="E1441" i="3"/>
  <c r="H1441" i="3" s="1"/>
  <c r="E1417" i="3"/>
  <c r="H1417" i="3" s="1"/>
  <c r="E1389" i="3"/>
  <c r="H1389" i="3" s="1"/>
  <c r="D1355" i="3"/>
  <c r="G1355" i="3" s="1"/>
  <c r="D1458" i="3"/>
  <c r="G1458" i="3" s="1"/>
  <c r="E1435" i="3"/>
  <c r="H1435" i="3" s="1"/>
  <c r="C1413" i="3"/>
  <c r="F1413" i="3" s="1"/>
  <c r="C1380" i="3"/>
  <c r="F1380" i="3" s="1"/>
  <c r="E1343" i="3"/>
  <c r="H1343" i="3" s="1"/>
  <c r="D1278" i="3"/>
  <c r="G1278" i="3" s="1"/>
  <c r="E1337" i="3"/>
  <c r="H1337" i="3" s="1"/>
  <c r="E1175" i="3"/>
  <c r="H1175" i="3" s="1"/>
  <c r="E1224" i="3"/>
  <c r="H1224" i="3" s="1"/>
  <c r="C1069" i="3"/>
  <c r="F1069" i="3" s="1"/>
  <c r="E1222" i="3"/>
  <c r="H1222" i="3" s="1"/>
  <c r="E1079" i="3"/>
  <c r="H1079" i="3" s="1"/>
  <c r="C1250" i="3"/>
  <c r="F1250" i="3" s="1"/>
  <c r="C1087" i="3"/>
  <c r="F1087" i="3" s="1"/>
  <c r="E979" i="3"/>
  <c r="H979" i="3" s="1"/>
  <c r="C625" i="3"/>
  <c r="F625" i="3" s="1"/>
  <c r="E490" i="3"/>
  <c r="H490" i="3" s="1"/>
  <c r="C1472" i="3"/>
  <c r="F1472" i="3" s="1"/>
  <c r="E1041" i="3"/>
  <c r="H1041" i="3" s="1"/>
  <c r="D1318" i="3"/>
  <c r="G1318" i="3" s="1"/>
  <c r="D1451" i="3"/>
  <c r="G1451" i="3" s="1"/>
  <c r="E1401" i="3"/>
  <c r="H1401" i="3" s="1"/>
  <c r="D1473" i="3"/>
  <c r="G1473" i="3" s="1"/>
  <c r="D1399" i="3"/>
  <c r="G1399" i="3" s="1"/>
  <c r="E1334" i="3"/>
  <c r="H1334" i="3" s="1"/>
  <c r="E1116" i="3"/>
  <c r="H1116" i="3" s="1"/>
  <c r="E1330" i="3"/>
  <c r="H1330" i="3" s="1"/>
  <c r="C1398" i="3"/>
  <c r="F1398" i="3" s="1"/>
  <c r="D1150" i="3"/>
  <c r="G1150" i="3" s="1"/>
  <c r="D1467" i="3"/>
  <c r="G1467" i="3" s="1"/>
  <c r="C1238" i="3"/>
  <c r="F1238" i="3" s="1"/>
  <c r="C1442" i="3"/>
  <c r="F1442" i="3" s="1"/>
  <c r="C1418" i="3"/>
  <c r="F1418" i="3" s="1"/>
  <c r="C1390" i="3"/>
  <c r="F1390" i="3" s="1"/>
  <c r="E1353" i="3"/>
  <c r="H1353" i="3" s="1"/>
  <c r="C1456" i="3"/>
  <c r="F1456" i="3" s="1"/>
  <c r="C1432" i="3"/>
  <c r="F1432" i="3" s="1"/>
  <c r="E1411" i="3"/>
  <c r="H1411" i="3" s="1"/>
  <c r="D1380" i="3"/>
  <c r="G1380" i="3" s="1"/>
  <c r="D1340" i="3"/>
  <c r="G1340" i="3" s="1"/>
  <c r="D1268" i="3"/>
  <c r="G1268" i="3" s="1"/>
  <c r="C1321" i="3"/>
  <c r="F1321" i="3" s="1"/>
  <c r="C1167" i="3"/>
  <c r="F1167" i="3" s="1"/>
  <c r="C1221" i="3"/>
  <c r="F1221" i="3" s="1"/>
  <c r="E1052" i="3"/>
  <c r="H1052" i="3" s="1"/>
  <c r="E1219" i="3"/>
  <c r="H1219" i="3" s="1"/>
  <c r="E1075" i="3"/>
  <c r="H1075" i="3" s="1"/>
  <c r="D1247" i="3"/>
  <c r="G1247" i="3" s="1"/>
  <c r="E1077" i="3"/>
  <c r="H1077" i="3" s="1"/>
  <c r="E931" i="3"/>
  <c r="H931" i="3" s="1"/>
  <c r="D930" i="3"/>
  <c r="G930" i="3" s="1"/>
  <c r="D502" i="3"/>
  <c r="G502" i="3" s="1"/>
  <c r="E1302" i="3"/>
  <c r="H1302" i="3" s="1"/>
  <c r="D1230" i="3"/>
  <c r="G1230" i="3" s="1"/>
  <c r="C1181" i="3"/>
  <c r="F1181" i="3" s="1"/>
  <c r="C1318" i="3"/>
  <c r="F1318" i="3" s="1"/>
  <c r="E1298" i="3"/>
  <c r="H1298" i="3" s="1"/>
  <c r="E1144" i="3"/>
  <c r="H1144" i="3" s="1"/>
  <c r="D1418" i="3"/>
  <c r="G1418" i="3" s="1"/>
  <c r="E1430" i="3"/>
  <c r="H1430" i="3" s="1"/>
  <c r="E1392" i="3"/>
  <c r="H1392" i="3" s="1"/>
  <c r="C1362" i="3"/>
  <c r="F1362" i="3" s="1"/>
  <c r="E1474" i="3"/>
  <c r="H1474" i="3" s="1"/>
  <c r="C1422" i="3"/>
  <c r="F1422" i="3" s="1"/>
  <c r="C1441" i="3"/>
  <c r="F1441" i="3" s="1"/>
  <c r="C1379" i="3"/>
  <c r="F1379" i="3" s="1"/>
  <c r="D1419" i="3"/>
  <c r="G1419" i="3" s="1"/>
  <c r="D1436" i="3"/>
  <c r="G1436" i="3" s="1"/>
  <c r="D1284" i="3"/>
  <c r="G1284" i="3" s="1"/>
  <c r="E1257" i="3"/>
  <c r="H1257" i="3" s="1"/>
  <c r="E1366" i="3"/>
  <c r="H1366" i="3" s="1"/>
  <c r="C1467" i="3"/>
  <c r="F1467" i="3" s="1"/>
  <c r="E1414" i="3"/>
  <c r="H1414" i="3" s="1"/>
  <c r="C1367" i="3"/>
  <c r="F1367" i="3" s="1"/>
  <c r="C1315" i="3"/>
  <c r="F1315" i="3" s="1"/>
  <c r="D1463" i="3"/>
  <c r="G1463" i="3" s="1"/>
  <c r="D1439" i="3"/>
  <c r="G1439" i="3" s="1"/>
  <c r="D1413" i="3"/>
  <c r="G1413" i="3" s="1"/>
  <c r="C1386" i="3"/>
  <c r="F1386" i="3" s="1"/>
  <c r="D1349" i="3"/>
  <c r="G1349" i="3" s="1"/>
  <c r="D1456" i="3"/>
  <c r="G1456" i="3" s="1"/>
  <c r="E1432" i="3"/>
  <c r="H1432" i="3" s="1"/>
  <c r="D1408" i="3"/>
  <c r="G1408" i="3" s="1"/>
  <c r="E1380" i="3"/>
  <c r="H1380" i="3" s="1"/>
  <c r="E1339" i="3"/>
  <c r="H1339" i="3" s="1"/>
  <c r="D1262" i="3"/>
  <c r="G1262" i="3" s="1"/>
  <c r="E1321" i="3"/>
  <c r="H1321" i="3" s="1"/>
  <c r="E1162" i="3"/>
  <c r="H1162" i="3" s="1"/>
  <c r="C1205" i="3"/>
  <c r="F1205" i="3" s="1"/>
  <c r="E1040" i="3"/>
  <c r="H1040" i="3" s="1"/>
  <c r="E1211" i="3"/>
  <c r="H1211" i="3" s="1"/>
  <c r="D1069" i="3"/>
  <c r="G1069" i="3" s="1"/>
  <c r="C1226" i="3"/>
  <c r="F1226" i="3" s="1"/>
  <c r="C1075" i="3"/>
  <c r="F1075" i="3" s="1"/>
  <c r="E923" i="3"/>
  <c r="H923" i="3" s="1"/>
  <c r="D898" i="3"/>
  <c r="G898" i="3" s="1"/>
  <c r="E143" i="3"/>
  <c r="H143" i="3" s="1"/>
  <c r="E775" i="3"/>
  <c r="H775" i="3" s="1"/>
  <c r="C1303" i="3"/>
  <c r="F1303" i="3" s="1"/>
  <c r="E1263" i="3"/>
  <c r="H1263" i="3" s="1"/>
  <c r="C1154" i="3"/>
  <c r="F1154" i="3" s="1"/>
  <c r="E1023" i="3"/>
  <c r="H1023" i="3" s="1"/>
  <c r="C1299" i="3"/>
  <c r="F1299" i="3" s="1"/>
  <c r="C1443" i="3"/>
  <c r="F1443" i="3" s="1"/>
  <c r="C1295" i="3"/>
  <c r="F1295" i="3" s="1"/>
  <c r="D1396" i="3"/>
  <c r="G1396" i="3" s="1"/>
  <c r="C1435" i="3"/>
  <c r="F1435" i="3" s="1"/>
  <c r="C1207" i="3"/>
  <c r="F1207" i="3" s="1"/>
  <c r="D1363" i="3"/>
  <c r="G1363" i="3" s="1"/>
  <c r="C1416" i="3"/>
  <c r="F1416" i="3" s="1"/>
  <c r="E1463" i="3"/>
  <c r="H1463" i="3" s="1"/>
  <c r="C1470" i="3"/>
  <c r="F1470" i="3" s="1"/>
  <c r="E1393" i="3"/>
  <c r="H1393" i="3" s="1"/>
  <c r="C701" i="3"/>
  <c r="F701" i="3" s="1"/>
  <c r="E1466" i="3"/>
  <c r="H1466" i="3" s="1"/>
  <c r="E1314" i="3"/>
  <c r="H1314" i="3" s="1"/>
  <c r="E1462" i="3"/>
  <c r="H1462" i="3" s="1"/>
  <c r="C1415" i="3"/>
  <c r="F1415" i="3" s="1"/>
  <c r="C1363" i="3"/>
  <c r="F1363" i="3" s="1"/>
  <c r="E1310" i="3"/>
  <c r="H1310" i="3" s="1"/>
  <c r="D1461" i="3"/>
  <c r="G1461" i="3" s="1"/>
  <c r="D1437" i="3"/>
  <c r="G1437" i="3" s="1"/>
  <c r="E1413" i="3"/>
  <c r="H1413" i="3" s="1"/>
  <c r="D1383" i="3"/>
  <c r="G1383" i="3" s="1"/>
  <c r="D1347" i="3"/>
  <c r="G1347" i="3" s="1"/>
  <c r="E1456" i="3"/>
  <c r="H1456" i="3" s="1"/>
  <c r="E1431" i="3"/>
  <c r="H1431" i="3" s="1"/>
  <c r="C1409" i="3"/>
  <c r="F1409" i="3" s="1"/>
  <c r="C1381" i="3"/>
  <c r="F1381" i="3" s="1"/>
  <c r="D1338" i="3"/>
  <c r="G1338" i="3" s="1"/>
  <c r="D1260" i="3"/>
  <c r="G1260" i="3" s="1"/>
  <c r="D1311" i="3"/>
  <c r="G1311" i="3" s="1"/>
  <c r="C1151" i="3"/>
  <c r="F1151" i="3" s="1"/>
  <c r="E1197" i="3"/>
  <c r="H1197" i="3" s="1"/>
  <c r="E1032" i="3"/>
  <c r="H1032" i="3" s="1"/>
  <c r="C1203" i="3"/>
  <c r="F1203" i="3" s="1"/>
  <c r="D1057" i="3"/>
  <c r="G1057" i="3" s="1"/>
  <c r="C1217" i="3"/>
  <c r="F1217" i="3" s="1"/>
  <c r="C1070" i="3"/>
  <c r="F1070" i="3" s="1"/>
  <c r="C920" i="3"/>
  <c r="F920" i="3" s="1"/>
  <c r="D827" i="3"/>
  <c r="G827" i="3" s="1"/>
  <c r="E71" i="3"/>
  <c r="H71" i="3" s="1"/>
  <c r="E1394" i="3"/>
  <c r="H1394" i="3" s="1"/>
  <c r="E1472" i="3"/>
  <c r="H1472" i="3" s="1"/>
  <c r="D1366" i="3"/>
  <c r="G1366" i="3" s="1"/>
  <c r="C1425" i="3"/>
  <c r="F1425" i="3" s="1"/>
  <c r="C1439" i="3"/>
  <c r="F1439" i="3" s="1"/>
  <c r="C1421" i="3"/>
  <c r="F1421" i="3" s="1"/>
  <c r="E1434" i="3"/>
  <c r="H1434" i="3" s="1"/>
  <c r="C1464" i="3"/>
  <c r="F1464" i="3" s="1"/>
  <c r="D1302" i="3"/>
  <c r="G1302" i="3" s="1"/>
  <c r="E1445" i="3"/>
  <c r="H1445" i="3" s="1"/>
  <c r="E1426" i="3"/>
  <c r="H1426" i="3" s="1"/>
  <c r="D1460" i="3"/>
  <c r="G1460" i="3" s="1"/>
  <c r="C1427" i="3"/>
  <c r="F1427" i="3" s="1"/>
  <c r="C1412" i="3"/>
  <c r="F1412" i="3" s="1"/>
  <c r="E922" i="3"/>
  <c r="H922" i="3" s="1"/>
  <c r="E1418" i="3"/>
  <c r="H1418" i="3" s="1"/>
  <c r="C1466" i="3"/>
  <c r="F1466" i="3" s="1"/>
  <c r="C1463" i="3"/>
  <c r="F1463" i="3" s="1"/>
  <c r="C1411" i="3"/>
  <c r="F1411" i="3" s="1"/>
  <c r="C1359" i="3"/>
  <c r="F1359" i="3" s="1"/>
  <c r="C1311" i="3"/>
  <c r="F1311" i="3" s="1"/>
  <c r="E1461" i="3"/>
  <c r="H1461" i="3" s="1"/>
  <c r="E1437" i="3"/>
  <c r="H1437" i="3" s="1"/>
  <c r="D1409" i="3"/>
  <c r="G1409" i="3" s="1"/>
  <c r="D1381" i="3"/>
  <c r="G1381" i="3" s="1"/>
  <c r="D1345" i="3"/>
  <c r="G1345" i="3" s="1"/>
  <c r="C1452" i="3"/>
  <c r="F1452" i="3" s="1"/>
  <c r="D1430" i="3"/>
  <c r="G1430" i="3" s="1"/>
  <c r="E1407" i="3"/>
  <c r="H1407" i="3" s="1"/>
  <c r="D1376" i="3"/>
  <c r="G1376" i="3" s="1"/>
  <c r="D1334" i="3"/>
  <c r="G1334" i="3" s="1"/>
  <c r="D1254" i="3"/>
  <c r="G1254" i="3" s="1"/>
  <c r="C1306" i="3"/>
  <c r="F1306" i="3" s="1"/>
  <c r="E1344" i="3"/>
  <c r="H1344" i="3" s="1"/>
  <c r="C1198" i="3"/>
  <c r="F1198" i="3" s="1"/>
  <c r="C1033" i="3"/>
  <c r="F1033" i="3" s="1"/>
  <c r="C1187" i="3"/>
  <c r="F1187" i="3" s="1"/>
  <c r="C1052" i="3"/>
  <c r="F1052" i="3" s="1"/>
  <c r="D1217" i="3"/>
  <c r="G1217" i="3" s="1"/>
  <c r="D1056" i="3"/>
  <c r="G1056" i="3" s="1"/>
  <c r="E996" i="3"/>
  <c r="H996" i="3" s="1"/>
  <c r="E823" i="3"/>
  <c r="H823" i="3" s="1"/>
  <c r="E292" i="3"/>
  <c r="H292" i="3" s="1"/>
  <c r="C938" i="3"/>
  <c r="F938" i="3" s="1"/>
  <c r="D1218" i="3"/>
  <c r="G1218" i="3" s="1"/>
  <c r="D1036" i="3"/>
  <c r="G1036" i="3" s="1"/>
  <c r="D1455" i="3"/>
  <c r="G1455" i="3" s="1"/>
  <c r="E1165" i="3"/>
  <c r="H1165" i="3" s="1"/>
  <c r="E1453" i="3"/>
  <c r="H1453" i="3" s="1"/>
  <c r="E1390" i="3"/>
  <c r="H1390" i="3" s="1"/>
  <c r="D1360" i="3"/>
  <c r="G1360" i="3" s="1"/>
  <c r="E1473" i="3"/>
  <c r="H1473" i="3" s="1"/>
  <c r="D1178" i="3"/>
  <c r="G1178" i="3" s="1"/>
  <c r="D1445" i="3"/>
  <c r="G1445" i="3" s="1"/>
  <c r="E1406" i="3"/>
  <c r="H1406" i="3" s="1"/>
  <c r="E1306" i="3"/>
  <c r="H1306" i="3" s="1"/>
  <c r="E1409" i="3"/>
  <c r="H1409" i="3" s="1"/>
  <c r="D1428" i="3"/>
  <c r="G1428" i="3" s="1"/>
  <c r="C1332" i="3"/>
  <c r="F1332" i="3" s="1"/>
  <c r="C1189" i="3"/>
  <c r="F1189" i="3" s="1"/>
  <c r="D1215" i="3"/>
  <c r="G1215" i="3" s="1"/>
  <c r="D813" i="3"/>
  <c r="G813" i="3" s="1"/>
  <c r="E1317" i="3"/>
  <c r="H1317" i="3" s="1"/>
  <c r="C1451" i="3"/>
  <c r="F1451" i="3" s="1"/>
  <c r="D1373" i="3"/>
  <c r="G1373" i="3" s="1"/>
  <c r="D1208" i="3"/>
  <c r="G1208" i="3" s="1"/>
  <c r="D1470" i="3"/>
  <c r="G1470" i="3" s="1"/>
  <c r="D1198" i="3"/>
  <c r="G1198" i="3" s="1"/>
  <c r="D1304" i="3"/>
  <c r="G1304" i="3" s="1"/>
  <c r="D1397" i="3"/>
  <c r="G1397" i="3" s="1"/>
  <c r="C1459" i="3"/>
  <c r="F1459" i="3" s="1"/>
  <c r="E1354" i="3"/>
  <c r="H1354" i="3" s="1"/>
  <c r="C1462" i="3"/>
  <c r="F1462" i="3" s="1"/>
  <c r="D1435" i="3"/>
  <c r="G1435" i="3" s="1"/>
  <c r="E1381" i="3"/>
  <c r="H1381" i="3" s="1"/>
  <c r="C1346" i="3"/>
  <c r="F1346" i="3" s="1"/>
  <c r="D1452" i="3"/>
  <c r="G1452" i="3" s="1"/>
  <c r="C1404" i="3"/>
  <c r="F1404" i="3" s="1"/>
  <c r="E1372" i="3"/>
  <c r="H1372" i="3" s="1"/>
  <c r="D1246" i="3"/>
  <c r="G1246" i="3" s="1"/>
  <c r="E1300" i="3"/>
  <c r="H1300" i="3" s="1"/>
  <c r="E1333" i="3"/>
  <c r="H1333" i="3" s="1"/>
  <c r="E1028" i="3"/>
  <c r="H1028" i="3" s="1"/>
  <c r="C1171" i="3"/>
  <c r="F1171" i="3" s="1"/>
  <c r="D1049" i="3"/>
  <c r="G1049" i="3" s="1"/>
  <c r="E1050" i="3"/>
  <c r="H1050" i="3" s="1"/>
  <c r="D993" i="3"/>
  <c r="G993" i="3" s="1"/>
  <c r="E1454" i="3"/>
  <c r="H1454" i="3" s="1"/>
  <c r="E1402" i="3"/>
  <c r="H1402" i="3" s="1"/>
  <c r="C1355" i="3"/>
  <c r="F1355" i="3" s="1"/>
  <c r="C1307" i="3"/>
  <c r="F1307" i="3" s="1"/>
  <c r="D1459" i="3"/>
  <c r="G1459" i="3" s="1"/>
  <c r="D1433" i="3"/>
  <c r="G1433" i="3" s="1"/>
  <c r="D1407" i="3"/>
  <c r="G1407" i="3" s="1"/>
  <c r="D1379" i="3"/>
  <c r="G1379" i="3" s="1"/>
  <c r="D1474" i="3"/>
  <c r="G1474" i="3" s="1"/>
  <c r="C1453" i="3"/>
  <c r="F1453" i="3" s="1"/>
  <c r="E1428" i="3"/>
  <c r="H1428" i="3" s="1"/>
  <c r="E1403" i="3"/>
  <c r="H1403" i="3" s="1"/>
  <c r="C1373" i="3"/>
  <c r="F1373" i="3" s="1"/>
  <c r="C1328" i="3"/>
  <c r="F1328" i="3" s="1"/>
  <c r="D1236" i="3"/>
  <c r="G1236" i="3" s="1"/>
  <c r="C1280" i="3"/>
  <c r="F1280" i="3" s="1"/>
  <c r="E1328" i="3"/>
  <c r="H1328" i="3" s="1"/>
  <c r="E1184" i="3"/>
  <c r="H1184" i="3" s="1"/>
  <c r="E1016" i="3"/>
  <c r="H1016" i="3" s="1"/>
  <c r="E1166" i="3"/>
  <c r="H1166" i="3" s="1"/>
  <c r="D1037" i="3"/>
  <c r="G1037" i="3" s="1"/>
  <c r="D1191" i="3"/>
  <c r="G1191" i="3" s="1"/>
  <c r="C1051" i="3"/>
  <c r="F1051" i="3" s="1"/>
  <c r="D945" i="3"/>
  <c r="G945" i="3" s="1"/>
  <c r="D805" i="3"/>
  <c r="G805" i="3" s="1"/>
  <c r="L102" i="26"/>
  <c r="B33" i="52"/>
  <c r="D1385" i="3"/>
  <c r="G1385" i="3" s="1"/>
  <c r="D1361" i="3"/>
  <c r="G1361" i="3" s="1"/>
  <c r="C1473" i="3"/>
  <c r="F1473" i="3" s="1"/>
  <c r="C1457" i="3"/>
  <c r="F1457" i="3" s="1"/>
  <c r="E1439" i="3"/>
  <c r="H1439" i="3" s="1"/>
  <c r="C1420" i="3"/>
  <c r="F1420" i="3" s="1"/>
  <c r="D1404" i="3"/>
  <c r="G1404" i="3" s="1"/>
  <c r="C1385" i="3"/>
  <c r="F1385" i="3" s="1"/>
  <c r="E1359" i="3"/>
  <c r="H1359" i="3" s="1"/>
  <c r="E1323" i="3"/>
  <c r="H1323" i="3" s="1"/>
  <c r="D1272" i="3"/>
  <c r="G1272" i="3" s="1"/>
  <c r="D1188" i="3"/>
  <c r="G1188" i="3" s="1"/>
  <c r="C1288" i="3"/>
  <c r="F1288" i="3" s="1"/>
  <c r="E1194" i="3"/>
  <c r="H1194" i="3" s="1"/>
  <c r="D1301" i="3"/>
  <c r="G1301" i="3" s="1"/>
  <c r="E1216" i="3"/>
  <c r="H1216" i="3" s="1"/>
  <c r="E1136" i="3"/>
  <c r="H1136" i="3" s="1"/>
  <c r="C1029" i="3"/>
  <c r="F1029" i="3" s="1"/>
  <c r="C1252" i="3"/>
  <c r="F1252" i="3" s="1"/>
  <c r="E1155" i="3"/>
  <c r="H1155" i="3" s="1"/>
  <c r="D1087" i="3"/>
  <c r="G1087" i="3" s="1"/>
  <c r="E1015" i="3"/>
  <c r="H1015" i="3" s="1"/>
  <c r="E1244" i="3"/>
  <c r="H1244" i="3" s="1"/>
  <c r="D1130" i="3"/>
  <c r="G1130" i="3" s="1"/>
  <c r="E1069" i="3"/>
  <c r="H1069" i="3" s="1"/>
  <c r="E982" i="3"/>
  <c r="H982" i="3" s="1"/>
  <c r="D991" i="3"/>
  <c r="G991" i="3" s="1"/>
  <c r="E712" i="3"/>
  <c r="H712" i="3" s="1"/>
  <c r="D749" i="3"/>
  <c r="G749" i="3" s="1"/>
  <c r="C642" i="3"/>
  <c r="F642" i="3" s="1"/>
  <c r="E1385" i="3"/>
  <c r="H1385" i="3" s="1"/>
  <c r="E1361" i="3"/>
  <c r="H1361" i="3" s="1"/>
  <c r="E1471" i="3"/>
  <c r="H1471" i="3" s="1"/>
  <c r="E1455" i="3"/>
  <c r="H1455" i="3" s="1"/>
  <c r="C1436" i="3"/>
  <c r="F1436" i="3" s="1"/>
  <c r="D1420" i="3"/>
  <c r="G1420" i="3" s="1"/>
  <c r="C1405" i="3"/>
  <c r="F1405" i="3" s="1"/>
  <c r="E1383" i="3"/>
  <c r="H1383" i="3" s="1"/>
  <c r="D1358" i="3"/>
  <c r="G1358" i="3" s="1"/>
  <c r="D1320" i="3"/>
  <c r="G1320" i="3" s="1"/>
  <c r="D1270" i="3"/>
  <c r="G1270" i="3" s="1"/>
  <c r="D1182" i="3"/>
  <c r="G1182" i="3" s="1"/>
  <c r="C1279" i="3"/>
  <c r="F1279" i="3" s="1"/>
  <c r="C1191" i="3"/>
  <c r="F1191" i="3" s="1"/>
  <c r="E1296" i="3"/>
  <c r="H1296" i="3" s="1"/>
  <c r="D1213" i="3"/>
  <c r="G1213" i="3" s="1"/>
  <c r="C1129" i="3"/>
  <c r="F1129" i="3" s="1"/>
  <c r="E1024" i="3"/>
  <c r="H1024" i="3" s="1"/>
  <c r="E1235" i="3"/>
  <c r="H1235" i="3" s="1"/>
  <c r="C1156" i="3"/>
  <c r="F1156" i="3" s="1"/>
  <c r="D1083" i="3"/>
  <c r="G1083" i="3" s="1"/>
  <c r="C1008" i="3"/>
  <c r="F1008" i="3" s="1"/>
  <c r="C1242" i="3"/>
  <c r="F1242" i="3" s="1"/>
  <c r="C1126" i="3"/>
  <c r="F1126" i="3" s="1"/>
  <c r="D1058" i="3"/>
  <c r="G1058" i="3" s="1"/>
  <c r="C983" i="3"/>
  <c r="F983" i="3" s="1"/>
  <c r="D977" i="3"/>
  <c r="G977" i="3" s="1"/>
  <c r="E708" i="3"/>
  <c r="H708" i="3" s="1"/>
  <c r="E699" i="3"/>
  <c r="H699" i="3" s="1"/>
  <c r="D610" i="3"/>
  <c r="G610" i="3" s="1"/>
  <c r="D1172" i="3"/>
  <c r="G1172" i="3" s="1"/>
  <c r="E1271" i="3"/>
  <c r="H1271" i="3" s="1"/>
  <c r="C1183" i="3"/>
  <c r="F1183" i="3" s="1"/>
  <c r="D1285" i="3"/>
  <c r="G1285" i="3" s="1"/>
  <c r="E1200" i="3"/>
  <c r="H1200" i="3" s="1"/>
  <c r="C1121" i="3"/>
  <c r="F1121" i="3" s="1"/>
  <c r="E1012" i="3"/>
  <c r="H1012" i="3" s="1"/>
  <c r="C1227" i="3"/>
  <c r="F1227" i="3" s="1"/>
  <c r="E1147" i="3"/>
  <c r="H1147" i="3" s="1"/>
  <c r="D1075" i="3"/>
  <c r="G1075" i="3" s="1"/>
  <c r="C1000" i="3"/>
  <c r="F1000" i="3" s="1"/>
  <c r="E1220" i="3"/>
  <c r="H1220" i="3" s="1"/>
  <c r="C1122" i="3"/>
  <c r="F1122" i="3" s="1"/>
  <c r="E1053" i="3"/>
  <c r="H1053" i="3" s="1"/>
  <c r="C951" i="3"/>
  <c r="F951" i="3" s="1"/>
  <c r="C937" i="3"/>
  <c r="F937" i="3" s="1"/>
  <c r="E700" i="3"/>
  <c r="H700" i="3" s="1"/>
  <c r="D639" i="3"/>
  <c r="G639" i="3" s="1"/>
  <c r="C591" i="3"/>
  <c r="F591" i="3" s="1"/>
  <c r="C1382" i="3"/>
  <c r="F1382" i="3" s="1"/>
  <c r="C1358" i="3"/>
  <c r="F1358" i="3" s="1"/>
  <c r="E1467" i="3"/>
  <c r="H1467" i="3" s="1"/>
  <c r="C1448" i="3"/>
  <c r="F1448" i="3" s="1"/>
  <c r="D1432" i="3"/>
  <c r="G1432" i="3" s="1"/>
  <c r="D1416" i="3"/>
  <c r="G1416" i="3" s="1"/>
  <c r="C1401" i="3"/>
  <c r="F1401" i="3" s="1"/>
  <c r="E1379" i="3"/>
  <c r="H1379" i="3" s="1"/>
  <c r="D1350" i="3"/>
  <c r="G1350" i="3" s="1"/>
  <c r="D1310" i="3"/>
  <c r="G1310" i="3" s="1"/>
  <c r="D1252" i="3"/>
  <c r="G1252" i="3" s="1"/>
  <c r="D1152" i="3"/>
  <c r="G1152" i="3" s="1"/>
  <c r="E1255" i="3"/>
  <c r="H1255" i="3" s="1"/>
  <c r="C1176" i="3"/>
  <c r="F1176" i="3" s="1"/>
  <c r="C1270" i="3"/>
  <c r="F1270" i="3" s="1"/>
  <c r="E1192" i="3"/>
  <c r="H1192" i="3" s="1"/>
  <c r="E1108" i="3"/>
  <c r="H1108" i="3" s="1"/>
  <c r="D1319" i="3"/>
  <c r="G1319" i="3" s="1"/>
  <c r="D1219" i="3"/>
  <c r="G1219" i="3" s="1"/>
  <c r="D1135" i="3"/>
  <c r="G1135" i="3" s="1"/>
  <c r="D1063" i="3"/>
  <c r="G1063" i="3" s="1"/>
  <c r="C1342" i="3"/>
  <c r="F1342" i="3" s="1"/>
  <c r="C1218" i="3"/>
  <c r="F1218" i="3" s="1"/>
  <c r="E1109" i="3"/>
  <c r="H1109" i="3" s="1"/>
  <c r="D1048" i="3"/>
  <c r="G1048" i="3" s="1"/>
  <c r="E930" i="3"/>
  <c r="H930" i="3" s="1"/>
  <c r="C897" i="3"/>
  <c r="F897" i="3" s="1"/>
  <c r="E636" i="3"/>
  <c r="H636" i="3" s="1"/>
  <c r="C950" i="3"/>
  <c r="F950" i="3" s="1"/>
  <c r="C466" i="3"/>
  <c r="F466" i="3" s="1"/>
  <c r="D1377" i="3"/>
  <c r="G1377" i="3" s="1"/>
  <c r="D1353" i="3"/>
  <c r="G1353" i="3" s="1"/>
  <c r="D1464" i="3"/>
  <c r="G1464" i="3" s="1"/>
  <c r="C1449" i="3"/>
  <c r="F1449" i="3" s="1"/>
  <c r="C1433" i="3"/>
  <c r="F1433" i="3" s="1"/>
  <c r="C1417" i="3"/>
  <c r="F1417" i="3" s="1"/>
  <c r="D1398" i="3"/>
  <c r="G1398" i="3" s="1"/>
  <c r="E1375" i="3"/>
  <c r="H1375" i="3" s="1"/>
  <c r="C1344" i="3"/>
  <c r="F1344" i="3" s="1"/>
  <c r="D1306" i="3"/>
  <c r="G1306" i="3" s="1"/>
  <c r="D1242" i="3"/>
  <c r="G1242" i="3" s="1"/>
  <c r="D1142" i="3"/>
  <c r="G1142" i="3" s="1"/>
  <c r="C1247" i="3"/>
  <c r="F1247" i="3" s="1"/>
  <c r="C1168" i="3"/>
  <c r="F1168" i="3" s="1"/>
  <c r="C1262" i="3"/>
  <c r="F1262" i="3" s="1"/>
  <c r="C1190" i="3"/>
  <c r="F1190" i="3" s="1"/>
  <c r="C1101" i="3"/>
  <c r="F1101" i="3" s="1"/>
  <c r="D1303" i="3"/>
  <c r="G1303" i="3" s="1"/>
  <c r="C1211" i="3"/>
  <c r="F1211" i="3" s="1"/>
  <c r="E1127" i="3"/>
  <c r="H1127" i="3" s="1"/>
  <c r="D1051" i="3"/>
  <c r="G1051" i="3" s="1"/>
  <c r="C1310" i="3"/>
  <c r="F1310" i="3" s="1"/>
  <c r="E1201" i="3"/>
  <c r="H1201" i="3" s="1"/>
  <c r="D1104" i="3"/>
  <c r="G1104" i="3" s="1"/>
  <c r="E1037" i="3"/>
  <c r="H1037" i="3" s="1"/>
  <c r="C919" i="3"/>
  <c r="F919" i="3" s="1"/>
  <c r="C889" i="3"/>
  <c r="F889" i="3" s="1"/>
  <c r="D956" i="3"/>
  <c r="G956" i="3" s="1"/>
  <c r="C926" i="3"/>
  <c r="F926" i="3" s="1"/>
  <c r="C500" i="3"/>
  <c r="F500" i="3" s="1"/>
  <c r="D1375" i="3"/>
  <c r="G1375" i="3" s="1"/>
  <c r="E1349" i="3"/>
  <c r="H1349" i="3" s="1"/>
  <c r="C1460" i="3"/>
  <c r="F1460" i="3" s="1"/>
  <c r="C1444" i="3"/>
  <c r="F1444" i="3" s="1"/>
  <c r="C1428" i="3"/>
  <c r="F1428" i="3" s="1"/>
  <c r="D1412" i="3"/>
  <c r="G1412" i="3" s="1"/>
  <c r="E1395" i="3"/>
  <c r="H1395" i="3" s="1"/>
  <c r="D1370" i="3"/>
  <c r="G1370" i="3" s="1"/>
  <c r="D1342" i="3"/>
  <c r="G1342" i="3" s="1"/>
  <c r="E1303" i="3"/>
  <c r="H1303" i="3" s="1"/>
  <c r="D1222" i="3"/>
  <c r="G1222" i="3" s="1"/>
  <c r="D1337" i="3"/>
  <c r="G1337" i="3" s="1"/>
  <c r="E1242" i="3"/>
  <c r="H1242" i="3" s="1"/>
  <c r="E1143" i="3"/>
  <c r="H1143" i="3" s="1"/>
  <c r="C1254" i="3"/>
  <c r="F1254" i="3" s="1"/>
  <c r="E1176" i="3"/>
  <c r="H1176" i="3" s="1"/>
  <c r="C1073" i="3"/>
  <c r="F1073" i="3" s="1"/>
  <c r="E1286" i="3"/>
  <c r="H1286" i="3" s="1"/>
  <c r="E1203" i="3"/>
  <c r="H1203" i="3" s="1"/>
  <c r="D1117" i="3"/>
  <c r="G1117" i="3" s="1"/>
  <c r="E1047" i="3"/>
  <c r="H1047" i="3" s="1"/>
  <c r="C1294" i="3"/>
  <c r="F1294" i="3" s="1"/>
  <c r="E1177" i="3"/>
  <c r="H1177" i="3" s="1"/>
  <c r="C1090" i="3"/>
  <c r="F1090" i="3" s="1"/>
  <c r="C1035" i="3"/>
  <c r="F1035" i="3" s="1"/>
  <c r="D976" i="3"/>
  <c r="G976" i="3" s="1"/>
  <c r="E876" i="3"/>
  <c r="H876" i="3" s="1"/>
  <c r="E879" i="3"/>
  <c r="H879" i="3" s="1"/>
  <c r="E874" i="3"/>
  <c r="H874" i="3" s="1"/>
  <c r="E268" i="3"/>
  <c r="H268" i="3" s="1"/>
  <c r="C1195" i="3"/>
  <c r="F1195" i="3" s="1"/>
  <c r="D1111" i="3"/>
  <c r="G1111" i="3" s="1"/>
  <c r="D1045" i="3"/>
  <c r="G1045" i="3" s="1"/>
  <c r="D1289" i="3"/>
  <c r="G1289" i="3" s="1"/>
  <c r="D1175" i="3"/>
  <c r="G1175" i="3" s="1"/>
  <c r="C1091" i="3"/>
  <c r="F1091" i="3" s="1"/>
  <c r="C1030" i="3"/>
  <c r="F1030" i="3" s="1"/>
  <c r="E947" i="3"/>
  <c r="H947" i="3" s="1"/>
  <c r="C857" i="3"/>
  <c r="F857" i="3" s="1"/>
  <c r="D871" i="3"/>
  <c r="G871" i="3" s="1"/>
  <c r="E845" i="3"/>
  <c r="H845" i="3" s="1"/>
  <c r="E1299" i="3"/>
  <c r="H1299" i="3" s="1"/>
  <c r="D1210" i="3"/>
  <c r="G1210" i="3" s="1"/>
  <c r="C1338" i="3"/>
  <c r="F1338" i="3" s="1"/>
  <c r="C1231" i="3"/>
  <c r="F1231" i="3" s="1"/>
  <c r="C1333" i="3"/>
  <c r="F1333" i="3" s="1"/>
  <c r="C1245" i="3"/>
  <c r="F1245" i="3" s="1"/>
  <c r="E1168" i="3"/>
  <c r="H1168" i="3" s="1"/>
  <c r="E1060" i="3"/>
  <c r="H1060" i="3" s="1"/>
  <c r="C1284" i="3"/>
  <c r="F1284" i="3" s="1"/>
  <c r="E1190" i="3"/>
  <c r="H1190" i="3" s="1"/>
  <c r="D1105" i="3"/>
  <c r="G1105" i="3" s="1"/>
  <c r="D1043" i="3"/>
  <c r="G1043" i="3" s="1"/>
  <c r="C1281" i="3"/>
  <c r="F1281" i="3" s="1"/>
  <c r="E1153" i="3"/>
  <c r="H1153" i="3" s="1"/>
  <c r="E1089" i="3"/>
  <c r="H1089" i="3" s="1"/>
  <c r="E1029" i="3"/>
  <c r="H1029" i="3" s="1"/>
  <c r="D934" i="3"/>
  <c r="G934" i="3" s="1"/>
  <c r="C841" i="3"/>
  <c r="F841" i="3" s="1"/>
  <c r="D835" i="3"/>
  <c r="G835" i="3" s="1"/>
  <c r="E806" i="3"/>
  <c r="H806" i="3" s="1"/>
  <c r="D1395" i="3"/>
  <c r="G1395" i="3" s="1"/>
  <c r="C1370" i="3"/>
  <c r="F1370" i="3" s="1"/>
  <c r="E1475" i="3"/>
  <c r="H1475" i="3" s="1"/>
  <c r="E1459" i="3"/>
  <c r="H1459" i="3" s="1"/>
  <c r="E1443" i="3"/>
  <c r="H1443" i="3" s="1"/>
  <c r="D1426" i="3"/>
  <c r="G1426" i="3" s="1"/>
  <c r="C1408" i="3"/>
  <c r="F1408" i="3" s="1"/>
  <c r="D1390" i="3"/>
  <c r="G1390" i="3" s="1"/>
  <c r="C1364" i="3"/>
  <c r="F1364" i="3" s="1"/>
  <c r="C1336" i="3"/>
  <c r="F1336" i="3" s="1"/>
  <c r="D1290" i="3"/>
  <c r="G1290" i="3" s="1"/>
  <c r="D1206" i="3"/>
  <c r="G1206" i="3" s="1"/>
  <c r="D1321" i="3"/>
  <c r="G1321" i="3" s="1"/>
  <c r="C1215" i="3"/>
  <c r="F1215" i="3" s="1"/>
  <c r="C1334" i="3"/>
  <c r="F1334" i="3" s="1"/>
  <c r="E1240" i="3"/>
  <c r="H1240" i="3" s="1"/>
  <c r="D1157" i="3"/>
  <c r="G1157" i="3" s="1"/>
  <c r="C1045" i="3"/>
  <c r="F1045" i="3" s="1"/>
  <c r="E1270" i="3"/>
  <c r="H1270" i="3" s="1"/>
  <c r="C1179" i="3"/>
  <c r="F1179" i="3" s="1"/>
  <c r="C1104" i="3"/>
  <c r="F1104" i="3" s="1"/>
  <c r="D1031" i="3"/>
  <c r="G1031" i="3" s="1"/>
  <c r="C1257" i="3"/>
  <c r="F1257" i="3" s="1"/>
  <c r="C1145" i="3"/>
  <c r="F1145" i="3" s="1"/>
  <c r="E1086" i="3"/>
  <c r="H1086" i="3" s="1"/>
  <c r="C1015" i="3"/>
  <c r="F1015" i="3" s="1"/>
  <c r="D926" i="3"/>
  <c r="G926" i="3" s="1"/>
  <c r="E784" i="3"/>
  <c r="H784" i="3" s="1"/>
  <c r="C828" i="3"/>
  <c r="F828" i="3" s="1"/>
  <c r="D750" i="3"/>
  <c r="G750" i="3" s="1"/>
  <c r="O3" i="50"/>
  <c r="A3" i="50" s="1"/>
  <c r="O9" i="50"/>
  <c r="A9" i="50" s="1"/>
  <c r="O4" i="50"/>
  <c r="A4" i="50" s="1"/>
  <c r="O14" i="50"/>
  <c r="A14" i="50" s="1"/>
  <c r="O6" i="50"/>
  <c r="A6" i="50" s="1"/>
  <c r="O11" i="50"/>
  <c r="A11" i="50" s="1"/>
  <c r="O7" i="50"/>
  <c r="A7" i="50" s="1"/>
  <c r="O13" i="50"/>
  <c r="A13" i="50" s="1"/>
  <c r="O10" i="50"/>
  <c r="A10" i="50" s="1"/>
  <c r="O12" i="50"/>
  <c r="A12" i="50" s="1"/>
  <c r="O8" i="50"/>
  <c r="A8" i="50" s="1"/>
  <c r="O5" i="50"/>
  <c r="A5" i="50" s="1"/>
  <c r="E990" i="3"/>
  <c r="H990" i="3" s="1"/>
  <c r="C936" i="3"/>
  <c r="F936" i="3" s="1"/>
  <c r="D903" i="3"/>
  <c r="G903" i="3" s="1"/>
  <c r="E744" i="3"/>
  <c r="H744" i="3" s="1"/>
  <c r="E875" i="3"/>
  <c r="H875" i="3" s="1"/>
  <c r="D617" i="3"/>
  <c r="G617" i="3" s="1"/>
  <c r="D718" i="3"/>
  <c r="G718" i="3" s="1"/>
  <c r="D304" i="3"/>
  <c r="G304" i="3" s="1"/>
  <c r="E550" i="3"/>
  <c r="H550" i="3" s="1"/>
  <c r="E1458" i="3"/>
  <c r="H1458" i="3" s="1"/>
  <c r="C1419" i="3"/>
  <c r="F1419" i="3" s="1"/>
  <c r="E1374" i="3"/>
  <c r="H1374" i="3" s="1"/>
  <c r="C1335" i="3"/>
  <c r="F1335" i="3" s="1"/>
  <c r="C1291" i="3"/>
  <c r="F1291" i="3" s="1"/>
  <c r="E1457" i="3"/>
  <c r="H1457" i="3" s="1"/>
  <c r="C1438" i="3"/>
  <c r="F1438" i="3" s="1"/>
  <c r="D1415" i="3"/>
  <c r="G1415" i="3" s="1"/>
  <c r="D1393" i="3"/>
  <c r="G1393" i="3" s="1"/>
  <c r="E1373" i="3"/>
  <c r="H1373" i="3" s="1"/>
  <c r="D1351" i="3"/>
  <c r="G1351" i="3" s="1"/>
  <c r="D1466" i="3"/>
  <c r="G1466" i="3" s="1"/>
  <c r="E1452" i="3"/>
  <c r="H1452" i="3" s="1"/>
  <c r="D1438" i="3"/>
  <c r="G1438" i="3" s="1"/>
  <c r="E1424" i="3"/>
  <c r="H1424" i="3" s="1"/>
  <c r="D1410" i="3"/>
  <c r="G1410" i="3" s="1"/>
  <c r="E1396" i="3"/>
  <c r="H1396" i="3" s="1"/>
  <c r="C1376" i="3"/>
  <c r="F1376" i="3" s="1"/>
  <c r="D1356" i="3"/>
  <c r="G1356" i="3" s="1"/>
  <c r="D1330" i="3"/>
  <c r="G1330" i="3" s="1"/>
  <c r="D1300" i="3"/>
  <c r="G1300" i="3" s="1"/>
  <c r="D1244" i="3"/>
  <c r="G1244" i="3" s="1"/>
  <c r="D1174" i="3"/>
  <c r="G1174" i="3" s="1"/>
  <c r="C1305" i="3"/>
  <c r="F1305" i="3" s="1"/>
  <c r="E1234" i="3"/>
  <c r="H1234" i="3" s="1"/>
  <c r="E1167" i="3"/>
  <c r="H1167" i="3" s="1"/>
  <c r="E1288" i="3"/>
  <c r="H1288" i="3" s="1"/>
  <c r="E1229" i="3"/>
  <c r="H1229" i="3" s="1"/>
  <c r="C1174" i="3"/>
  <c r="F1174" i="3" s="1"/>
  <c r="E1104" i="3"/>
  <c r="H1104" i="3" s="1"/>
  <c r="C1017" i="3"/>
  <c r="F1017" i="3" s="1"/>
  <c r="C1268" i="3"/>
  <c r="F1268" i="3" s="1"/>
  <c r="C1196" i="3"/>
  <c r="F1196" i="3" s="1"/>
  <c r="D1127" i="3"/>
  <c r="G1127" i="3" s="1"/>
  <c r="D1077" i="3"/>
  <c r="G1077" i="3" s="1"/>
  <c r="D1025" i="3"/>
  <c r="G1025" i="3" s="1"/>
  <c r="E1284" i="3"/>
  <c r="H1284" i="3" s="1"/>
  <c r="E1212" i="3"/>
  <c r="H1212" i="3" s="1"/>
  <c r="E1125" i="3"/>
  <c r="H1125" i="3" s="1"/>
  <c r="E1074" i="3"/>
  <c r="H1074" i="3" s="1"/>
  <c r="D1030" i="3"/>
  <c r="G1030" i="3" s="1"/>
  <c r="E926" i="3"/>
  <c r="H926" i="3" s="1"/>
  <c r="C985" i="3"/>
  <c r="F985" i="3" s="1"/>
  <c r="C837" i="3"/>
  <c r="F837" i="3" s="1"/>
  <c r="C629" i="3"/>
  <c r="F629" i="3" s="1"/>
  <c r="C768" i="3"/>
  <c r="F768" i="3" s="1"/>
  <c r="D842" i="3"/>
  <c r="G842" i="3" s="1"/>
  <c r="D544" i="3"/>
  <c r="G544" i="3" s="1"/>
  <c r="C986" i="3"/>
  <c r="F986" i="3" s="1"/>
  <c r="C833" i="3"/>
  <c r="F833" i="3" s="1"/>
  <c r="E624" i="3"/>
  <c r="H624" i="3" s="1"/>
  <c r="E755" i="3"/>
  <c r="H755" i="3" s="1"/>
  <c r="D818" i="3"/>
  <c r="G818" i="3" s="1"/>
  <c r="D512" i="3"/>
  <c r="G512" i="3" s="1"/>
  <c r="C1455" i="3"/>
  <c r="F1455" i="3" s="1"/>
  <c r="E1410" i="3"/>
  <c r="H1410" i="3" s="1"/>
  <c r="C1371" i="3"/>
  <c r="F1371" i="3" s="1"/>
  <c r="E1326" i="3"/>
  <c r="H1326" i="3" s="1"/>
  <c r="D1475" i="3"/>
  <c r="G1475" i="3" s="1"/>
  <c r="D1453" i="3"/>
  <c r="G1453" i="3" s="1"/>
  <c r="E1433" i="3"/>
  <c r="H1433" i="3" s="1"/>
  <c r="D1411" i="3"/>
  <c r="G1411" i="3" s="1"/>
  <c r="D1389" i="3"/>
  <c r="G1389" i="3" s="1"/>
  <c r="E1369" i="3"/>
  <c r="H1369" i="3" s="1"/>
  <c r="C1350" i="3"/>
  <c r="F1350" i="3" s="1"/>
  <c r="E1464" i="3"/>
  <c r="H1464" i="3" s="1"/>
  <c r="D1450" i="3"/>
  <c r="G1450" i="3" s="1"/>
  <c r="E1436" i="3"/>
  <c r="H1436" i="3" s="1"/>
  <c r="D1422" i="3"/>
  <c r="G1422" i="3" s="1"/>
  <c r="E1408" i="3"/>
  <c r="H1408" i="3" s="1"/>
  <c r="C1392" i="3"/>
  <c r="F1392" i="3" s="1"/>
  <c r="D1374" i="3"/>
  <c r="G1374" i="3" s="1"/>
  <c r="C1352" i="3"/>
  <c r="F1352" i="3" s="1"/>
  <c r="D1326" i="3"/>
  <c r="G1326" i="3" s="1"/>
  <c r="D1296" i="3"/>
  <c r="G1296" i="3" s="1"/>
  <c r="D1234" i="3"/>
  <c r="G1234" i="3" s="1"/>
  <c r="D1168" i="3"/>
  <c r="G1168" i="3" s="1"/>
  <c r="C1287" i="3"/>
  <c r="F1287" i="3" s="1"/>
  <c r="C1223" i="3"/>
  <c r="F1223" i="3" s="1"/>
  <c r="C1159" i="3"/>
  <c r="F1159" i="3" s="1"/>
  <c r="E1280" i="3"/>
  <c r="H1280" i="3" s="1"/>
  <c r="D1221" i="3"/>
  <c r="G1221" i="3" s="1"/>
  <c r="C1166" i="3"/>
  <c r="F1166" i="3" s="1"/>
  <c r="E1084" i="3"/>
  <c r="H1084" i="3" s="1"/>
  <c r="E1000" i="3"/>
  <c r="H1000" i="3" s="1"/>
  <c r="E1254" i="3"/>
  <c r="H1254" i="3" s="1"/>
  <c r="C1188" i="3"/>
  <c r="F1188" i="3" s="1"/>
  <c r="D1125" i="3"/>
  <c r="G1125" i="3" s="1"/>
  <c r="C1076" i="3"/>
  <c r="F1076" i="3" s="1"/>
  <c r="C1020" i="3"/>
  <c r="F1020" i="3" s="1"/>
  <c r="C1282" i="3"/>
  <c r="F1282" i="3" s="1"/>
  <c r="C1185" i="3"/>
  <c r="F1185" i="3" s="1"/>
  <c r="E1122" i="3"/>
  <c r="H1122" i="3" s="1"/>
  <c r="D1070" i="3"/>
  <c r="G1070" i="3" s="1"/>
  <c r="D1016" i="3"/>
  <c r="G1016" i="3" s="1"/>
  <c r="E886" i="3"/>
  <c r="H886" i="3" s="1"/>
  <c r="C978" i="3"/>
  <c r="F978" i="3" s="1"/>
  <c r="E824" i="3"/>
  <c r="H824" i="3" s="1"/>
  <c r="D980" i="3"/>
  <c r="G980" i="3" s="1"/>
  <c r="D739" i="3"/>
  <c r="G739" i="3" s="1"/>
  <c r="D802" i="3"/>
  <c r="G802" i="3" s="1"/>
  <c r="D496" i="3"/>
  <c r="G496" i="3" s="1"/>
  <c r="D1352" i="3"/>
  <c r="G1352" i="3" s="1"/>
  <c r="C1324" i="3"/>
  <c r="F1324" i="3" s="1"/>
  <c r="D1294" i="3"/>
  <c r="G1294" i="3" s="1"/>
  <c r="D1232" i="3"/>
  <c r="G1232" i="3" s="1"/>
  <c r="D1166" i="3"/>
  <c r="G1166" i="3" s="1"/>
  <c r="E1287" i="3"/>
  <c r="H1287" i="3" s="1"/>
  <c r="E1223" i="3"/>
  <c r="H1223" i="3" s="1"/>
  <c r="E1154" i="3"/>
  <c r="H1154" i="3" s="1"/>
  <c r="D1277" i="3"/>
  <c r="G1277" i="3" s="1"/>
  <c r="C1222" i="3"/>
  <c r="F1222" i="3" s="1"/>
  <c r="E1160" i="3"/>
  <c r="H1160" i="3" s="1"/>
  <c r="C1081" i="3"/>
  <c r="F1081" i="3" s="1"/>
  <c r="E1340" i="3"/>
  <c r="H1340" i="3" s="1"/>
  <c r="E1251" i="3"/>
  <c r="H1251" i="3" s="1"/>
  <c r="E1182" i="3"/>
  <c r="H1182" i="3" s="1"/>
  <c r="E1123" i="3"/>
  <c r="H1123" i="3" s="1"/>
  <c r="C1072" i="3"/>
  <c r="F1072" i="3" s="1"/>
  <c r="D1015" i="3"/>
  <c r="G1015" i="3" s="1"/>
  <c r="E1273" i="3"/>
  <c r="H1273" i="3" s="1"/>
  <c r="D1185" i="3"/>
  <c r="G1185" i="3" s="1"/>
  <c r="E1113" i="3"/>
  <c r="H1113" i="3" s="1"/>
  <c r="C1071" i="3"/>
  <c r="F1071" i="3" s="1"/>
  <c r="E1014" i="3"/>
  <c r="H1014" i="3" s="1"/>
  <c r="E995" i="3"/>
  <c r="H995" i="3" s="1"/>
  <c r="D959" i="3"/>
  <c r="G959" i="3" s="1"/>
  <c r="E820" i="3"/>
  <c r="H820" i="3" s="1"/>
  <c r="E972" i="3"/>
  <c r="H972" i="3" s="1"/>
  <c r="D717" i="3"/>
  <c r="G717" i="3" s="1"/>
  <c r="D800" i="3"/>
  <c r="G800" i="3" s="1"/>
  <c r="D448" i="3"/>
  <c r="G448" i="3" s="1"/>
  <c r="E1446" i="3"/>
  <c r="H1446" i="3" s="1"/>
  <c r="C1407" i="3"/>
  <c r="F1407" i="3" s="1"/>
  <c r="E1362" i="3"/>
  <c r="H1362" i="3" s="1"/>
  <c r="C1323" i="3"/>
  <c r="F1323" i="3" s="1"/>
  <c r="D1471" i="3"/>
  <c r="G1471" i="3" s="1"/>
  <c r="D1449" i="3"/>
  <c r="G1449" i="3" s="1"/>
  <c r="E1429" i="3"/>
  <c r="H1429" i="3" s="1"/>
  <c r="C1410" i="3"/>
  <c r="F1410" i="3" s="1"/>
  <c r="D1387" i="3"/>
  <c r="G1387" i="3" s="1"/>
  <c r="D1365" i="3"/>
  <c r="G1365" i="3" s="1"/>
  <c r="E1345" i="3"/>
  <c r="H1345" i="3" s="1"/>
  <c r="D1462" i="3"/>
  <c r="G1462" i="3" s="1"/>
  <c r="E1448" i="3"/>
  <c r="H1448" i="3" s="1"/>
  <c r="D1434" i="3"/>
  <c r="G1434" i="3" s="1"/>
  <c r="E1420" i="3"/>
  <c r="H1420" i="3" s="1"/>
  <c r="D1406" i="3"/>
  <c r="G1406" i="3" s="1"/>
  <c r="E1391" i="3"/>
  <c r="H1391" i="3" s="1"/>
  <c r="E1371" i="3"/>
  <c r="H1371" i="3" s="1"/>
  <c r="E1351" i="3"/>
  <c r="H1351" i="3" s="1"/>
  <c r="D1322" i="3"/>
  <c r="G1322" i="3" s="1"/>
  <c r="D1288" i="3"/>
  <c r="G1288" i="3" s="1"/>
  <c r="D1224" i="3"/>
  <c r="G1224" i="3" s="1"/>
  <c r="D1158" i="3"/>
  <c r="G1158" i="3" s="1"/>
  <c r="E1282" i="3"/>
  <c r="H1282" i="3" s="1"/>
  <c r="E1215" i="3"/>
  <c r="H1215" i="3" s="1"/>
  <c r="E1151" i="3"/>
  <c r="H1151" i="3" s="1"/>
  <c r="C1269" i="3"/>
  <c r="F1269" i="3" s="1"/>
  <c r="C1213" i="3"/>
  <c r="F1213" i="3" s="1"/>
  <c r="C1158" i="3"/>
  <c r="F1158" i="3" s="1"/>
  <c r="E1072" i="3"/>
  <c r="H1072" i="3" s="1"/>
  <c r="C1330" i="3"/>
  <c r="F1330" i="3" s="1"/>
  <c r="C1244" i="3"/>
  <c r="F1244" i="3" s="1"/>
  <c r="E1174" i="3"/>
  <c r="H1174" i="3" s="1"/>
  <c r="D1119" i="3"/>
  <c r="G1119" i="3" s="1"/>
  <c r="D1067" i="3"/>
  <c r="G1067" i="3" s="1"/>
  <c r="C1012" i="3"/>
  <c r="F1012" i="3" s="1"/>
  <c r="D1257" i="3"/>
  <c r="G1257" i="3" s="1"/>
  <c r="D1177" i="3"/>
  <c r="G1177" i="3" s="1"/>
  <c r="E1110" i="3"/>
  <c r="H1110" i="3" s="1"/>
  <c r="D1066" i="3"/>
  <c r="G1066" i="3" s="1"/>
  <c r="C1010" i="3"/>
  <c r="F1010" i="3" s="1"/>
  <c r="C984" i="3"/>
  <c r="F984" i="3" s="1"/>
  <c r="C946" i="3"/>
  <c r="F946" i="3" s="1"/>
  <c r="C785" i="3"/>
  <c r="F785" i="3" s="1"/>
  <c r="D946" i="3"/>
  <c r="G946" i="3" s="1"/>
  <c r="E679" i="3"/>
  <c r="H679" i="3" s="1"/>
  <c r="E757" i="3"/>
  <c r="H757" i="3" s="1"/>
  <c r="E395" i="3"/>
  <c r="H395" i="3" s="1"/>
  <c r="E255" i="3"/>
  <c r="H255" i="3" s="1"/>
  <c r="E1404" i="3"/>
  <c r="H1404" i="3" s="1"/>
  <c r="C1389" i="3"/>
  <c r="F1389" i="3" s="1"/>
  <c r="E1368" i="3"/>
  <c r="H1368" i="3" s="1"/>
  <c r="E1347" i="3"/>
  <c r="H1347" i="3" s="1"/>
  <c r="C1316" i="3"/>
  <c r="F1316" i="3" s="1"/>
  <c r="D1282" i="3"/>
  <c r="G1282" i="3" s="1"/>
  <c r="D1212" i="3"/>
  <c r="G1212" i="3" s="1"/>
  <c r="D1144" i="3"/>
  <c r="G1144" i="3" s="1"/>
  <c r="E1274" i="3"/>
  <c r="H1274" i="3" s="1"/>
  <c r="C1208" i="3"/>
  <c r="F1208" i="3" s="1"/>
  <c r="D1339" i="3"/>
  <c r="G1339" i="3" s="1"/>
  <c r="E1261" i="3"/>
  <c r="H1261" i="3" s="1"/>
  <c r="C1206" i="3"/>
  <c r="F1206" i="3" s="1"/>
  <c r="D1149" i="3"/>
  <c r="G1149" i="3" s="1"/>
  <c r="C1065" i="3"/>
  <c r="F1065" i="3" s="1"/>
  <c r="E1308" i="3"/>
  <c r="H1308" i="3" s="1"/>
  <c r="E1230" i="3"/>
  <c r="H1230" i="3" s="1"/>
  <c r="C1163" i="3"/>
  <c r="F1163" i="3" s="1"/>
  <c r="D1107" i="3"/>
  <c r="G1107" i="3" s="1"/>
  <c r="C1056" i="3"/>
  <c r="F1056" i="3" s="1"/>
  <c r="E999" i="3"/>
  <c r="H999" i="3" s="1"/>
  <c r="D1249" i="3"/>
  <c r="G1249" i="3" s="1"/>
  <c r="E1161" i="3"/>
  <c r="H1161" i="3" s="1"/>
  <c r="E1105" i="3"/>
  <c r="H1105" i="3" s="1"/>
  <c r="E1054" i="3"/>
  <c r="H1054" i="3" s="1"/>
  <c r="E998" i="3"/>
  <c r="H998" i="3" s="1"/>
  <c r="C968" i="3"/>
  <c r="F968" i="3" s="1"/>
  <c r="D935" i="3"/>
  <c r="G935" i="3" s="1"/>
  <c r="C765" i="3"/>
  <c r="F765" i="3" s="1"/>
  <c r="D879" i="3"/>
  <c r="G879" i="3" s="1"/>
  <c r="D637" i="3"/>
  <c r="G637" i="3" s="1"/>
  <c r="C738" i="3"/>
  <c r="F738" i="3" s="1"/>
  <c r="D548" i="3"/>
  <c r="G548" i="3" s="1"/>
  <c r="D1193" i="3"/>
  <c r="G1193" i="3" s="1"/>
  <c r="C1134" i="3"/>
  <c r="F1134" i="3" s="1"/>
  <c r="D1098" i="3"/>
  <c r="G1098" i="3" s="1"/>
  <c r="E1062" i="3"/>
  <c r="H1062" i="3" s="1"/>
  <c r="C1022" i="3"/>
  <c r="F1022" i="3" s="1"/>
  <c r="E962" i="3"/>
  <c r="H962" i="3" s="1"/>
  <c r="C960" i="3"/>
  <c r="F960" i="3" s="1"/>
  <c r="C970" i="3"/>
  <c r="F970" i="3" s="1"/>
  <c r="C869" i="3"/>
  <c r="F869" i="3" s="1"/>
  <c r="C737" i="3"/>
  <c r="F737" i="3" s="1"/>
  <c r="D954" i="3"/>
  <c r="G954" i="3" s="1"/>
  <c r="E767" i="3"/>
  <c r="H767" i="3" s="1"/>
  <c r="C965" i="3"/>
  <c r="F965" i="3" s="1"/>
  <c r="E781" i="3"/>
  <c r="H781" i="3" s="1"/>
  <c r="E494" i="3"/>
  <c r="H494" i="3" s="1"/>
  <c r="C127" i="3"/>
  <c r="F127" i="3" s="1"/>
  <c r="C1365" i="3"/>
  <c r="F1365" i="3" s="1"/>
  <c r="D1344" i="3"/>
  <c r="G1344" i="3" s="1"/>
  <c r="E1319" i="3"/>
  <c r="H1319" i="3" s="1"/>
  <c r="C1292" i="3"/>
  <c r="F1292" i="3" s="1"/>
  <c r="D1240" i="3"/>
  <c r="G1240" i="3" s="1"/>
  <c r="D1180" i="3"/>
  <c r="G1180" i="3" s="1"/>
  <c r="D1327" i="3"/>
  <c r="G1327" i="3" s="1"/>
  <c r="C1255" i="3"/>
  <c r="F1255" i="3" s="1"/>
  <c r="E1202" i="3"/>
  <c r="H1202" i="3" s="1"/>
  <c r="C1143" i="3"/>
  <c r="F1143" i="3" s="1"/>
  <c r="C1277" i="3"/>
  <c r="F1277" i="3" s="1"/>
  <c r="C1230" i="3"/>
  <c r="F1230" i="3" s="1"/>
  <c r="D1181" i="3"/>
  <c r="G1181" i="3" s="1"/>
  <c r="E1120" i="3"/>
  <c r="H1120" i="3" s="1"/>
  <c r="C1053" i="3"/>
  <c r="F1053" i="3" s="1"/>
  <c r="D1313" i="3"/>
  <c r="G1313" i="3" s="1"/>
  <c r="E1243" i="3"/>
  <c r="H1243" i="3" s="1"/>
  <c r="E1187" i="3"/>
  <c r="H1187" i="3" s="1"/>
  <c r="E1131" i="3"/>
  <c r="H1131" i="3" s="1"/>
  <c r="D1093" i="3"/>
  <c r="G1093" i="3" s="1"/>
  <c r="C1048" i="3"/>
  <c r="F1048" i="3" s="1"/>
  <c r="C996" i="3"/>
  <c r="F996" i="3" s="1"/>
  <c r="D1255" i="3"/>
  <c r="G1255" i="3" s="1"/>
  <c r="E1188" i="3"/>
  <c r="H1188" i="3" s="1"/>
  <c r="D1128" i="3"/>
  <c r="G1128" i="3" s="1"/>
  <c r="D1092" i="3"/>
  <c r="G1092" i="3" s="1"/>
  <c r="E1057" i="3"/>
  <c r="H1057" i="3" s="1"/>
  <c r="E1017" i="3"/>
  <c r="H1017" i="3" s="1"/>
  <c r="E942" i="3"/>
  <c r="H942" i="3" s="1"/>
  <c r="E939" i="3"/>
  <c r="H939" i="3" s="1"/>
  <c r="C954" i="3"/>
  <c r="F954" i="3" s="1"/>
  <c r="E848" i="3"/>
  <c r="H848" i="3" s="1"/>
  <c r="E716" i="3"/>
  <c r="H716" i="3" s="1"/>
  <c r="C932" i="3"/>
  <c r="F932" i="3" s="1"/>
  <c r="C760" i="3"/>
  <c r="F760" i="3" s="1"/>
  <c r="D933" i="3"/>
  <c r="G933" i="3" s="1"/>
  <c r="C750" i="3"/>
  <c r="F750" i="3" s="1"/>
  <c r="D582" i="3"/>
  <c r="G582" i="3" s="1"/>
  <c r="C365" i="3"/>
  <c r="F365" i="3" s="1"/>
  <c r="C700" i="3"/>
  <c r="F700" i="3" s="1"/>
  <c r="E858" i="3"/>
  <c r="H858" i="3" s="1"/>
  <c r="E686" i="3"/>
  <c r="H686" i="3" s="1"/>
  <c r="C554" i="3"/>
  <c r="F554" i="3" s="1"/>
  <c r="D1231" i="3"/>
  <c r="G1231" i="3" s="1"/>
  <c r="E1172" i="3"/>
  <c r="H1172" i="3" s="1"/>
  <c r="E1121" i="3"/>
  <c r="H1121" i="3" s="1"/>
  <c r="E1085" i="3"/>
  <c r="H1085" i="3" s="1"/>
  <c r="C1046" i="3"/>
  <c r="F1046" i="3" s="1"/>
  <c r="D1008" i="3"/>
  <c r="G1008" i="3" s="1"/>
  <c r="E914" i="3"/>
  <c r="H914" i="3" s="1"/>
  <c r="D918" i="3"/>
  <c r="G918" i="3" s="1"/>
  <c r="E929" i="3"/>
  <c r="H929" i="3" s="1"/>
  <c r="C821" i="3"/>
  <c r="F821" i="3" s="1"/>
  <c r="E656" i="3"/>
  <c r="H656" i="3" s="1"/>
  <c r="D865" i="3"/>
  <c r="G865" i="3" s="1"/>
  <c r="E691" i="3"/>
  <c r="H691" i="3" s="1"/>
  <c r="C859" i="3"/>
  <c r="F859" i="3" s="1"/>
  <c r="C679" i="3"/>
  <c r="F679" i="3" s="1"/>
  <c r="C498" i="3"/>
  <c r="F498" i="3" s="1"/>
  <c r="C1372" i="3"/>
  <c r="F1372" i="3" s="1"/>
  <c r="E1356" i="3"/>
  <c r="H1356" i="3" s="1"/>
  <c r="D1336" i="3"/>
  <c r="G1336" i="3" s="1"/>
  <c r="D1308" i="3"/>
  <c r="G1308" i="3" s="1"/>
  <c r="D1274" i="3"/>
  <c r="G1274" i="3" s="1"/>
  <c r="D1216" i="3"/>
  <c r="G1216" i="3" s="1"/>
  <c r="D1160" i="3"/>
  <c r="G1160" i="3" s="1"/>
  <c r="D1295" i="3"/>
  <c r="G1295" i="3" s="1"/>
  <c r="C1240" i="3"/>
  <c r="F1240" i="3" s="1"/>
  <c r="C1175" i="3"/>
  <c r="F1175" i="3" s="1"/>
  <c r="D1323" i="3"/>
  <c r="G1323" i="3" s="1"/>
  <c r="E1256" i="3"/>
  <c r="H1256" i="3" s="1"/>
  <c r="E1208" i="3"/>
  <c r="H1208" i="3" s="1"/>
  <c r="C1157" i="3"/>
  <c r="F1157" i="3" s="1"/>
  <c r="C1097" i="3"/>
  <c r="F1097" i="3" s="1"/>
  <c r="C1021" i="3"/>
  <c r="F1021" i="3" s="1"/>
  <c r="E1278" i="3"/>
  <c r="H1278" i="3" s="1"/>
  <c r="C1219" i="3"/>
  <c r="F1219" i="3" s="1"/>
  <c r="E1158" i="3"/>
  <c r="H1158" i="3" s="1"/>
  <c r="C1120" i="3"/>
  <c r="F1120" i="3" s="1"/>
  <c r="E1071" i="3"/>
  <c r="H1071" i="3" s="1"/>
  <c r="D1023" i="3"/>
  <c r="G1023" i="3" s="1"/>
  <c r="E1293" i="3"/>
  <c r="H1293" i="3" s="1"/>
  <c r="E1225" i="3"/>
  <c r="H1225" i="3" s="1"/>
  <c r="D1167" i="3"/>
  <c r="G1167" i="3" s="1"/>
  <c r="D1116" i="3"/>
  <c r="G1116" i="3" s="1"/>
  <c r="E1082" i="3"/>
  <c r="H1082" i="3" s="1"/>
  <c r="D1044" i="3"/>
  <c r="G1044" i="3" s="1"/>
  <c r="E1005" i="3"/>
  <c r="H1005" i="3" s="1"/>
  <c r="C907" i="3"/>
  <c r="F907" i="3" s="1"/>
  <c r="D902" i="3"/>
  <c r="G902" i="3" s="1"/>
  <c r="E921" i="3"/>
  <c r="H921" i="3" s="1"/>
  <c r="E800" i="3"/>
  <c r="H800" i="3" s="1"/>
  <c r="E652" i="3"/>
  <c r="H652" i="3" s="1"/>
  <c r="D863" i="3"/>
  <c r="G863" i="3" s="1"/>
  <c r="D687" i="3"/>
  <c r="G687" i="3" s="1"/>
  <c r="D854" i="3"/>
  <c r="G854" i="3" s="1"/>
  <c r="E673" i="3"/>
  <c r="H673" i="3" s="1"/>
  <c r="D495" i="3"/>
  <c r="G495" i="3" s="1"/>
  <c r="E1001" i="3"/>
  <c r="H1001" i="3" s="1"/>
  <c r="E894" i="3"/>
  <c r="H894" i="3" s="1"/>
  <c r="E891" i="3"/>
  <c r="H891" i="3" s="1"/>
  <c r="D911" i="3"/>
  <c r="G911" i="3" s="1"/>
  <c r="C793" i="3"/>
  <c r="F793" i="3" s="1"/>
  <c r="E640" i="3"/>
  <c r="H640" i="3" s="1"/>
  <c r="D859" i="3"/>
  <c r="G859" i="3" s="1"/>
  <c r="D679" i="3"/>
  <c r="G679" i="3" s="1"/>
  <c r="E853" i="3"/>
  <c r="H853" i="3" s="1"/>
  <c r="C658" i="3"/>
  <c r="F658" i="3" s="1"/>
  <c r="D481" i="3"/>
  <c r="G481" i="3" s="1"/>
  <c r="E1438" i="3"/>
  <c r="H1438" i="3" s="1"/>
  <c r="E1398" i="3"/>
  <c r="H1398" i="3" s="1"/>
  <c r="E1358" i="3"/>
  <c r="H1358" i="3" s="1"/>
  <c r="E1318" i="3"/>
  <c r="H1318" i="3" s="1"/>
  <c r="C1474" i="3"/>
  <c r="F1474" i="3" s="1"/>
  <c r="C1454" i="3"/>
  <c r="F1454" i="3" s="1"/>
  <c r="C1434" i="3"/>
  <c r="F1434" i="3" s="1"/>
  <c r="C1414" i="3"/>
  <c r="F1414" i="3" s="1"/>
  <c r="C1394" i="3"/>
  <c r="F1394" i="3" s="1"/>
  <c r="C1374" i="3"/>
  <c r="F1374" i="3" s="1"/>
  <c r="C1354" i="3"/>
  <c r="F1354" i="3" s="1"/>
  <c r="C1469" i="3"/>
  <c r="F1469" i="3" s="1"/>
  <c r="D1454" i="3"/>
  <c r="G1454" i="3" s="1"/>
  <c r="D1440" i="3"/>
  <c r="G1440" i="3" s="1"/>
  <c r="C1429" i="3"/>
  <c r="F1429" i="3" s="1"/>
  <c r="D1414" i="3"/>
  <c r="G1414" i="3" s="1"/>
  <c r="D1400" i="3"/>
  <c r="G1400" i="3" s="1"/>
  <c r="E1384" i="3"/>
  <c r="H1384" i="3" s="1"/>
  <c r="E1367" i="3"/>
  <c r="H1367" i="3" s="1"/>
  <c r="E1348" i="3"/>
  <c r="H1348" i="3" s="1"/>
  <c r="D1324" i="3"/>
  <c r="G1324" i="3" s="1"/>
  <c r="D1298" i="3"/>
  <c r="G1298" i="3" s="1"/>
  <c r="D1248" i="3"/>
  <c r="G1248" i="3" s="1"/>
  <c r="D1196" i="3"/>
  <c r="G1196" i="3" s="1"/>
  <c r="C1337" i="3"/>
  <c r="F1337" i="3" s="1"/>
  <c r="C1271" i="3"/>
  <c r="F1271" i="3" s="1"/>
  <c r="C1216" i="3"/>
  <c r="F1216" i="3" s="1"/>
  <c r="C1160" i="3"/>
  <c r="F1160" i="3" s="1"/>
  <c r="C1285" i="3"/>
  <c r="F1285" i="3" s="1"/>
  <c r="C1237" i="3"/>
  <c r="F1237" i="3" s="1"/>
  <c r="D1189" i="3"/>
  <c r="G1189" i="3" s="1"/>
  <c r="C1142" i="3"/>
  <c r="F1142" i="3" s="1"/>
  <c r="E1064" i="3"/>
  <c r="H1064" i="3" s="1"/>
  <c r="E1329" i="3"/>
  <c r="H1329" i="3" s="1"/>
  <c r="C1260" i="3"/>
  <c r="F1260" i="3" s="1"/>
  <c r="E1195" i="3"/>
  <c r="H1195" i="3" s="1"/>
  <c r="E1142" i="3"/>
  <c r="H1142" i="3" s="1"/>
  <c r="D1099" i="3"/>
  <c r="G1099" i="3" s="1"/>
  <c r="E1051" i="3"/>
  <c r="H1051" i="3" s="1"/>
  <c r="E1003" i="3"/>
  <c r="H1003" i="3" s="1"/>
  <c r="C1265" i="3"/>
  <c r="F1265" i="3" s="1"/>
  <c r="D1209" i="3"/>
  <c r="G1209" i="3" s="1"/>
  <c r="C1137" i="3"/>
  <c r="F1137" i="3" s="1"/>
  <c r="D1102" i="3"/>
  <c r="G1102" i="3" s="1"/>
  <c r="D1068" i="3"/>
  <c r="G1068" i="3" s="1"/>
  <c r="C1031" i="3"/>
  <c r="F1031" i="3" s="1"/>
  <c r="C979" i="3"/>
  <c r="F979" i="3" s="1"/>
  <c r="D974" i="3"/>
  <c r="G974" i="3" s="1"/>
  <c r="E977" i="3"/>
  <c r="H977" i="3" s="1"/>
  <c r="E884" i="3"/>
  <c r="H884" i="3" s="1"/>
  <c r="C761" i="3"/>
  <c r="F761" i="3" s="1"/>
  <c r="D970" i="3"/>
  <c r="G970" i="3" s="1"/>
  <c r="D803" i="3"/>
  <c r="G803" i="3" s="1"/>
  <c r="D611" i="3"/>
  <c r="G611" i="3" s="1"/>
  <c r="D798" i="3"/>
  <c r="G798" i="3" s="1"/>
  <c r="E554" i="3"/>
  <c r="H554" i="3" s="1"/>
  <c r="E444" i="3"/>
  <c r="H444" i="3" s="1"/>
  <c r="D1151" i="3"/>
  <c r="G1151" i="3" s="1"/>
  <c r="E1126" i="3"/>
  <c r="H1126" i="3" s="1"/>
  <c r="C1111" i="3"/>
  <c r="F1111" i="3" s="1"/>
  <c r="D1090" i="3"/>
  <c r="G1090" i="3" s="1"/>
  <c r="D1072" i="3"/>
  <c r="G1072" i="3" s="1"/>
  <c r="D1054" i="3"/>
  <c r="G1054" i="3" s="1"/>
  <c r="D1034" i="3"/>
  <c r="G1034" i="3" s="1"/>
  <c r="D1014" i="3"/>
  <c r="G1014" i="3" s="1"/>
  <c r="E994" i="3"/>
  <c r="H994" i="3" s="1"/>
  <c r="C939" i="3"/>
  <c r="F939" i="3" s="1"/>
  <c r="D990" i="3"/>
  <c r="G990" i="3" s="1"/>
  <c r="D936" i="3"/>
  <c r="G936" i="3" s="1"/>
  <c r="C994" i="3"/>
  <c r="F994" i="3" s="1"/>
  <c r="E945" i="3"/>
  <c r="H945" i="3" s="1"/>
  <c r="E897" i="3"/>
  <c r="H897" i="3" s="1"/>
  <c r="E836" i="3"/>
  <c r="H836" i="3" s="1"/>
  <c r="C781" i="3"/>
  <c r="F781" i="3" s="1"/>
  <c r="C717" i="3"/>
  <c r="F717" i="3" s="1"/>
  <c r="C645" i="3"/>
  <c r="F645" i="3" s="1"/>
  <c r="E964" i="3"/>
  <c r="H964" i="3" s="1"/>
  <c r="D877" i="3"/>
  <c r="G877" i="3" s="1"/>
  <c r="D823" i="3"/>
  <c r="G823" i="3" s="1"/>
  <c r="E763" i="3"/>
  <c r="H763" i="3" s="1"/>
  <c r="C696" i="3"/>
  <c r="F696" i="3" s="1"/>
  <c r="E623" i="3"/>
  <c r="H623" i="3" s="1"/>
  <c r="D931" i="3"/>
  <c r="G931" i="3" s="1"/>
  <c r="C854" i="3"/>
  <c r="F854" i="3" s="1"/>
  <c r="E801" i="3"/>
  <c r="H801" i="3" s="1"/>
  <c r="E749" i="3"/>
  <c r="H749" i="3" s="1"/>
  <c r="D664" i="3"/>
  <c r="G664" i="3" s="1"/>
  <c r="C571" i="3"/>
  <c r="F571" i="3" s="1"/>
  <c r="C504" i="3"/>
  <c r="F504" i="3" s="1"/>
  <c r="E489" i="3"/>
  <c r="H489" i="3" s="1"/>
  <c r="D506" i="3"/>
  <c r="G506" i="3" s="1"/>
  <c r="E305" i="3"/>
  <c r="H305" i="3" s="1"/>
  <c r="C1397" i="3"/>
  <c r="F1397" i="3" s="1"/>
  <c r="D1382" i="3"/>
  <c r="G1382" i="3" s="1"/>
  <c r="D1368" i="3"/>
  <c r="G1368" i="3" s="1"/>
  <c r="C1357" i="3"/>
  <c r="F1357" i="3" s="1"/>
  <c r="C1340" i="3"/>
  <c r="F1340" i="3" s="1"/>
  <c r="C1320" i="3"/>
  <c r="F1320" i="3" s="1"/>
  <c r="C1300" i="3"/>
  <c r="F1300" i="3" s="1"/>
  <c r="D1276" i="3"/>
  <c r="G1276" i="3" s="1"/>
  <c r="D1238" i="3"/>
  <c r="G1238" i="3" s="1"/>
  <c r="D1204" i="3"/>
  <c r="G1204" i="3" s="1"/>
  <c r="D1164" i="3"/>
  <c r="G1164" i="3" s="1"/>
  <c r="E1332" i="3"/>
  <c r="H1332" i="3" s="1"/>
  <c r="E1279" i="3"/>
  <c r="H1279" i="3" s="1"/>
  <c r="E1239" i="3"/>
  <c r="H1239" i="3" s="1"/>
  <c r="E1199" i="3"/>
  <c r="H1199" i="3" s="1"/>
  <c r="E1159" i="3"/>
  <c r="H1159" i="3" s="1"/>
  <c r="D1333" i="3"/>
  <c r="G1333" i="3" s="1"/>
  <c r="E1285" i="3"/>
  <c r="H1285" i="3" s="1"/>
  <c r="E1253" i="3"/>
  <c r="H1253" i="3" s="1"/>
  <c r="E1221" i="3"/>
  <c r="H1221" i="3" s="1"/>
  <c r="E1189" i="3"/>
  <c r="H1189" i="3" s="1"/>
  <c r="E1157" i="3"/>
  <c r="H1157" i="3" s="1"/>
  <c r="E1112" i="3"/>
  <c r="H1112" i="3" s="1"/>
  <c r="E1068" i="3"/>
  <c r="H1068" i="3" s="1"/>
  <c r="C1025" i="3"/>
  <c r="F1025" i="3" s="1"/>
  <c r="E1313" i="3"/>
  <c r="H1313" i="3" s="1"/>
  <c r="E1262" i="3"/>
  <c r="H1262" i="3" s="1"/>
  <c r="C1228" i="3"/>
  <c r="F1228" i="3" s="1"/>
  <c r="D1187" i="3"/>
  <c r="G1187" i="3" s="1"/>
  <c r="E1150" i="3"/>
  <c r="H1150" i="3" s="1"/>
  <c r="C1124" i="3"/>
  <c r="F1124" i="3" s="1"/>
  <c r="C1100" i="3"/>
  <c r="F1100" i="3" s="1"/>
  <c r="D1071" i="3"/>
  <c r="G1071" i="3" s="1"/>
  <c r="D1047" i="3"/>
  <c r="G1047" i="3" s="1"/>
  <c r="D1019" i="3"/>
  <c r="G1019" i="3" s="1"/>
  <c r="D1287" i="3"/>
  <c r="G1287" i="3" s="1"/>
  <c r="C1249" i="3"/>
  <c r="F1249" i="3" s="1"/>
  <c r="E1217" i="3"/>
  <c r="H1217" i="3" s="1"/>
  <c r="C1177" i="3"/>
  <c r="F1177" i="3" s="1"/>
  <c r="E1145" i="3"/>
  <c r="H1145" i="3" s="1"/>
  <c r="D1124" i="3"/>
  <c r="G1124" i="3" s="1"/>
  <c r="C1107" i="3"/>
  <c r="F1107" i="3" s="1"/>
  <c r="D1088" i="3"/>
  <c r="G1088" i="3" s="1"/>
  <c r="E1070" i="3"/>
  <c r="H1070" i="3" s="1"/>
  <c r="D1050" i="3"/>
  <c r="G1050" i="3" s="1"/>
  <c r="E1033" i="3"/>
  <c r="H1033" i="3" s="1"/>
  <c r="E1013" i="3"/>
  <c r="H1013" i="3" s="1"/>
  <c r="C987" i="3"/>
  <c r="F987" i="3" s="1"/>
  <c r="C931" i="3"/>
  <c r="F931" i="3" s="1"/>
  <c r="D982" i="3"/>
  <c r="G982" i="3" s="1"/>
  <c r="D928" i="3"/>
  <c r="G928" i="3" s="1"/>
  <c r="D985" i="3"/>
  <c r="G985" i="3" s="1"/>
  <c r="E937" i="3"/>
  <c r="H937" i="3" s="1"/>
  <c r="D889" i="3"/>
  <c r="G889" i="3" s="1"/>
  <c r="E828" i="3"/>
  <c r="H828" i="3" s="1"/>
  <c r="E772" i="3"/>
  <c r="H772" i="3" s="1"/>
  <c r="C709" i="3"/>
  <c r="F709" i="3" s="1"/>
  <c r="C633" i="3"/>
  <c r="F633" i="3" s="1"/>
  <c r="C948" i="3"/>
  <c r="F948" i="3" s="1"/>
  <c r="D867" i="3"/>
  <c r="G867" i="3" s="1"/>
  <c r="E811" i="3"/>
  <c r="H811" i="3" s="1"/>
  <c r="C756" i="3"/>
  <c r="F756" i="3" s="1"/>
  <c r="C688" i="3"/>
  <c r="F688" i="3" s="1"/>
  <c r="E615" i="3"/>
  <c r="H615" i="3" s="1"/>
  <c r="C917" i="3"/>
  <c r="F917" i="3" s="1"/>
  <c r="D850" i="3"/>
  <c r="G850" i="3" s="1"/>
  <c r="C799" i="3"/>
  <c r="F799" i="3" s="1"/>
  <c r="D736" i="3"/>
  <c r="G736" i="3" s="1"/>
  <c r="D654" i="3"/>
  <c r="G654" i="3" s="1"/>
  <c r="E514" i="3"/>
  <c r="H514" i="3" s="1"/>
  <c r="D486" i="3"/>
  <c r="G486" i="3" s="1"/>
  <c r="C457" i="3"/>
  <c r="F457" i="3" s="1"/>
  <c r="D400" i="3"/>
  <c r="G400" i="3" s="1"/>
  <c r="E252" i="3"/>
  <c r="H252" i="3" s="1"/>
  <c r="D807" i="3"/>
  <c r="G807" i="3" s="1"/>
  <c r="D751" i="3"/>
  <c r="G751" i="3" s="1"/>
  <c r="E683" i="3"/>
  <c r="H683" i="3" s="1"/>
  <c r="C616" i="3"/>
  <c r="F616" i="3" s="1"/>
  <c r="E917" i="3"/>
  <c r="H917" i="3" s="1"/>
  <c r="C851" i="3"/>
  <c r="F851" i="3" s="1"/>
  <c r="E793" i="3"/>
  <c r="H793" i="3" s="1"/>
  <c r="E722" i="3"/>
  <c r="H722" i="3" s="1"/>
  <c r="E653" i="3"/>
  <c r="H653" i="3" s="1"/>
  <c r="C515" i="3"/>
  <c r="F515" i="3" s="1"/>
  <c r="C480" i="3"/>
  <c r="F480" i="3" s="1"/>
  <c r="C418" i="3"/>
  <c r="F418" i="3" s="1"/>
  <c r="D394" i="3"/>
  <c r="G394" i="3" s="1"/>
  <c r="E5" i="3"/>
  <c r="H5" i="3" s="1"/>
  <c r="D472" i="3"/>
  <c r="G472" i="3" s="1"/>
  <c r="C400" i="3"/>
  <c r="F400" i="3" s="1"/>
  <c r="D356" i="3"/>
  <c r="G356" i="3" s="1"/>
  <c r="C757" i="3"/>
  <c r="F757" i="3" s="1"/>
  <c r="E688" i="3"/>
  <c r="H688" i="3" s="1"/>
  <c r="E616" i="3"/>
  <c r="H616" i="3" s="1"/>
  <c r="D924" i="3"/>
  <c r="G924" i="3" s="1"/>
  <c r="E859" i="3"/>
  <c r="H859" i="3" s="1"/>
  <c r="C804" i="3"/>
  <c r="F804" i="3" s="1"/>
  <c r="C740" i="3"/>
  <c r="F740" i="3" s="1"/>
  <c r="D677" i="3"/>
  <c r="G677" i="3" s="1"/>
  <c r="E607" i="3"/>
  <c r="H607" i="3" s="1"/>
  <c r="D899" i="3"/>
  <c r="G899" i="3" s="1"/>
  <c r="C843" i="3"/>
  <c r="F843" i="3" s="1"/>
  <c r="D778" i="3"/>
  <c r="G778" i="3" s="1"/>
  <c r="C714" i="3"/>
  <c r="F714" i="3" s="1"/>
  <c r="E642" i="3"/>
  <c r="H642" i="3" s="1"/>
  <c r="C491" i="3"/>
  <c r="F491" i="3" s="1"/>
  <c r="D424" i="3"/>
  <c r="G424" i="3" s="1"/>
  <c r="E387" i="3"/>
  <c r="H387" i="3" s="1"/>
  <c r="D294" i="3"/>
  <c r="G294" i="3" s="1"/>
  <c r="D1266" i="3"/>
  <c r="G1266" i="3" s="1"/>
  <c r="D1228" i="3"/>
  <c r="G1228" i="3" s="1"/>
  <c r="D1194" i="3"/>
  <c r="G1194" i="3" s="1"/>
  <c r="D1156" i="3"/>
  <c r="G1156" i="3" s="1"/>
  <c r="C1322" i="3"/>
  <c r="F1322" i="3" s="1"/>
  <c r="C1272" i="3"/>
  <c r="F1272" i="3" s="1"/>
  <c r="C1232" i="3"/>
  <c r="F1232" i="3" s="1"/>
  <c r="C1192" i="3"/>
  <c r="F1192" i="3" s="1"/>
  <c r="C1152" i="3"/>
  <c r="F1152" i="3" s="1"/>
  <c r="C1317" i="3"/>
  <c r="F1317" i="3" s="1"/>
  <c r="E1277" i="3"/>
  <c r="H1277" i="3" s="1"/>
  <c r="E1245" i="3"/>
  <c r="H1245" i="3" s="1"/>
  <c r="E1213" i="3"/>
  <c r="H1213" i="3" s="1"/>
  <c r="E1181" i="3"/>
  <c r="H1181" i="3" s="1"/>
  <c r="E1149" i="3"/>
  <c r="H1149" i="3" s="1"/>
  <c r="C1105" i="3"/>
  <c r="F1105" i="3" s="1"/>
  <c r="E1056" i="3"/>
  <c r="H1056" i="3" s="1"/>
  <c r="E1008" i="3"/>
  <c r="H1008" i="3" s="1"/>
  <c r="C1298" i="3"/>
  <c r="F1298" i="3" s="1"/>
  <c r="C1251" i="3"/>
  <c r="F1251" i="3" s="1"/>
  <c r="C1220" i="3"/>
  <c r="F1220" i="3" s="1"/>
  <c r="E1179" i="3"/>
  <c r="H1179" i="3" s="1"/>
  <c r="C1139" i="3"/>
  <c r="F1139" i="3" s="1"/>
  <c r="D1115" i="3"/>
  <c r="G1115" i="3" s="1"/>
  <c r="D1091" i="3"/>
  <c r="G1091" i="3" s="1"/>
  <c r="E1067" i="3"/>
  <c r="H1067" i="3" s="1"/>
  <c r="D1041" i="3"/>
  <c r="G1041" i="3" s="1"/>
  <c r="C1016" i="3"/>
  <c r="F1016" i="3" s="1"/>
  <c r="C1325" i="3"/>
  <c r="F1325" i="3" s="1"/>
  <c r="D1279" i="3"/>
  <c r="G1279" i="3" s="1"/>
  <c r="C1241" i="3"/>
  <c r="F1241" i="3" s="1"/>
  <c r="D1207" i="3"/>
  <c r="G1207" i="3" s="1"/>
  <c r="C1169" i="3"/>
  <c r="F1169" i="3" s="1"/>
  <c r="E1137" i="3"/>
  <c r="H1137" i="3" s="1"/>
  <c r="D1118" i="3"/>
  <c r="G1118" i="3" s="1"/>
  <c r="C1103" i="3"/>
  <c r="F1103" i="3" s="1"/>
  <c r="D1084" i="3"/>
  <c r="G1084" i="3" s="1"/>
  <c r="E1065" i="3"/>
  <c r="H1065" i="3" s="1"/>
  <c r="D1046" i="3"/>
  <c r="G1046" i="3" s="1"/>
  <c r="D1028" i="3"/>
  <c r="G1028" i="3" s="1"/>
  <c r="D1006" i="3"/>
  <c r="G1006" i="3" s="1"/>
  <c r="E970" i="3"/>
  <c r="H970" i="3" s="1"/>
  <c r="C915" i="3"/>
  <c r="F915" i="3" s="1"/>
  <c r="D968" i="3"/>
  <c r="G968" i="3" s="1"/>
  <c r="D910" i="3"/>
  <c r="G910" i="3" s="1"/>
  <c r="C969" i="3"/>
  <c r="F969" i="3" s="1"/>
  <c r="D927" i="3"/>
  <c r="G927" i="3" s="1"/>
  <c r="C877" i="3"/>
  <c r="F877" i="3" s="1"/>
  <c r="C817" i="3"/>
  <c r="F817" i="3" s="1"/>
  <c r="E752" i="3"/>
  <c r="H752" i="3" s="1"/>
  <c r="C689" i="3"/>
  <c r="F689" i="3" s="1"/>
  <c r="C617" i="3"/>
  <c r="F617" i="3" s="1"/>
  <c r="D922" i="3"/>
  <c r="G922" i="3" s="1"/>
  <c r="D857" i="3"/>
  <c r="G857" i="3" s="1"/>
  <c r="D799" i="3"/>
  <c r="G799" i="3" s="1"/>
  <c r="D735" i="3"/>
  <c r="G735" i="3" s="1"/>
  <c r="D675" i="3"/>
  <c r="G675" i="3" s="1"/>
  <c r="E603" i="3"/>
  <c r="H603" i="3" s="1"/>
  <c r="E896" i="3"/>
  <c r="H896" i="3" s="1"/>
  <c r="E833" i="3"/>
  <c r="H833" i="3" s="1"/>
  <c r="C779" i="3"/>
  <c r="F779" i="3" s="1"/>
  <c r="E714" i="3"/>
  <c r="H714" i="3" s="1"/>
  <c r="E630" i="3"/>
  <c r="H630" i="3" s="1"/>
  <c r="C479" i="3"/>
  <c r="F479" i="3" s="1"/>
  <c r="D599" i="3"/>
  <c r="G599" i="3" s="1"/>
  <c r="C384" i="3"/>
  <c r="F384" i="3" s="1"/>
  <c r="D292" i="3"/>
  <c r="G292" i="3" s="1"/>
  <c r="C1393" i="3"/>
  <c r="F1393" i="3" s="1"/>
  <c r="D1378" i="3"/>
  <c r="G1378" i="3" s="1"/>
  <c r="D1364" i="3"/>
  <c r="G1364" i="3" s="1"/>
  <c r="C1353" i="3"/>
  <c r="F1353" i="3" s="1"/>
  <c r="E1335" i="3"/>
  <c r="H1335" i="3" s="1"/>
  <c r="E1315" i="3"/>
  <c r="H1315" i="3" s="1"/>
  <c r="E1295" i="3"/>
  <c r="H1295" i="3" s="1"/>
  <c r="D1264" i="3"/>
  <c r="G1264" i="3" s="1"/>
  <c r="D1226" i="3"/>
  <c r="G1226" i="3" s="1"/>
  <c r="D1192" i="3"/>
  <c r="G1192" i="3" s="1"/>
  <c r="D1154" i="3"/>
  <c r="G1154" i="3" s="1"/>
  <c r="E1316" i="3"/>
  <c r="H1316" i="3" s="1"/>
  <c r="E1266" i="3"/>
  <c r="H1266" i="3" s="1"/>
  <c r="E1226" i="3"/>
  <c r="H1226" i="3" s="1"/>
  <c r="E1186" i="3"/>
  <c r="H1186" i="3" s="1"/>
  <c r="E1146" i="3"/>
  <c r="H1146" i="3" s="1"/>
  <c r="D1317" i="3"/>
  <c r="G1317" i="3" s="1"/>
  <c r="C1278" i="3"/>
  <c r="F1278" i="3" s="1"/>
  <c r="C1246" i="3"/>
  <c r="F1246" i="3" s="1"/>
  <c r="C1214" i="3"/>
  <c r="F1214" i="3" s="1"/>
  <c r="C1182" i="3"/>
  <c r="F1182" i="3" s="1"/>
  <c r="C1150" i="3"/>
  <c r="F1150" i="3" s="1"/>
  <c r="E1100" i="3"/>
  <c r="H1100" i="3" s="1"/>
  <c r="C1057" i="3"/>
  <c r="F1057" i="3" s="1"/>
  <c r="C1009" i="3"/>
  <c r="F1009" i="3" s="1"/>
  <c r="E1292" i="3"/>
  <c r="H1292" i="3" s="1"/>
  <c r="D1251" i="3"/>
  <c r="G1251" i="3" s="1"/>
  <c r="E1214" i="3"/>
  <c r="H1214" i="3" s="1"/>
  <c r="C1180" i="3"/>
  <c r="F1180" i="3" s="1"/>
  <c r="E1139" i="3"/>
  <c r="H1139" i="3" s="1"/>
  <c r="E1115" i="3"/>
  <c r="H1115" i="3" s="1"/>
  <c r="E1091" i="3"/>
  <c r="H1091" i="3" s="1"/>
  <c r="C1068" i="3"/>
  <c r="F1068" i="3" s="1"/>
  <c r="D1039" i="3"/>
  <c r="G1039" i="3" s="1"/>
  <c r="D1013" i="3"/>
  <c r="G1013" i="3" s="1"/>
  <c r="D1325" i="3"/>
  <c r="G1325" i="3" s="1"/>
  <c r="E1276" i="3"/>
  <c r="H1276" i="3" s="1"/>
  <c r="D1241" i="3"/>
  <c r="G1241" i="3" s="1"/>
  <c r="E1204" i="3"/>
  <c r="H1204" i="3" s="1"/>
  <c r="D1169" i="3"/>
  <c r="G1169" i="3" s="1"/>
  <c r="C1138" i="3"/>
  <c r="F1138" i="3" s="1"/>
  <c r="E1118" i="3"/>
  <c r="H1118" i="3" s="1"/>
  <c r="E1101" i="3"/>
  <c r="H1101" i="3" s="1"/>
  <c r="C1082" i="3"/>
  <c r="F1082" i="3" s="1"/>
  <c r="D1064" i="3"/>
  <c r="G1064" i="3" s="1"/>
  <c r="E1046" i="3"/>
  <c r="H1046" i="3" s="1"/>
  <c r="C1026" i="3"/>
  <c r="F1026" i="3" s="1"/>
  <c r="E1006" i="3"/>
  <c r="H1006" i="3" s="1"/>
  <c r="C971" i="3"/>
  <c r="F971" i="3" s="1"/>
  <c r="C911" i="3"/>
  <c r="F911" i="3" s="1"/>
  <c r="D966" i="3"/>
  <c r="G966" i="3" s="1"/>
  <c r="E907" i="3"/>
  <c r="H907" i="3" s="1"/>
  <c r="D969" i="3"/>
  <c r="G969" i="3" s="1"/>
  <c r="C921" i="3"/>
  <c r="F921" i="3" s="1"/>
  <c r="E872" i="3"/>
  <c r="H872" i="3" s="1"/>
  <c r="E812" i="3"/>
  <c r="H812" i="3" s="1"/>
  <c r="C753" i="3"/>
  <c r="F753" i="3" s="1"/>
  <c r="E684" i="3"/>
  <c r="H684" i="3" s="1"/>
  <c r="E608" i="3"/>
  <c r="H608" i="3" s="1"/>
  <c r="C916" i="3"/>
  <c r="F916" i="3" s="1"/>
  <c r="D855" i="3"/>
  <c r="G855" i="3" s="1"/>
  <c r="D797" i="3"/>
  <c r="G797" i="3" s="1"/>
  <c r="D733" i="3"/>
  <c r="G733" i="3" s="1"/>
  <c r="D663" i="3"/>
  <c r="G663" i="3" s="1"/>
  <c r="C604" i="3"/>
  <c r="F604" i="3" s="1"/>
  <c r="D884" i="3"/>
  <c r="G884" i="3" s="1"/>
  <c r="C830" i="3"/>
  <c r="F830" i="3" s="1"/>
  <c r="C774" i="3"/>
  <c r="F774" i="3" s="1"/>
  <c r="E713" i="3"/>
  <c r="H713" i="3" s="1"/>
  <c r="C631" i="3"/>
  <c r="F631" i="3" s="1"/>
  <c r="E466" i="3"/>
  <c r="H466" i="3" s="1"/>
  <c r="D593" i="3"/>
  <c r="G593" i="3" s="1"/>
  <c r="C376" i="3"/>
  <c r="F376" i="3" s="1"/>
  <c r="C291" i="3"/>
  <c r="F291" i="3" s="1"/>
  <c r="D1113" i="3"/>
  <c r="G1113" i="3" s="1"/>
  <c r="C1092" i="3"/>
  <c r="F1092" i="3" s="1"/>
  <c r="D1065" i="3"/>
  <c r="G1065" i="3" s="1"/>
  <c r="E1039" i="3"/>
  <c r="H1039" i="3" s="1"/>
  <c r="E1011" i="3"/>
  <c r="H1011" i="3" s="1"/>
  <c r="E1325" i="3"/>
  <c r="H1325" i="3" s="1"/>
  <c r="D1273" i="3"/>
  <c r="G1273" i="3" s="1"/>
  <c r="E1241" i="3"/>
  <c r="H1241" i="3" s="1"/>
  <c r="C1201" i="3"/>
  <c r="F1201" i="3" s="1"/>
  <c r="C1170" i="3"/>
  <c r="F1170" i="3" s="1"/>
  <c r="D1136" i="3"/>
  <c r="G1136" i="3" s="1"/>
  <c r="C1119" i="3"/>
  <c r="F1119" i="3" s="1"/>
  <c r="C1098" i="3"/>
  <c r="F1098" i="3" s="1"/>
  <c r="D1082" i="3"/>
  <c r="G1082" i="3" s="1"/>
  <c r="C1062" i="3"/>
  <c r="F1062" i="3" s="1"/>
  <c r="E1045" i="3"/>
  <c r="H1045" i="3" s="1"/>
  <c r="E1026" i="3"/>
  <c r="H1026" i="3" s="1"/>
  <c r="C1007" i="3"/>
  <c r="F1007" i="3" s="1"/>
  <c r="E966" i="3"/>
  <c r="H966" i="3" s="1"/>
  <c r="E906" i="3"/>
  <c r="H906" i="3" s="1"/>
  <c r="E963" i="3"/>
  <c r="H963" i="3" s="1"/>
  <c r="C904" i="3"/>
  <c r="F904" i="3" s="1"/>
  <c r="E969" i="3"/>
  <c r="H969" i="3" s="1"/>
  <c r="D921" i="3"/>
  <c r="G921" i="3" s="1"/>
  <c r="E868" i="3"/>
  <c r="H868" i="3" s="1"/>
  <c r="C813" i="3"/>
  <c r="F813" i="3" s="1"/>
  <c r="C749" i="3"/>
  <c r="F749" i="3" s="1"/>
  <c r="E680" i="3"/>
  <c r="H680" i="3" s="1"/>
  <c r="D916" i="3"/>
  <c r="G916" i="3" s="1"/>
  <c r="C848" i="3"/>
  <c r="F848" i="3" s="1"/>
  <c r="D795" i="3"/>
  <c r="G795" i="3" s="1"/>
  <c r="C732" i="3"/>
  <c r="F732" i="3" s="1"/>
  <c r="D661" i="3"/>
  <c r="G661" i="3" s="1"/>
  <c r="E981" i="3"/>
  <c r="H981" i="3" s="1"/>
  <c r="C882" i="3"/>
  <c r="F882" i="3" s="1"/>
  <c r="C831" i="3"/>
  <c r="F831" i="3" s="1"/>
  <c r="E774" i="3"/>
  <c r="H774" i="3" s="1"/>
  <c r="D708" i="3"/>
  <c r="G708" i="3" s="1"/>
  <c r="E625" i="3"/>
  <c r="H625" i="3" s="1"/>
  <c r="C455" i="3"/>
  <c r="F455" i="3" s="1"/>
  <c r="C586" i="3"/>
  <c r="F586" i="3" s="1"/>
  <c r="E351" i="3"/>
  <c r="H351" i="3" s="1"/>
  <c r="E278" i="3"/>
  <c r="H278" i="3" s="1"/>
  <c r="C681" i="3"/>
  <c r="F681" i="3" s="1"/>
  <c r="E604" i="3"/>
  <c r="H604" i="3" s="1"/>
  <c r="D914" i="3"/>
  <c r="G914" i="3" s="1"/>
  <c r="D843" i="3"/>
  <c r="G843" i="3" s="1"/>
  <c r="D791" i="3"/>
  <c r="G791" i="3" s="1"/>
  <c r="D729" i="3"/>
  <c r="G729" i="3" s="1"/>
  <c r="C660" i="3"/>
  <c r="F660" i="3" s="1"/>
  <c r="C982" i="3"/>
  <c r="F982" i="3" s="1"/>
  <c r="E881" i="3"/>
  <c r="H881" i="3" s="1"/>
  <c r="C826" i="3"/>
  <c r="F826" i="3" s="1"/>
  <c r="E773" i="3"/>
  <c r="H773" i="3" s="1"/>
  <c r="C707" i="3"/>
  <c r="F707" i="3" s="1"/>
  <c r="D624" i="3"/>
  <c r="G624" i="3" s="1"/>
  <c r="C419" i="3"/>
  <c r="F419" i="3" s="1"/>
  <c r="D583" i="3"/>
  <c r="G583" i="3" s="1"/>
  <c r="E343" i="3"/>
  <c r="H343" i="3" s="1"/>
  <c r="E246" i="3"/>
  <c r="H246" i="3" s="1"/>
  <c r="C1388" i="3"/>
  <c r="F1388" i="3" s="1"/>
  <c r="E1376" i="3"/>
  <c r="H1376" i="3" s="1"/>
  <c r="E1363" i="3"/>
  <c r="H1363" i="3" s="1"/>
  <c r="C1348" i="3"/>
  <c r="F1348" i="3" s="1"/>
  <c r="D1332" i="3"/>
  <c r="G1332" i="3" s="1"/>
  <c r="D1312" i="3"/>
  <c r="G1312" i="3" s="1"/>
  <c r="D1292" i="3"/>
  <c r="G1292" i="3" s="1"/>
  <c r="D1258" i="3"/>
  <c r="G1258" i="3" s="1"/>
  <c r="D1220" i="3"/>
  <c r="G1220" i="3" s="1"/>
  <c r="D1186" i="3"/>
  <c r="G1186" i="3" s="1"/>
  <c r="D1148" i="3"/>
  <c r="G1148" i="3" s="1"/>
  <c r="D1305" i="3"/>
  <c r="G1305" i="3" s="1"/>
  <c r="C1264" i="3"/>
  <c r="F1264" i="3" s="1"/>
  <c r="C1224" i="3"/>
  <c r="F1224" i="3" s="1"/>
  <c r="C1184" i="3"/>
  <c r="F1184" i="3" s="1"/>
  <c r="C1144" i="3"/>
  <c r="F1144" i="3" s="1"/>
  <c r="E1312" i="3"/>
  <c r="H1312" i="3" s="1"/>
  <c r="D1269" i="3"/>
  <c r="G1269" i="3" s="1"/>
  <c r="D1237" i="3"/>
  <c r="G1237" i="3" s="1"/>
  <c r="D1205" i="3"/>
  <c r="G1205" i="3" s="1"/>
  <c r="D1173" i="3"/>
  <c r="G1173" i="3" s="1"/>
  <c r="D1141" i="3"/>
  <c r="G1141" i="3" s="1"/>
  <c r="E1092" i="3"/>
  <c r="H1092" i="3" s="1"/>
  <c r="C1049" i="3"/>
  <c r="F1049" i="3" s="1"/>
  <c r="C1001" i="3"/>
  <c r="F1001" i="3" s="1"/>
  <c r="D1283" i="3"/>
  <c r="G1283" i="3" s="1"/>
  <c r="E1246" i="3"/>
  <c r="H1246" i="3" s="1"/>
  <c r="C1212" i="3"/>
  <c r="F1212" i="3" s="1"/>
  <c r="E1171" i="3"/>
  <c r="H1171" i="3" s="1"/>
  <c r="E1135" i="3"/>
  <c r="H1135" i="3" s="1"/>
  <c r="E1111" i="3"/>
  <c r="H1111" i="3" s="1"/>
  <c r="E1087" i="3"/>
  <c r="H1087" i="3" s="1"/>
  <c r="D1061" i="3"/>
  <c r="G1061" i="3" s="1"/>
  <c r="D1035" i="3"/>
  <c r="G1035" i="3" s="1"/>
  <c r="D1009" i="3"/>
  <c r="G1009" i="3" s="1"/>
  <c r="D1315" i="3"/>
  <c r="G1315" i="3" s="1"/>
  <c r="C1274" i="3"/>
  <c r="F1274" i="3" s="1"/>
  <c r="E1236" i="3"/>
  <c r="H1236" i="3" s="1"/>
  <c r="C1202" i="3"/>
  <c r="F1202" i="3" s="1"/>
  <c r="E1164" i="3"/>
  <c r="H1164" i="3" s="1"/>
  <c r="E1134" i="3"/>
  <c r="H1134" i="3" s="1"/>
  <c r="C1114" i="3"/>
  <c r="F1114" i="3" s="1"/>
  <c r="E1098" i="3"/>
  <c r="H1098" i="3" s="1"/>
  <c r="E1081" i="3"/>
  <c r="H1081" i="3" s="1"/>
  <c r="C1063" i="3"/>
  <c r="F1063" i="3" s="1"/>
  <c r="D1042" i="3"/>
  <c r="G1042" i="3" s="1"/>
  <c r="D1022" i="3"/>
  <c r="G1022" i="3" s="1"/>
  <c r="C1002" i="3"/>
  <c r="F1002" i="3" s="1"/>
  <c r="C959" i="3"/>
  <c r="F959" i="3" s="1"/>
  <c r="E902" i="3"/>
  <c r="H902" i="3" s="1"/>
  <c r="D960" i="3"/>
  <c r="G960" i="3" s="1"/>
  <c r="E899" i="3"/>
  <c r="H899" i="3" s="1"/>
  <c r="C961" i="3"/>
  <c r="F961" i="3" s="1"/>
  <c r="D919" i="3"/>
  <c r="G919" i="3" s="1"/>
  <c r="E864" i="3"/>
  <c r="H864" i="3" s="1"/>
  <c r="C801" i="3"/>
  <c r="F801" i="3" s="1"/>
  <c r="E740" i="3"/>
  <c r="H740" i="3" s="1"/>
  <c r="E676" i="3"/>
  <c r="H676" i="3" s="1"/>
  <c r="C605" i="3"/>
  <c r="F605" i="3" s="1"/>
  <c r="D908" i="3"/>
  <c r="G908" i="3" s="1"/>
  <c r="E843" i="3"/>
  <c r="H843" i="3" s="1"/>
  <c r="D787" i="3"/>
  <c r="G787" i="3" s="1"/>
  <c r="D723" i="3"/>
  <c r="G723" i="3" s="1"/>
  <c r="D655" i="3"/>
  <c r="G655" i="3" s="1"/>
  <c r="D973" i="3"/>
  <c r="G973" i="3" s="1"/>
  <c r="D878" i="3"/>
  <c r="G878" i="3" s="1"/>
  <c r="D826" i="3"/>
  <c r="G826" i="3" s="1"/>
  <c r="D770" i="3"/>
  <c r="G770" i="3" s="1"/>
  <c r="C695" i="3"/>
  <c r="F695" i="3" s="1"/>
  <c r="D622" i="3"/>
  <c r="G622" i="3" s="1"/>
  <c r="D598" i="3"/>
  <c r="G598" i="3" s="1"/>
  <c r="C577" i="3"/>
  <c r="F577" i="3" s="1"/>
  <c r="E283" i="3"/>
  <c r="H283" i="3" s="1"/>
  <c r="C171" i="3"/>
  <c r="F171" i="3" s="1"/>
  <c r="D1388" i="3"/>
  <c r="G1388" i="3" s="1"/>
  <c r="C1377" i="3"/>
  <c r="F1377" i="3" s="1"/>
  <c r="D1362" i="3"/>
  <c r="G1362" i="3" s="1"/>
  <c r="D1348" i="3"/>
  <c r="G1348" i="3" s="1"/>
  <c r="E1331" i="3"/>
  <c r="H1331" i="3" s="1"/>
  <c r="E1311" i="3"/>
  <c r="H1311" i="3" s="1"/>
  <c r="E1291" i="3"/>
  <c r="H1291" i="3" s="1"/>
  <c r="D1256" i="3"/>
  <c r="G1256" i="3" s="1"/>
  <c r="D1184" i="3"/>
  <c r="G1184" i="3" s="1"/>
  <c r="D1146" i="3"/>
  <c r="G1146" i="3" s="1"/>
  <c r="E1305" i="3"/>
  <c r="H1305" i="3" s="1"/>
  <c r="E1258" i="3"/>
  <c r="H1258" i="3" s="1"/>
  <c r="E1218" i="3"/>
  <c r="H1218" i="3" s="1"/>
  <c r="E1178" i="3"/>
  <c r="H1178" i="3" s="1"/>
  <c r="E1138" i="3"/>
  <c r="H1138" i="3" s="1"/>
  <c r="D1307" i="3"/>
  <c r="G1307" i="3" s="1"/>
  <c r="E1269" i="3"/>
  <c r="H1269" i="3" s="1"/>
  <c r="E1237" i="3"/>
  <c r="H1237" i="3" s="1"/>
  <c r="E1205" i="3"/>
  <c r="H1205" i="3" s="1"/>
  <c r="E1173" i="3"/>
  <c r="H1173" i="3" s="1"/>
  <c r="E1141" i="3"/>
  <c r="H1141" i="3" s="1"/>
  <c r="C1093" i="3"/>
  <c r="F1093" i="3" s="1"/>
  <c r="E1044" i="3"/>
  <c r="H1044" i="3" s="1"/>
  <c r="C997" i="3"/>
  <c r="F997" i="3" s="1"/>
  <c r="E1283" i="3"/>
  <c r="H1283" i="3" s="1"/>
  <c r="C1243" i="3"/>
  <c r="F1243" i="3" s="1"/>
  <c r="E1206" i="3"/>
  <c r="H1206" i="3" s="1"/>
  <c r="C1172" i="3"/>
  <c r="F1172" i="3" s="1"/>
  <c r="D1133" i="3"/>
  <c r="G1133" i="3" s="1"/>
  <c r="C1112" i="3"/>
  <c r="F1112" i="3" s="1"/>
  <c r="C1088" i="3"/>
  <c r="F1088" i="3" s="1"/>
  <c r="D1059" i="3"/>
  <c r="G1059" i="3" s="1"/>
  <c r="E1035" i="3"/>
  <c r="H1035" i="3" s="1"/>
  <c r="D1007" i="3"/>
  <c r="G1007" i="3" s="1"/>
  <c r="C1309" i="3"/>
  <c r="F1309" i="3" s="1"/>
  <c r="D1271" i="3"/>
  <c r="G1271" i="3" s="1"/>
  <c r="E1233" i="3"/>
  <c r="H1233" i="3" s="1"/>
  <c r="D1199" i="3"/>
  <c r="G1199" i="3" s="1"/>
  <c r="C1161" i="3"/>
  <c r="F1161" i="3" s="1"/>
  <c r="D1132" i="3"/>
  <c r="G1132" i="3" s="1"/>
  <c r="D1114" i="3"/>
  <c r="G1114" i="3" s="1"/>
  <c r="C1099" i="3"/>
  <c r="F1099" i="3" s="1"/>
  <c r="E1078" i="3"/>
  <c r="H1078" i="3" s="1"/>
  <c r="E1061" i="3"/>
  <c r="H1061" i="3" s="1"/>
  <c r="E1042" i="3"/>
  <c r="H1042" i="3" s="1"/>
  <c r="E1022" i="3"/>
  <c r="H1022" i="3" s="1"/>
  <c r="D1002" i="3"/>
  <c r="G1002" i="3" s="1"/>
  <c r="E954" i="3"/>
  <c r="H954" i="3" s="1"/>
  <c r="E898" i="3"/>
  <c r="H898" i="3" s="1"/>
  <c r="E955" i="3"/>
  <c r="H955" i="3" s="1"/>
  <c r="C896" i="3"/>
  <c r="F896" i="3" s="1"/>
  <c r="D961" i="3"/>
  <c r="G961" i="3" s="1"/>
  <c r="E913" i="3"/>
  <c r="H913" i="3" s="1"/>
  <c r="E860" i="3"/>
  <c r="H860" i="3" s="1"/>
  <c r="E796" i="3"/>
  <c r="H796" i="3" s="1"/>
  <c r="C741" i="3"/>
  <c r="F741" i="3" s="1"/>
  <c r="C677" i="3"/>
  <c r="F677" i="3" s="1"/>
  <c r="E983" i="3"/>
  <c r="H983" i="3" s="1"/>
  <c r="D906" i="3"/>
  <c r="G906" i="3" s="1"/>
  <c r="E839" i="3"/>
  <c r="H839" i="3" s="1"/>
  <c r="E787" i="3"/>
  <c r="H787" i="3" s="1"/>
  <c r="D721" i="3"/>
  <c r="G721" i="3" s="1"/>
  <c r="E655" i="3"/>
  <c r="H655" i="3" s="1"/>
  <c r="C974" i="3"/>
  <c r="F974" i="3" s="1"/>
  <c r="E878" i="3"/>
  <c r="H878" i="3" s="1"/>
  <c r="E826" i="3"/>
  <c r="H826" i="3" s="1"/>
  <c r="C766" i="3"/>
  <c r="F766" i="3" s="1"/>
  <c r="D688" i="3"/>
  <c r="G688" i="3" s="1"/>
  <c r="C619" i="3"/>
  <c r="F619" i="3" s="1"/>
  <c r="C584" i="3"/>
  <c r="F584" i="3" s="1"/>
  <c r="C570" i="3"/>
  <c r="F570" i="3" s="1"/>
  <c r="E267" i="3"/>
  <c r="H267" i="3" s="1"/>
  <c r="D144" i="3"/>
  <c r="G144" i="3" s="1"/>
  <c r="D1109" i="3"/>
  <c r="G1109" i="3" s="1"/>
  <c r="D1085" i="3"/>
  <c r="G1085" i="3" s="1"/>
  <c r="E1059" i="3"/>
  <c r="H1059" i="3" s="1"/>
  <c r="C1036" i="3"/>
  <c r="F1036" i="3" s="1"/>
  <c r="E1007" i="3"/>
  <c r="H1007" i="3" s="1"/>
  <c r="D1309" i="3"/>
  <c r="G1309" i="3" s="1"/>
  <c r="E1268" i="3"/>
  <c r="H1268" i="3" s="1"/>
  <c r="C1234" i="3"/>
  <c r="F1234" i="3" s="1"/>
  <c r="E1196" i="3"/>
  <c r="H1196" i="3" s="1"/>
  <c r="D1161" i="3"/>
  <c r="G1161" i="3" s="1"/>
  <c r="C1130" i="3"/>
  <c r="F1130" i="3" s="1"/>
  <c r="E1114" i="3"/>
  <c r="H1114" i="3" s="1"/>
  <c r="E1097" i="3"/>
  <c r="H1097" i="3" s="1"/>
  <c r="C1079" i="3"/>
  <c r="F1079" i="3" s="1"/>
  <c r="D1060" i="3"/>
  <c r="G1060" i="3" s="1"/>
  <c r="C1043" i="3"/>
  <c r="F1043" i="3" s="1"/>
  <c r="D1020" i="3"/>
  <c r="G1020" i="3" s="1"/>
  <c r="C1003" i="3"/>
  <c r="F1003" i="3" s="1"/>
  <c r="C899" i="3"/>
  <c r="F899" i="3" s="1"/>
  <c r="D950" i="3"/>
  <c r="G950" i="3" s="1"/>
  <c r="D896" i="3"/>
  <c r="G896" i="3" s="1"/>
  <c r="C962" i="3"/>
  <c r="F962" i="3" s="1"/>
  <c r="C914" i="3"/>
  <c r="F914" i="3" s="1"/>
  <c r="C861" i="3"/>
  <c r="F861" i="3" s="1"/>
  <c r="E792" i="3"/>
  <c r="H792" i="3" s="1"/>
  <c r="E736" i="3"/>
  <c r="H736" i="3" s="1"/>
  <c r="C673" i="3"/>
  <c r="F673" i="3" s="1"/>
  <c r="C980" i="3"/>
  <c r="F980" i="3" s="1"/>
  <c r="C900" i="3"/>
  <c r="F900" i="3" s="1"/>
  <c r="C840" i="3"/>
  <c r="F840" i="3" s="1"/>
  <c r="C788" i="3"/>
  <c r="F788" i="3" s="1"/>
  <c r="C720" i="3"/>
  <c r="F720" i="3" s="1"/>
  <c r="C656" i="3"/>
  <c r="F656" i="3" s="1"/>
  <c r="E968" i="3"/>
  <c r="H968" i="3" s="1"/>
  <c r="C879" i="3"/>
  <c r="F879" i="3" s="1"/>
  <c r="E822" i="3"/>
  <c r="H822" i="3" s="1"/>
  <c r="D764" i="3"/>
  <c r="G764" i="3" s="1"/>
  <c r="D686" i="3"/>
  <c r="G686" i="3" s="1"/>
  <c r="D614" i="3"/>
  <c r="G614" i="3" s="1"/>
  <c r="D584" i="3"/>
  <c r="G584" i="3" s="1"/>
  <c r="E561" i="3"/>
  <c r="H561" i="3" s="1"/>
  <c r="C264" i="3"/>
  <c r="F264" i="3" s="1"/>
  <c r="C135" i="3"/>
  <c r="F135" i="3" s="1"/>
  <c r="E1301" i="3"/>
  <c r="H1301" i="3" s="1"/>
  <c r="C1261" i="3"/>
  <c r="F1261" i="3" s="1"/>
  <c r="C1229" i="3"/>
  <c r="F1229" i="3" s="1"/>
  <c r="C1197" i="3"/>
  <c r="F1197" i="3" s="1"/>
  <c r="C1165" i="3"/>
  <c r="F1165" i="3" s="1"/>
  <c r="C1133" i="3"/>
  <c r="F1133" i="3" s="1"/>
  <c r="C1085" i="3"/>
  <c r="F1085" i="3" s="1"/>
  <c r="E1036" i="3"/>
  <c r="H1036" i="3" s="1"/>
  <c r="C1329" i="3"/>
  <c r="F1329" i="3" s="1"/>
  <c r="C1275" i="3"/>
  <c r="F1275" i="3" s="1"/>
  <c r="E1238" i="3"/>
  <c r="H1238" i="3" s="1"/>
  <c r="C1204" i="3"/>
  <c r="F1204" i="3" s="1"/>
  <c r="E1163" i="3"/>
  <c r="H1163" i="3" s="1"/>
  <c r="C1132" i="3"/>
  <c r="F1132" i="3" s="1"/>
  <c r="E1107" i="3"/>
  <c r="H1107" i="3" s="1"/>
  <c r="D1081" i="3"/>
  <c r="G1081" i="3" s="1"/>
  <c r="D1055" i="3"/>
  <c r="G1055" i="3" s="1"/>
  <c r="E1031" i="3"/>
  <c r="H1031" i="3" s="1"/>
  <c r="D1005" i="3"/>
  <c r="G1005" i="3" s="1"/>
  <c r="E1304" i="3"/>
  <c r="H1304" i="3" s="1"/>
  <c r="D1265" i="3"/>
  <c r="G1265" i="3" s="1"/>
  <c r="C1225" i="3"/>
  <c r="F1225" i="3" s="1"/>
  <c r="E1193" i="3"/>
  <c r="H1193" i="3" s="1"/>
  <c r="C1162" i="3"/>
  <c r="F1162" i="3" s="1"/>
  <c r="C1131" i="3"/>
  <c r="F1131" i="3" s="1"/>
  <c r="D1112" i="3"/>
  <c r="G1112" i="3" s="1"/>
  <c r="C1094" i="3"/>
  <c r="F1094" i="3" s="1"/>
  <c r="C1074" i="3"/>
  <c r="F1074" i="3" s="1"/>
  <c r="E1058" i="3"/>
  <c r="H1058" i="3" s="1"/>
  <c r="C1038" i="3"/>
  <c r="F1038" i="3" s="1"/>
  <c r="D1018" i="3"/>
  <c r="G1018" i="3" s="1"/>
  <c r="D1000" i="3"/>
  <c r="G1000" i="3" s="1"/>
  <c r="E946" i="3"/>
  <c r="H946" i="3" s="1"/>
  <c r="E890" i="3"/>
  <c r="H890" i="3" s="1"/>
  <c r="C944" i="3"/>
  <c r="F944" i="3" s="1"/>
  <c r="C888" i="3"/>
  <c r="F888" i="3" s="1"/>
  <c r="C953" i="3"/>
  <c r="F953" i="3" s="1"/>
  <c r="E905" i="3"/>
  <c r="H905" i="3" s="1"/>
  <c r="E852" i="3"/>
  <c r="H852" i="3" s="1"/>
  <c r="E788" i="3"/>
  <c r="H788" i="3" s="1"/>
  <c r="E724" i="3"/>
  <c r="H724" i="3" s="1"/>
  <c r="E660" i="3"/>
  <c r="H660" i="3" s="1"/>
  <c r="E975" i="3"/>
  <c r="H975" i="3" s="1"/>
  <c r="D892" i="3"/>
  <c r="G892" i="3" s="1"/>
  <c r="E835" i="3"/>
  <c r="H835" i="3" s="1"/>
  <c r="C776" i="3"/>
  <c r="F776" i="3" s="1"/>
  <c r="D715" i="3"/>
  <c r="G715" i="3" s="1"/>
  <c r="E647" i="3"/>
  <c r="H647" i="3" s="1"/>
  <c r="C966" i="3"/>
  <c r="F966" i="3" s="1"/>
  <c r="D870" i="3"/>
  <c r="G870" i="3" s="1"/>
  <c r="D814" i="3"/>
  <c r="G814" i="3" s="1"/>
  <c r="D756" i="3"/>
  <c r="G756" i="3" s="1"/>
  <c r="C687" i="3"/>
  <c r="F687" i="3" s="1"/>
  <c r="C603" i="3"/>
  <c r="F603" i="3" s="1"/>
  <c r="D576" i="3"/>
  <c r="G576" i="3" s="1"/>
  <c r="D519" i="3"/>
  <c r="G519" i="3" s="1"/>
  <c r="E227" i="3"/>
  <c r="H227" i="3" s="1"/>
  <c r="D114" i="3"/>
  <c r="G114" i="3" s="1"/>
  <c r="D1386" i="3"/>
  <c r="G1386" i="3" s="1"/>
  <c r="D1372" i="3"/>
  <c r="G1372" i="3" s="1"/>
  <c r="C1361" i="3"/>
  <c r="F1361" i="3" s="1"/>
  <c r="D1346" i="3"/>
  <c r="G1346" i="3" s="1"/>
  <c r="E1327" i="3"/>
  <c r="H1327" i="3" s="1"/>
  <c r="E1307" i="3"/>
  <c r="H1307" i="3" s="1"/>
  <c r="D1250" i="3"/>
  <c r="G1250" i="3" s="1"/>
  <c r="D1214" i="3"/>
  <c r="G1214" i="3" s="1"/>
  <c r="D1176" i="3"/>
  <c r="G1176" i="3" s="1"/>
  <c r="D1138" i="3"/>
  <c r="G1138" i="3" s="1"/>
  <c r="E1290" i="3"/>
  <c r="H1290" i="3" s="1"/>
  <c r="E1250" i="3"/>
  <c r="H1250" i="3" s="1"/>
  <c r="E1210" i="3"/>
  <c r="H1210" i="3" s="1"/>
  <c r="E1170" i="3"/>
  <c r="H1170" i="3" s="1"/>
  <c r="C1302" i="3"/>
  <c r="F1302" i="3" s="1"/>
  <c r="D1261" i="3"/>
  <c r="G1261" i="3" s="1"/>
  <c r="D1229" i="3"/>
  <c r="G1229" i="3" s="1"/>
  <c r="D1197" i="3"/>
  <c r="G1197" i="3" s="1"/>
  <c r="D1165" i="3"/>
  <c r="G1165" i="3" s="1"/>
  <c r="E1128" i="3"/>
  <c r="H1128" i="3" s="1"/>
  <c r="E1080" i="3"/>
  <c r="H1080" i="3" s="1"/>
  <c r="C1037" i="3"/>
  <c r="F1037" i="3" s="1"/>
  <c r="D1329" i="3"/>
  <c r="G1329" i="3" s="1"/>
  <c r="E1275" i="3"/>
  <c r="H1275" i="3" s="1"/>
  <c r="C1235" i="3"/>
  <c r="F1235" i="3" s="1"/>
  <c r="E1198" i="3"/>
  <c r="H1198" i="3" s="1"/>
  <c r="C1164" i="3"/>
  <c r="F1164" i="3" s="1"/>
  <c r="D1129" i="3"/>
  <c r="G1129" i="3" s="1"/>
  <c r="C1108" i="3"/>
  <c r="F1108" i="3" s="1"/>
  <c r="D1079" i="3"/>
  <c r="G1079" i="3" s="1"/>
  <c r="E1055" i="3"/>
  <c r="H1055" i="3" s="1"/>
  <c r="D1029" i="3"/>
  <c r="G1029" i="3" s="1"/>
  <c r="D1003" i="3"/>
  <c r="G1003" i="3" s="1"/>
  <c r="D1299" i="3"/>
  <c r="G1299" i="3" s="1"/>
  <c r="C1266" i="3"/>
  <c r="F1266" i="3" s="1"/>
  <c r="D1225" i="3"/>
  <c r="G1225" i="3" s="1"/>
  <c r="C1194" i="3"/>
  <c r="F1194" i="3" s="1"/>
  <c r="E1156" i="3"/>
  <c r="H1156" i="3" s="1"/>
  <c r="E1129" i="3"/>
  <c r="H1129" i="3" s="1"/>
  <c r="C1110" i="3"/>
  <c r="F1110" i="3" s="1"/>
  <c r="E1094" i="3"/>
  <c r="H1094" i="3" s="1"/>
  <c r="D1074" i="3"/>
  <c r="G1074" i="3" s="1"/>
  <c r="C1059" i="3"/>
  <c r="F1059" i="3" s="1"/>
  <c r="C1039" i="3"/>
  <c r="F1039" i="3" s="1"/>
  <c r="E1018" i="3"/>
  <c r="H1018" i="3" s="1"/>
  <c r="C998" i="3"/>
  <c r="F998" i="3" s="1"/>
  <c r="C947" i="3"/>
  <c r="F947" i="3" s="1"/>
  <c r="C891" i="3"/>
  <c r="F891" i="3" s="1"/>
  <c r="D942" i="3"/>
  <c r="G942" i="3" s="1"/>
  <c r="D886" i="3"/>
  <c r="G886" i="3" s="1"/>
  <c r="D953" i="3"/>
  <c r="G953" i="3" s="1"/>
  <c r="C906" i="3"/>
  <c r="F906" i="3" s="1"/>
  <c r="C853" i="3"/>
  <c r="F853" i="3" s="1"/>
  <c r="C789" i="3"/>
  <c r="F789" i="3" s="1"/>
  <c r="C725" i="3"/>
  <c r="F725" i="3" s="1"/>
  <c r="C661" i="3"/>
  <c r="F661" i="3" s="1"/>
  <c r="C972" i="3"/>
  <c r="F972" i="3" s="1"/>
  <c r="E892" i="3"/>
  <c r="H892" i="3" s="1"/>
  <c r="E831" i="3"/>
  <c r="H831" i="3" s="1"/>
  <c r="D767" i="3"/>
  <c r="G767" i="3" s="1"/>
  <c r="D711" i="3"/>
  <c r="G711" i="3" s="1"/>
  <c r="C644" i="3"/>
  <c r="F644" i="3" s="1"/>
  <c r="D955" i="3"/>
  <c r="G955" i="3" s="1"/>
  <c r="D866" i="3"/>
  <c r="G866" i="3" s="1"/>
  <c r="D806" i="3"/>
  <c r="G806" i="3" s="1"/>
  <c r="D752" i="3"/>
  <c r="G752" i="3" s="1"/>
  <c r="E681" i="3"/>
  <c r="H681" i="3" s="1"/>
  <c r="E598" i="3"/>
  <c r="H598" i="3" s="1"/>
  <c r="C560" i="3"/>
  <c r="F560" i="3" s="1"/>
  <c r="E497" i="3"/>
  <c r="H497" i="3" s="1"/>
  <c r="E147" i="3"/>
  <c r="H147" i="3" s="1"/>
  <c r="D132" i="3"/>
  <c r="G132" i="3" s="1"/>
  <c r="C786" i="3"/>
  <c r="F786" i="3" s="1"/>
  <c r="D724" i="3"/>
  <c r="G724" i="3" s="1"/>
  <c r="C659" i="3"/>
  <c r="F659" i="3" s="1"/>
  <c r="E574" i="3"/>
  <c r="H574" i="3" s="1"/>
  <c r="D552" i="3"/>
  <c r="G552" i="3" s="1"/>
  <c r="C521" i="3"/>
  <c r="F521" i="3" s="1"/>
  <c r="C268" i="3"/>
  <c r="F268" i="3" s="1"/>
  <c r="D252" i="3"/>
  <c r="G252" i="3" s="1"/>
  <c r="D948" i="3"/>
  <c r="G948" i="3" s="1"/>
  <c r="D869" i="3"/>
  <c r="G869" i="3" s="1"/>
  <c r="D821" i="3"/>
  <c r="G821" i="3" s="1"/>
  <c r="E759" i="3"/>
  <c r="H759" i="3" s="1"/>
  <c r="E695" i="3"/>
  <c r="H695" i="3" s="1"/>
  <c r="C640" i="3"/>
  <c r="F640" i="3" s="1"/>
  <c r="C949" i="3"/>
  <c r="F949" i="3" s="1"/>
  <c r="C871" i="3"/>
  <c r="F871" i="3" s="1"/>
  <c r="D816" i="3"/>
  <c r="G816" i="3" s="1"/>
  <c r="E765" i="3"/>
  <c r="H765" i="3" s="1"/>
  <c r="E694" i="3"/>
  <c r="H694" i="3" s="1"/>
  <c r="D626" i="3"/>
  <c r="G626" i="3" s="1"/>
  <c r="E486" i="3"/>
  <c r="H486" i="3" s="1"/>
  <c r="D462" i="3"/>
  <c r="G462" i="3" s="1"/>
  <c r="E417" i="3"/>
  <c r="H417" i="3" s="1"/>
  <c r="D500" i="3"/>
  <c r="G500" i="3" s="1"/>
  <c r="E589" i="3"/>
  <c r="H589" i="3" s="1"/>
  <c r="E436" i="3"/>
  <c r="H436" i="3" s="1"/>
  <c r="C354" i="3"/>
  <c r="F354" i="3" s="1"/>
  <c r="C1042" i="3"/>
  <c r="F1042" i="3" s="1"/>
  <c r="E1030" i="3"/>
  <c r="H1030" i="3" s="1"/>
  <c r="C1014" i="3"/>
  <c r="F1014" i="3" s="1"/>
  <c r="E1002" i="3"/>
  <c r="H1002" i="3" s="1"/>
  <c r="C975" i="3"/>
  <c r="F975" i="3" s="1"/>
  <c r="E934" i="3"/>
  <c r="H934" i="3" s="1"/>
  <c r="C928" i="3"/>
  <c r="F928" i="3" s="1"/>
  <c r="D888" i="3"/>
  <c r="G888" i="3" s="1"/>
  <c r="E993" i="3"/>
  <c r="H993" i="3" s="1"/>
  <c r="E961" i="3"/>
  <c r="H961" i="3" s="1"/>
  <c r="C930" i="3"/>
  <c r="F930" i="3" s="1"/>
  <c r="D895" i="3"/>
  <c r="G895" i="3" s="1"/>
  <c r="E856" i="3"/>
  <c r="H856" i="3" s="1"/>
  <c r="E816" i="3"/>
  <c r="H816" i="3" s="1"/>
  <c r="E780" i="3"/>
  <c r="H780" i="3" s="1"/>
  <c r="C745" i="3"/>
  <c r="F745" i="3" s="1"/>
  <c r="E704" i="3"/>
  <c r="H704" i="3" s="1"/>
  <c r="C665" i="3"/>
  <c r="F665" i="3" s="1"/>
  <c r="C613" i="3"/>
  <c r="F613" i="3" s="1"/>
  <c r="E956" i="3"/>
  <c r="H956" i="3" s="1"/>
  <c r="E903" i="3"/>
  <c r="H903" i="3" s="1"/>
  <c r="C864" i="3"/>
  <c r="F864" i="3" s="1"/>
  <c r="E827" i="3"/>
  <c r="H827" i="3" s="1"/>
  <c r="E795" i="3"/>
  <c r="H795" i="3" s="1"/>
  <c r="D755" i="3"/>
  <c r="G755" i="3" s="1"/>
  <c r="D719" i="3"/>
  <c r="G719" i="3" s="1"/>
  <c r="D681" i="3"/>
  <c r="G681" i="3" s="1"/>
  <c r="C648" i="3"/>
  <c r="F648" i="3" s="1"/>
  <c r="D603" i="3"/>
  <c r="G603" i="3" s="1"/>
  <c r="D957" i="3"/>
  <c r="G957" i="3" s="1"/>
  <c r="E909" i="3"/>
  <c r="H909" i="3" s="1"/>
  <c r="D872" i="3"/>
  <c r="G872" i="3" s="1"/>
  <c r="E846" i="3"/>
  <c r="H846" i="3" s="1"/>
  <c r="E821" i="3"/>
  <c r="H821" i="3" s="1"/>
  <c r="C795" i="3"/>
  <c r="F795" i="3" s="1"/>
  <c r="C771" i="3"/>
  <c r="F771" i="3" s="1"/>
  <c r="C743" i="3"/>
  <c r="F743" i="3" s="1"/>
  <c r="E709" i="3"/>
  <c r="H709" i="3" s="1"/>
  <c r="C678" i="3"/>
  <c r="F678" i="3" s="1"/>
  <c r="E645" i="3"/>
  <c r="H645" i="3" s="1"/>
  <c r="C614" i="3"/>
  <c r="F614" i="3" s="1"/>
  <c r="C563" i="3"/>
  <c r="F563" i="3" s="1"/>
  <c r="C475" i="3"/>
  <c r="F475" i="3" s="1"/>
  <c r="D558" i="3"/>
  <c r="G558" i="3" s="1"/>
  <c r="D464" i="3"/>
  <c r="G464" i="3" s="1"/>
  <c r="D561" i="3"/>
  <c r="G561" i="3" s="1"/>
  <c r="D473" i="3"/>
  <c r="G473" i="3" s="1"/>
  <c r="C360" i="3"/>
  <c r="F360" i="3" s="1"/>
  <c r="C164" i="3"/>
  <c r="F164" i="3" s="1"/>
  <c r="D408" i="3"/>
  <c r="G408" i="3" s="1"/>
  <c r="D254" i="3"/>
  <c r="G254" i="3" s="1"/>
  <c r="D80" i="3"/>
  <c r="G80" i="3" s="1"/>
  <c r="D71" i="3"/>
  <c r="G71" i="3" s="1"/>
  <c r="C30" i="3"/>
  <c r="F30" i="3" s="1"/>
  <c r="E952" i="3"/>
  <c r="H952" i="3" s="1"/>
  <c r="D901" i="3"/>
  <c r="G901" i="3" s="1"/>
  <c r="E870" i="3"/>
  <c r="H870" i="3" s="1"/>
  <c r="D844" i="3"/>
  <c r="G844" i="3" s="1"/>
  <c r="C819" i="3"/>
  <c r="F819" i="3" s="1"/>
  <c r="C790" i="3"/>
  <c r="F790" i="3" s="1"/>
  <c r="C767" i="3"/>
  <c r="F767" i="3" s="1"/>
  <c r="E737" i="3"/>
  <c r="H737" i="3" s="1"/>
  <c r="C706" i="3"/>
  <c r="F706" i="3" s="1"/>
  <c r="E674" i="3"/>
  <c r="H674" i="3" s="1"/>
  <c r="D642" i="3"/>
  <c r="G642" i="3" s="1"/>
  <c r="E613" i="3"/>
  <c r="H613" i="3" s="1"/>
  <c r="C555" i="3"/>
  <c r="F555" i="3" s="1"/>
  <c r="C459" i="3"/>
  <c r="F459" i="3" s="1"/>
  <c r="C544" i="3"/>
  <c r="F544" i="3" s="1"/>
  <c r="D456" i="3"/>
  <c r="G456" i="3" s="1"/>
  <c r="C553" i="3"/>
  <c r="F553" i="3" s="1"/>
  <c r="D463" i="3"/>
  <c r="G463" i="3" s="1"/>
  <c r="C348" i="3"/>
  <c r="F348" i="3" s="1"/>
  <c r="C148" i="3"/>
  <c r="F148" i="3" s="1"/>
  <c r="D396" i="3"/>
  <c r="G396" i="3" s="1"/>
  <c r="C251" i="3"/>
  <c r="F251" i="3" s="1"/>
  <c r="C68" i="3"/>
  <c r="F68" i="3" s="1"/>
  <c r="D9" i="3"/>
  <c r="G9" i="3" s="1"/>
  <c r="C734" i="3"/>
  <c r="F734" i="3" s="1"/>
  <c r="C703" i="3"/>
  <c r="F703" i="3" s="1"/>
  <c r="D672" i="3"/>
  <c r="G672" i="3" s="1"/>
  <c r="D640" i="3"/>
  <c r="G640" i="3" s="1"/>
  <c r="E610" i="3"/>
  <c r="H610" i="3" s="1"/>
  <c r="C547" i="3"/>
  <c r="F547" i="3" s="1"/>
  <c r="E450" i="3"/>
  <c r="H450" i="3" s="1"/>
  <c r="D542" i="3"/>
  <c r="G542" i="3" s="1"/>
  <c r="E443" i="3"/>
  <c r="H443" i="3" s="1"/>
  <c r="D551" i="3"/>
  <c r="G551" i="3" s="1"/>
  <c r="C458" i="3"/>
  <c r="F458" i="3" s="1"/>
  <c r="C344" i="3"/>
  <c r="F344" i="3" s="1"/>
  <c r="E131" i="3"/>
  <c r="H131" i="3" s="1"/>
  <c r="D390" i="3"/>
  <c r="G390" i="3" s="1"/>
  <c r="E238" i="3"/>
  <c r="H238" i="3" s="1"/>
  <c r="C461" i="3"/>
  <c r="F461" i="3" s="1"/>
  <c r="D108" i="3"/>
  <c r="G108" i="3" s="1"/>
  <c r="E1341" i="3"/>
  <c r="H1341" i="3" s="1"/>
  <c r="C1289" i="3"/>
  <c r="F1289" i="3" s="1"/>
  <c r="E1265" i="3"/>
  <c r="H1265" i="3" s="1"/>
  <c r="D1239" i="3"/>
  <c r="G1239" i="3" s="1"/>
  <c r="C1209" i="3"/>
  <c r="F1209" i="3" s="1"/>
  <c r="E1185" i="3"/>
  <c r="H1185" i="3" s="1"/>
  <c r="D1159" i="3"/>
  <c r="G1159" i="3" s="1"/>
  <c r="D1134" i="3"/>
  <c r="G1134" i="3" s="1"/>
  <c r="C1123" i="3"/>
  <c r="F1123" i="3" s="1"/>
  <c r="D1108" i="3"/>
  <c r="G1108" i="3" s="1"/>
  <c r="D1094" i="3"/>
  <c r="G1094" i="3" s="1"/>
  <c r="C1083" i="3"/>
  <c r="F1083" i="3" s="1"/>
  <c r="C1066" i="3"/>
  <c r="F1066" i="3" s="1"/>
  <c r="C1055" i="3"/>
  <c r="F1055" i="3" s="1"/>
  <c r="D1040" i="3"/>
  <c r="G1040" i="3" s="1"/>
  <c r="D1026" i="3"/>
  <c r="G1026" i="3" s="1"/>
  <c r="D1012" i="3"/>
  <c r="G1012" i="3" s="1"/>
  <c r="D998" i="3"/>
  <c r="G998" i="3" s="1"/>
  <c r="C967" i="3"/>
  <c r="F967" i="3" s="1"/>
  <c r="C927" i="3"/>
  <c r="F927" i="3" s="1"/>
  <c r="C887" i="3"/>
  <c r="F887" i="3" s="1"/>
  <c r="D958" i="3"/>
  <c r="G958" i="3" s="1"/>
  <c r="D920" i="3"/>
  <c r="G920" i="3" s="1"/>
  <c r="E985" i="3"/>
  <c r="H985" i="3" s="1"/>
  <c r="E953" i="3"/>
  <c r="H953" i="3" s="1"/>
  <c r="C922" i="3"/>
  <c r="F922" i="3" s="1"/>
  <c r="D887" i="3"/>
  <c r="G887" i="3" s="1"/>
  <c r="C849" i="3"/>
  <c r="F849" i="3" s="1"/>
  <c r="E808" i="3"/>
  <c r="H808" i="3" s="1"/>
  <c r="C773" i="3"/>
  <c r="F773" i="3" s="1"/>
  <c r="E732" i="3"/>
  <c r="H732" i="3" s="1"/>
  <c r="E696" i="3"/>
  <c r="H696" i="3" s="1"/>
  <c r="C653" i="3"/>
  <c r="F653" i="3" s="1"/>
  <c r="C601" i="3"/>
  <c r="F601" i="3" s="1"/>
  <c r="C940" i="3"/>
  <c r="F940" i="3" s="1"/>
  <c r="D890" i="3"/>
  <c r="G890" i="3" s="1"/>
  <c r="E855" i="3"/>
  <c r="H855" i="3" s="1"/>
  <c r="C820" i="3"/>
  <c r="F820" i="3" s="1"/>
  <c r="E783" i="3"/>
  <c r="H783" i="3" s="1"/>
  <c r="D747" i="3"/>
  <c r="G747" i="3" s="1"/>
  <c r="D709" i="3"/>
  <c r="G709" i="3" s="1"/>
  <c r="E675" i="3"/>
  <c r="H675" i="3" s="1"/>
  <c r="E635" i="3"/>
  <c r="H635" i="3" s="1"/>
  <c r="D995" i="3"/>
  <c r="G995" i="3" s="1"/>
  <c r="E944" i="3"/>
  <c r="H944" i="3" s="1"/>
  <c r="C893" i="3"/>
  <c r="F893" i="3" s="1"/>
  <c r="D864" i="3"/>
  <c r="G864" i="3" s="1"/>
  <c r="E841" i="3"/>
  <c r="H841" i="3" s="1"/>
  <c r="C815" i="3"/>
  <c r="F815" i="3" s="1"/>
  <c r="E786" i="3"/>
  <c r="H786" i="3" s="1"/>
  <c r="E762" i="3"/>
  <c r="H762" i="3" s="1"/>
  <c r="E733" i="3"/>
  <c r="H733" i="3" s="1"/>
  <c r="D700" i="3"/>
  <c r="G700" i="3" s="1"/>
  <c r="C670" i="3"/>
  <c r="F670" i="3" s="1"/>
  <c r="E638" i="3"/>
  <c r="H638" i="3" s="1"/>
  <c r="C611" i="3"/>
  <c r="F611" i="3" s="1"/>
  <c r="E534" i="3"/>
  <c r="H534" i="3" s="1"/>
  <c r="C451" i="3"/>
  <c r="F451" i="3" s="1"/>
  <c r="D536" i="3"/>
  <c r="G536" i="3" s="1"/>
  <c r="C440" i="3"/>
  <c r="F440" i="3" s="1"/>
  <c r="C545" i="3"/>
  <c r="F545" i="3" s="1"/>
  <c r="D449" i="3"/>
  <c r="G449" i="3" s="1"/>
  <c r="C316" i="3"/>
  <c r="F316" i="3" s="1"/>
  <c r="E583" i="3"/>
  <c r="H583" i="3" s="1"/>
  <c r="D376" i="3"/>
  <c r="G376" i="3" s="1"/>
  <c r="D224" i="3"/>
  <c r="G224" i="3" s="1"/>
  <c r="C438" i="3"/>
  <c r="F438" i="3" s="1"/>
  <c r="E844" i="3"/>
  <c r="H844" i="3" s="1"/>
  <c r="C809" i="3"/>
  <c r="F809" i="3" s="1"/>
  <c r="E768" i="3"/>
  <c r="H768" i="3" s="1"/>
  <c r="C733" i="3"/>
  <c r="F733" i="3" s="1"/>
  <c r="C697" i="3"/>
  <c r="F697" i="3" s="1"/>
  <c r="E648" i="3"/>
  <c r="H648" i="3" s="1"/>
  <c r="C988" i="3"/>
  <c r="F988" i="3" s="1"/>
  <c r="D940" i="3"/>
  <c r="G940" i="3" s="1"/>
  <c r="D883" i="3"/>
  <c r="G883" i="3" s="1"/>
  <c r="E851" i="3"/>
  <c r="H851" i="3" s="1"/>
  <c r="D817" i="3"/>
  <c r="G817" i="3" s="1"/>
  <c r="D781" i="3"/>
  <c r="G781" i="3" s="1"/>
  <c r="E747" i="3"/>
  <c r="H747" i="3" s="1"/>
  <c r="D707" i="3"/>
  <c r="G707" i="3" s="1"/>
  <c r="D671" i="3"/>
  <c r="G671" i="3" s="1"/>
  <c r="D631" i="3"/>
  <c r="G631" i="3" s="1"/>
  <c r="C989" i="3"/>
  <c r="F989" i="3" s="1"/>
  <c r="D941" i="3"/>
  <c r="G941" i="3" s="1"/>
  <c r="C894" i="3"/>
  <c r="F894" i="3" s="1"/>
  <c r="C862" i="3"/>
  <c r="F862" i="3" s="1"/>
  <c r="D838" i="3"/>
  <c r="G838" i="3" s="1"/>
  <c r="E813" i="3"/>
  <c r="H813" i="3" s="1"/>
  <c r="C787" i="3"/>
  <c r="F787" i="3" s="1"/>
  <c r="E761" i="3"/>
  <c r="H761" i="3" s="1"/>
  <c r="C731" i="3"/>
  <c r="F731" i="3" s="1"/>
  <c r="C698" i="3"/>
  <c r="F698" i="3" s="1"/>
  <c r="C671" i="3"/>
  <c r="F671" i="3" s="1"/>
  <c r="C639" i="3"/>
  <c r="F639" i="3" s="1"/>
  <c r="C606" i="3"/>
  <c r="F606" i="3" s="1"/>
  <c r="E530" i="3"/>
  <c r="H530" i="3" s="1"/>
  <c r="E438" i="3"/>
  <c r="H438" i="3" s="1"/>
  <c r="D526" i="3"/>
  <c r="G526" i="3" s="1"/>
  <c r="D440" i="3"/>
  <c r="G440" i="3" s="1"/>
  <c r="C546" i="3"/>
  <c r="F546" i="3" s="1"/>
  <c r="E449" i="3"/>
  <c r="H449" i="3" s="1"/>
  <c r="E307" i="3"/>
  <c r="H307" i="3" s="1"/>
  <c r="E572" i="3"/>
  <c r="H572" i="3" s="1"/>
  <c r="D370" i="3"/>
  <c r="G370" i="3" s="1"/>
  <c r="D214" i="3"/>
  <c r="G214" i="3" s="1"/>
  <c r="E424" i="3"/>
  <c r="H424" i="3" s="1"/>
  <c r="E1132" i="3"/>
  <c r="H1132" i="3" s="1"/>
  <c r="E1096" i="3"/>
  <c r="H1096" i="3" s="1"/>
  <c r="C1061" i="3"/>
  <c r="F1061" i="3" s="1"/>
  <c r="E1020" i="3"/>
  <c r="H1020" i="3" s="1"/>
  <c r="E1324" i="3"/>
  <c r="H1324" i="3" s="1"/>
  <c r="D1275" i="3"/>
  <c r="G1275" i="3" s="1"/>
  <c r="D1243" i="3"/>
  <c r="G1243" i="3" s="1"/>
  <c r="D1211" i="3"/>
  <c r="G1211" i="3" s="1"/>
  <c r="D1179" i="3"/>
  <c r="G1179" i="3" s="1"/>
  <c r="D1147" i="3"/>
  <c r="G1147" i="3" s="1"/>
  <c r="D1123" i="3"/>
  <c r="G1123" i="3" s="1"/>
  <c r="D1103" i="3"/>
  <c r="G1103" i="3" s="1"/>
  <c r="E1083" i="3"/>
  <c r="H1083" i="3" s="1"/>
  <c r="E1063" i="3"/>
  <c r="H1063" i="3" s="1"/>
  <c r="E1043" i="3"/>
  <c r="H1043" i="3" s="1"/>
  <c r="C1024" i="3"/>
  <c r="F1024" i="3" s="1"/>
  <c r="C1004" i="3"/>
  <c r="F1004" i="3" s="1"/>
  <c r="E1336" i="3"/>
  <c r="H1336" i="3" s="1"/>
  <c r="E1289" i="3"/>
  <c r="H1289" i="3" s="1"/>
  <c r="D1263" i="3"/>
  <c r="G1263" i="3" s="1"/>
  <c r="C1233" i="3"/>
  <c r="F1233" i="3" s="1"/>
  <c r="E1209" i="3"/>
  <c r="H1209" i="3" s="1"/>
  <c r="D1183" i="3"/>
  <c r="G1183" i="3" s="1"/>
  <c r="C1153" i="3"/>
  <c r="F1153" i="3" s="1"/>
  <c r="C1135" i="3"/>
  <c r="F1135" i="3" s="1"/>
  <c r="D1120" i="3"/>
  <c r="G1120" i="3" s="1"/>
  <c r="D1106" i="3"/>
  <c r="G1106" i="3" s="1"/>
  <c r="C1095" i="3"/>
  <c r="F1095" i="3" s="1"/>
  <c r="D1080" i="3"/>
  <c r="G1080" i="3" s="1"/>
  <c r="E1066" i="3"/>
  <c r="H1066" i="3" s="1"/>
  <c r="D1052" i="3"/>
  <c r="G1052" i="3" s="1"/>
  <c r="D1038" i="3"/>
  <c r="G1038" i="3" s="1"/>
  <c r="E1025" i="3"/>
  <c r="H1025" i="3" s="1"/>
  <c r="D1010" i="3"/>
  <c r="G1010" i="3" s="1"/>
  <c r="C999" i="3"/>
  <c r="F999" i="3" s="1"/>
  <c r="C963" i="3"/>
  <c r="F963" i="3" s="1"/>
  <c r="C923" i="3"/>
  <c r="F923" i="3" s="1"/>
  <c r="C992" i="3"/>
  <c r="F992" i="3" s="1"/>
  <c r="C952" i="3"/>
  <c r="F952" i="3" s="1"/>
  <c r="C912" i="3"/>
  <c r="F912" i="3" s="1"/>
  <c r="D983" i="3"/>
  <c r="G983" i="3" s="1"/>
  <c r="D951" i="3"/>
  <c r="G951" i="3" s="1"/>
  <c r="C913" i="3"/>
  <c r="F913" i="3" s="1"/>
  <c r="E880" i="3"/>
  <c r="H880" i="3" s="1"/>
  <c r="C845" i="3"/>
  <c r="F845" i="3" s="1"/>
  <c r="E804" i="3"/>
  <c r="H804" i="3" s="1"/>
  <c r="C769" i="3"/>
  <c r="F769" i="3" s="1"/>
  <c r="E728" i="3"/>
  <c r="H728" i="3" s="1"/>
  <c r="E692" i="3"/>
  <c r="H692" i="3" s="1"/>
  <c r="C649" i="3"/>
  <c r="F649" i="3" s="1"/>
  <c r="D988" i="3"/>
  <c r="G988" i="3" s="1"/>
  <c r="D938" i="3"/>
  <c r="G938" i="3" s="1"/>
  <c r="E883" i="3"/>
  <c r="H883" i="3" s="1"/>
  <c r="D847" i="3"/>
  <c r="G847" i="3" s="1"/>
  <c r="E815" i="3"/>
  <c r="H815" i="3" s="1"/>
  <c r="E779" i="3"/>
  <c r="H779" i="3" s="1"/>
  <c r="E707" i="3"/>
  <c r="H707" i="3" s="1"/>
  <c r="D669" i="3"/>
  <c r="G669" i="3" s="1"/>
  <c r="E631" i="3"/>
  <c r="H631" i="3" s="1"/>
  <c r="D989" i="3"/>
  <c r="G989" i="3" s="1"/>
  <c r="E941" i="3"/>
  <c r="H941" i="3" s="1"/>
  <c r="E888" i="3"/>
  <c r="H888" i="3" s="1"/>
  <c r="D862" i="3"/>
  <c r="G862" i="3" s="1"/>
  <c r="E837" i="3"/>
  <c r="H837" i="3" s="1"/>
  <c r="D812" i="3"/>
  <c r="G812" i="3" s="1"/>
  <c r="D784" i="3"/>
  <c r="G784" i="3" s="1"/>
  <c r="C758" i="3"/>
  <c r="F758" i="3" s="1"/>
  <c r="C726" i="3"/>
  <c r="F726" i="3" s="1"/>
  <c r="D698" i="3"/>
  <c r="G698" i="3" s="1"/>
  <c r="C666" i="3"/>
  <c r="F666" i="3" s="1"/>
  <c r="E637" i="3"/>
  <c r="H637" i="3" s="1"/>
  <c r="D604" i="3"/>
  <c r="G604" i="3" s="1"/>
  <c r="C531" i="3"/>
  <c r="F531" i="3" s="1"/>
  <c r="C439" i="3"/>
  <c r="F439" i="3" s="1"/>
  <c r="C520" i="3"/>
  <c r="F520" i="3" s="1"/>
  <c r="C432" i="3"/>
  <c r="F432" i="3" s="1"/>
  <c r="C529" i="3"/>
  <c r="F529" i="3" s="1"/>
  <c r="C450" i="3"/>
  <c r="F450" i="3" s="1"/>
  <c r="C308" i="3"/>
  <c r="F308" i="3" s="1"/>
  <c r="D564" i="3"/>
  <c r="G564" i="3" s="1"/>
  <c r="D364" i="3"/>
  <c r="G364" i="3" s="1"/>
  <c r="D212" i="3"/>
  <c r="G212" i="3" s="1"/>
  <c r="E421" i="3"/>
  <c r="H421" i="3" s="1"/>
  <c r="C1084" i="3"/>
  <c r="F1084" i="3" s="1"/>
  <c r="C1064" i="3"/>
  <c r="F1064" i="3" s="1"/>
  <c r="C1044" i="3"/>
  <c r="F1044" i="3" s="1"/>
  <c r="D1021" i="3"/>
  <c r="G1021" i="3" s="1"/>
  <c r="D1001" i="3"/>
  <c r="G1001" i="3" s="1"/>
  <c r="D1331" i="3"/>
  <c r="G1331" i="3" s="1"/>
  <c r="C1290" i="3"/>
  <c r="F1290" i="3" s="1"/>
  <c r="E1260" i="3"/>
  <c r="H1260" i="3" s="1"/>
  <c r="D1233" i="3"/>
  <c r="G1233" i="3" s="1"/>
  <c r="C1210" i="3"/>
  <c r="F1210" i="3" s="1"/>
  <c r="E1180" i="3"/>
  <c r="H1180" i="3" s="1"/>
  <c r="D1153" i="3"/>
  <c r="G1153" i="3" s="1"/>
  <c r="E1133" i="3"/>
  <c r="H1133" i="3" s="1"/>
  <c r="C1118" i="3"/>
  <c r="F1118" i="3" s="1"/>
  <c r="E1106" i="3"/>
  <c r="H1106" i="3" s="1"/>
  <c r="E1093" i="3"/>
  <c r="H1093" i="3" s="1"/>
  <c r="D1078" i="3"/>
  <c r="G1078" i="3" s="1"/>
  <c r="C1067" i="3"/>
  <c r="F1067" i="3" s="1"/>
  <c r="C1050" i="3"/>
  <c r="F1050" i="3" s="1"/>
  <c r="E1038" i="3"/>
  <c r="H1038" i="3" s="1"/>
  <c r="D1024" i="3"/>
  <c r="G1024" i="3" s="1"/>
  <c r="E1010" i="3"/>
  <c r="H1010" i="3" s="1"/>
  <c r="E997" i="3"/>
  <c r="H997" i="3" s="1"/>
  <c r="E958" i="3"/>
  <c r="H958" i="3" s="1"/>
  <c r="E918" i="3"/>
  <c r="H918" i="3" s="1"/>
  <c r="D992" i="3"/>
  <c r="G992" i="3" s="1"/>
  <c r="D952" i="3"/>
  <c r="G952" i="3" s="1"/>
  <c r="D912" i="3"/>
  <c r="G912" i="3" s="1"/>
  <c r="C977" i="3"/>
  <c r="F977" i="3" s="1"/>
  <c r="C945" i="3"/>
  <c r="F945" i="3" s="1"/>
  <c r="D913" i="3"/>
  <c r="G913" i="3" s="1"/>
  <c r="C881" i="3"/>
  <c r="F881" i="3" s="1"/>
  <c r="E840" i="3"/>
  <c r="H840" i="3" s="1"/>
  <c r="C805" i="3"/>
  <c r="F805" i="3" s="1"/>
  <c r="E764" i="3"/>
  <c r="H764" i="3" s="1"/>
  <c r="C729" i="3"/>
  <c r="F729" i="3" s="1"/>
  <c r="C693" i="3"/>
  <c r="F693" i="3" s="1"/>
  <c r="E644" i="3"/>
  <c r="H644" i="3" s="1"/>
  <c r="E988" i="3"/>
  <c r="H988" i="3" s="1"/>
  <c r="E935" i="3"/>
  <c r="H935" i="3" s="1"/>
  <c r="D881" i="3"/>
  <c r="G881" i="3" s="1"/>
  <c r="E847" i="3"/>
  <c r="H847" i="3" s="1"/>
  <c r="C816" i="3"/>
  <c r="F816" i="3" s="1"/>
  <c r="C780" i="3"/>
  <c r="F780" i="3" s="1"/>
  <c r="E743" i="3"/>
  <c r="H743" i="3" s="1"/>
  <c r="E703" i="3"/>
  <c r="H703" i="3" s="1"/>
  <c r="D667" i="3"/>
  <c r="G667" i="3" s="1"/>
  <c r="D627" i="3"/>
  <c r="G627" i="3" s="1"/>
  <c r="E989" i="3"/>
  <c r="H989" i="3" s="1"/>
  <c r="D939" i="3"/>
  <c r="G939" i="3" s="1"/>
  <c r="D885" i="3"/>
  <c r="G885" i="3" s="1"/>
  <c r="E861" i="3"/>
  <c r="H861" i="3" s="1"/>
  <c r="C834" i="3"/>
  <c r="F834" i="3" s="1"/>
  <c r="E810" i="3"/>
  <c r="H810" i="3" s="1"/>
  <c r="C782" i="3"/>
  <c r="F782" i="3" s="1"/>
  <c r="D758" i="3"/>
  <c r="G758" i="3" s="1"/>
  <c r="D726" i="3"/>
  <c r="G726" i="3" s="1"/>
  <c r="E697" i="3"/>
  <c r="H697" i="3" s="1"/>
  <c r="D666" i="3"/>
  <c r="G666" i="3" s="1"/>
  <c r="D634" i="3"/>
  <c r="G634" i="3" s="1"/>
  <c r="D602" i="3"/>
  <c r="G602" i="3" s="1"/>
  <c r="E526" i="3"/>
  <c r="H526" i="3" s="1"/>
  <c r="E422" i="3"/>
  <c r="H422" i="3" s="1"/>
  <c r="D520" i="3"/>
  <c r="G520" i="3" s="1"/>
  <c r="E427" i="3"/>
  <c r="H427" i="3" s="1"/>
  <c r="D529" i="3"/>
  <c r="G529" i="3" s="1"/>
  <c r="D441" i="3"/>
  <c r="G441" i="3" s="1"/>
  <c r="E303" i="3"/>
  <c r="H303" i="3" s="1"/>
  <c r="E564" i="3"/>
  <c r="H564" i="3" s="1"/>
  <c r="D362" i="3"/>
  <c r="G362" i="3" s="1"/>
  <c r="D174" i="3"/>
  <c r="G174" i="3" s="1"/>
  <c r="C414" i="3"/>
  <c r="F414" i="3" s="1"/>
  <c r="D775" i="3"/>
  <c r="G775" i="3" s="1"/>
  <c r="D741" i="3"/>
  <c r="G741" i="3" s="1"/>
  <c r="D701" i="3"/>
  <c r="G701" i="3" s="1"/>
  <c r="E667" i="3"/>
  <c r="H667" i="3" s="1"/>
  <c r="D623" i="3"/>
  <c r="G623" i="3" s="1"/>
  <c r="E984" i="3"/>
  <c r="H984" i="3" s="1"/>
  <c r="E936" i="3"/>
  <c r="H936" i="3" s="1"/>
  <c r="E885" i="3"/>
  <c r="H885" i="3" s="1"/>
  <c r="C858" i="3"/>
  <c r="F858" i="3" s="1"/>
  <c r="D834" i="3"/>
  <c r="G834" i="3" s="1"/>
  <c r="D808" i="3"/>
  <c r="G808" i="3" s="1"/>
  <c r="D782" i="3"/>
  <c r="G782" i="3" s="1"/>
  <c r="C759" i="3"/>
  <c r="F759" i="3" s="1"/>
  <c r="E726" i="3"/>
  <c r="H726" i="3" s="1"/>
  <c r="D694" i="3"/>
  <c r="G694" i="3" s="1"/>
  <c r="E666" i="3"/>
  <c r="H666" i="3" s="1"/>
  <c r="C630" i="3"/>
  <c r="F630" i="3" s="1"/>
  <c r="E602" i="3"/>
  <c r="H602" i="3" s="1"/>
  <c r="C523" i="3"/>
  <c r="F523" i="3" s="1"/>
  <c r="E418" i="3"/>
  <c r="H418" i="3" s="1"/>
  <c r="D518" i="3"/>
  <c r="G518" i="3" s="1"/>
  <c r="C424" i="3"/>
  <c r="F424" i="3" s="1"/>
  <c r="E529" i="3"/>
  <c r="H529" i="3" s="1"/>
  <c r="D417" i="3"/>
  <c r="G417" i="3" s="1"/>
  <c r="C300" i="3"/>
  <c r="F300" i="3" s="1"/>
  <c r="D562" i="3"/>
  <c r="G562" i="3" s="1"/>
  <c r="D358" i="3"/>
  <c r="G358" i="3" s="1"/>
  <c r="D172" i="3"/>
  <c r="G172" i="3" s="1"/>
  <c r="D379" i="3"/>
  <c r="G379" i="3" s="1"/>
  <c r="C284" i="3"/>
  <c r="F284" i="3" s="1"/>
  <c r="D530" i="3"/>
  <c r="G530" i="3" s="1"/>
  <c r="D340" i="3"/>
  <c r="G340" i="3" s="1"/>
  <c r="E166" i="3"/>
  <c r="H166" i="3" s="1"/>
  <c r="C357" i="3"/>
  <c r="F357" i="3" s="1"/>
  <c r="E1124" i="3"/>
  <c r="H1124" i="3" s="1"/>
  <c r="C1089" i="3"/>
  <c r="F1089" i="3" s="1"/>
  <c r="E1048" i="3"/>
  <c r="H1048" i="3" s="1"/>
  <c r="C1013" i="3"/>
  <c r="F1013" i="3" s="1"/>
  <c r="C1314" i="3"/>
  <c r="F1314" i="3" s="1"/>
  <c r="D1267" i="3"/>
  <c r="G1267" i="3" s="1"/>
  <c r="D1235" i="3"/>
  <c r="G1235" i="3" s="1"/>
  <c r="D1203" i="3"/>
  <c r="G1203" i="3" s="1"/>
  <c r="D1171" i="3"/>
  <c r="G1171" i="3" s="1"/>
  <c r="D1139" i="3"/>
  <c r="G1139" i="3" s="1"/>
  <c r="E1119" i="3"/>
  <c r="H1119" i="3" s="1"/>
  <c r="E1099" i="3"/>
  <c r="H1099" i="3" s="1"/>
  <c r="C1080" i="3"/>
  <c r="F1080" i="3" s="1"/>
  <c r="C1060" i="3"/>
  <c r="F1060" i="3" s="1"/>
  <c r="C1040" i="3"/>
  <c r="F1040" i="3" s="1"/>
  <c r="D1017" i="3"/>
  <c r="G1017" i="3" s="1"/>
  <c r="D997" i="3"/>
  <c r="G997" i="3" s="1"/>
  <c r="C1326" i="3"/>
  <c r="F1326" i="3" s="1"/>
  <c r="D1281" i="3"/>
  <c r="G1281" i="3" s="1"/>
  <c r="C1258" i="3"/>
  <c r="F1258" i="3" s="1"/>
  <c r="E1228" i="3"/>
  <c r="H1228" i="3" s="1"/>
  <c r="D1201" i="3"/>
  <c r="G1201" i="3" s="1"/>
  <c r="C1178" i="3"/>
  <c r="F1178" i="3" s="1"/>
  <c r="E1148" i="3"/>
  <c r="H1148" i="3" s="1"/>
  <c r="E1130" i="3"/>
  <c r="H1130" i="3" s="1"/>
  <c r="E1117" i="3"/>
  <c r="H1117" i="3" s="1"/>
  <c r="C1102" i="3"/>
  <c r="F1102" i="3" s="1"/>
  <c r="E1090" i="3"/>
  <c r="H1090" i="3" s="1"/>
  <c r="D1076" i="3"/>
  <c r="G1076" i="3" s="1"/>
  <c r="D1062" i="3"/>
  <c r="G1062" i="3" s="1"/>
  <c r="E1049" i="3"/>
  <c r="H1049" i="3" s="1"/>
  <c r="C1034" i="3"/>
  <c r="F1034" i="3" s="1"/>
  <c r="E1021" i="3"/>
  <c r="H1021" i="3" s="1"/>
  <c r="C1006" i="3"/>
  <c r="F1006" i="3" s="1"/>
  <c r="C991" i="3"/>
  <c r="F991" i="3" s="1"/>
  <c r="E950" i="3"/>
  <c r="H950" i="3" s="1"/>
  <c r="E910" i="3"/>
  <c r="H910" i="3" s="1"/>
  <c r="D984" i="3"/>
  <c r="G984" i="3" s="1"/>
  <c r="D944" i="3"/>
  <c r="G944" i="3" s="1"/>
  <c r="D904" i="3"/>
  <c r="G904" i="3" s="1"/>
  <c r="D975" i="3"/>
  <c r="G975" i="3" s="1"/>
  <c r="D943" i="3"/>
  <c r="G943" i="3" s="1"/>
  <c r="C905" i="3"/>
  <c r="F905" i="3" s="1"/>
  <c r="C873" i="3"/>
  <c r="F873" i="3" s="1"/>
  <c r="E832" i="3"/>
  <c r="H832" i="3" s="1"/>
  <c r="C797" i="3"/>
  <c r="F797" i="3" s="1"/>
  <c r="E756" i="3"/>
  <c r="H756" i="3" s="1"/>
  <c r="E720" i="3"/>
  <c r="H720" i="3" s="1"/>
  <c r="C685" i="3"/>
  <c r="F685" i="3" s="1"/>
  <c r="C637" i="3"/>
  <c r="F637" i="3" s="1"/>
  <c r="E980" i="3"/>
  <c r="H980" i="3" s="1"/>
  <c r="E924" i="3"/>
  <c r="H924" i="3" s="1"/>
  <c r="D875" i="3"/>
  <c r="G875" i="3" s="1"/>
  <c r="D841" i="3"/>
  <c r="G841" i="3" s="1"/>
  <c r="E807" i="3"/>
  <c r="H807" i="3" s="1"/>
  <c r="E771" i="3"/>
  <c r="H771" i="3" s="1"/>
  <c r="D737" i="3"/>
  <c r="G737" i="3" s="1"/>
  <c r="D695" i="3"/>
  <c r="G695" i="3" s="1"/>
  <c r="E659" i="3"/>
  <c r="H659" i="3" s="1"/>
  <c r="E619" i="3"/>
  <c r="H619" i="3" s="1"/>
  <c r="D979" i="3"/>
  <c r="G979" i="3" s="1"/>
  <c r="D925" i="3"/>
  <c r="G925" i="3" s="1"/>
  <c r="D882" i="3"/>
  <c r="G882" i="3" s="1"/>
  <c r="D856" i="3"/>
  <c r="G856" i="3" s="1"/>
  <c r="E830" i="3"/>
  <c r="H830" i="3" s="1"/>
  <c r="D804" i="3"/>
  <c r="G804" i="3" s="1"/>
  <c r="E778" i="3"/>
  <c r="H778" i="3" s="1"/>
  <c r="E754" i="3"/>
  <c r="H754" i="3" s="1"/>
  <c r="C723" i="3"/>
  <c r="F723" i="3" s="1"/>
  <c r="C690" i="3"/>
  <c r="F690" i="3" s="1"/>
  <c r="E658" i="3"/>
  <c r="H658" i="3" s="1"/>
  <c r="E629" i="3"/>
  <c r="H629" i="3" s="1"/>
  <c r="C595" i="3"/>
  <c r="F595" i="3" s="1"/>
  <c r="C511" i="3"/>
  <c r="F511" i="3" s="1"/>
  <c r="D592" i="3"/>
  <c r="G592" i="3" s="1"/>
  <c r="D504" i="3"/>
  <c r="G504" i="3" s="1"/>
  <c r="C593" i="3"/>
  <c r="F593" i="3" s="1"/>
  <c r="C505" i="3"/>
  <c r="F505" i="3" s="1"/>
  <c r="E411" i="3"/>
  <c r="H411" i="3" s="1"/>
  <c r="C276" i="3"/>
  <c r="F276" i="3" s="1"/>
  <c r="C508" i="3"/>
  <c r="F508" i="3" s="1"/>
  <c r="E318" i="3"/>
  <c r="H318" i="3" s="1"/>
  <c r="E158" i="3"/>
  <c r="H158" i="3" s="1"/>
  <c r="D355" i="3"/>
  <c r="G355" i="3" s="1"/>
  <c r="C1117" i="3"/>
  <c r="F1117" i="3" s="1"/>
  <c r="E1076" i="3"/>
  <c r="H1076" i="3" s="1"/>
  <c r="C1041" i="3"/>
  <c r="F1041" i="3" s="1"/>
  <c r="C1005" i="3"/>
  <c r="F1005" i="3" s="1"/>
  <c r="E1297" i="3"/>
  <c r="H1297" i="3" s="1"/>
  <c r="D1259" i="3"/>
  <c r="G1259" i="3" s="1"/>
  <c r="D1227" i="3"/>
  <c r="G1227" i="3" s="1"/>
  <c r="D1195" i="3"/>
  <c r="G1195" i="3" s="1"/>
  <c r="D1163" i="3"/>
  <c r="G1163" i="3" s="1"/>
  <c r="C1136" i="3"/>
  <c r="F1136" i="3" s="1"/>
  <c r="C1116" i="3"/>
  <c r="F1116" i="3" s="1"/>
  <c r="C1096" i="3"/>
  <c r="F1096" i="3" s="1"/>
  <c r="D1073" i="3"/>
  <c r="G1073" i="3" s="1"/>
  <c r="D1053" i="3"/>
  <c r="G1053" i="3" s="1"/>
  <c r="D1033" i="3"/>
  <c r="G1033" i="3" s="1"/>
  <c r="D1011" i="3"/>
  <c r="G1011" i="3" s="1"/>
  <c r="E1309" i="3"/>
  <c r="H1309" i="3" s="1"/>
  <c r="C1273" i="3"/>
  <c r="F1273" i="3" s="1"/>
  <c r="E1249" i="3"/>
  <c r="H1249" i="3" s="1"/>
  <c r="D1223" i="3"/>
  <c r="G1223" i="3" s="1"/>
  <c r="C1193" i="3"/>
  <c r="F1193" i="3" s="1"/>
  <c r="E1169" i="3"/>
  <c r="H1169" i="3" s="1"/>
  <c r="D1143" i="3"/>
  <c r="G1143" i="3" s="1"/>
  <c r="D1126" i="3"/>
  <c r="G1126" i="3" s="1"/>
  <c r="C1115" i="3"/>
  <c r="F1115" i="3" s="1"/>
  <c r="D1100" i="3"/>
  <c r="G1100" i="3" s="1"/>
  <c r="D1086" i="3"/>
  <c r="G1086" i="3" s="1"/>
  <c r="E1073" i="3"/>
  <c r="H1073" i="3" s="1"/>
  <c r="C1058" i="3"/>
  <c r="F1058" i="3" s="1"/>
  <c r="C1047" i="3"/>
  <c r="F1047" i="3" s="1"/>
  <c r="D1032" i="3"/>
  <c r="G1032" i="3" s="1"/>
  <c r="C1019" i="3"/>
  <c r="F1019" i="3" s="1"/>
  <c r="D1004" i="3"/>
  <c r="G1004" i="3" s="1"/>
  <c r="E978" i="3"/>
  <c r="H978" i="3" s="1"/>
  <c r="C943" i="3"/>
  <c r="F943" i="3" s="1"/>
  <c r="C903" i="3"/>
  <c r="F903" i="3" s="1"/>
  <c r="E971" i="3"/>
  <c r="H971" i="3" s="1"/>
  <c r="D894" i="3"/>
  <c r="G894" i="3" s="1"/>
  <c r="D967" i="3"/>
  <c r="G967" i="3" s="1"/>
  <c r="C929" i="3"/>
  <c r="F929" i="3" s="1"/>
  <c r="D897" i="3"/>
  <c r="G897" i="3" s="1"/>
  <c r="C865" i="3"/>
  <c r="F865" i="3" s="1"/>
  <c r="C825" i="3"/>
  <c r="F825" i="3" s="1"/>
  <c r="E748" i="3"/>
  <c r="H748" i="3" s="1"/>
  <c r="C713" i="3"/>
  <c r="F713" i="3" s="1"/>
  <c r="E672" i="3"/>
  <c r="H672" i="3" s="1"/>
  <c r="E967" i="3"/>
  <c r="H967" i="3" s="1"/>
  <c r="C908" i="3"/>
  <c r="F908" i="3" s="1"/>
  <c r="E867" i="3"/>
  <c r="H867" i="3" s="1"/>
  <c r="C836" i="3"/>
  <c r="F836" i="3" s="1"/>
  <c r="E799" i="3"/>
  <c r="H799" i="3" s="1"/>
  <c r="D761" i="3"/>
  <c r="G761" i="3" s="1"/>
  <c r="C728" i="3"/>
  <c r="F728" i="3" s="1"/>
  <c r="E687" i="3"/>
  <c r="H687" i="3" s="1"/>
  <c r="E651" i="3"/>
  <c r="H651" i="3" s="1"/>
  <c r="E611" i="3"/>
  <c r="H611" i="3" s="1"/>
  <c r="E965" i="3"/>
  <c r="H965" i="3" s="1"/>
  <c r="D915" i="3"/>
  <c r="G915" i="3" s="1"/>
  <c r="C874" i="3"/>
  <c r="F874" i="3" s="1"/>
  <c r="E850" i="3"/>
  <c r="H850" i="3" s="1"/>
  <c r="D824" i="3"/>
  <c r="G824" i="3" s="1"/>
  <c r="E798" i="3"/>
  <c r="H798" i="3" s="1"/>
  <c r="D772" i="3"/>
  <c r="G772" i="3" s="1"/>
  <c r="C747" i="3"/>
  <c r="F747" i="3" s="1"/>
  <c r="C715" i="3"/>
  <c r="F715" i="3" s="1"/>
  <c r="D682" i="3"/>
  <c r="G682" i="3" s="1"/>
  <c r="D652" i="3"/>
  <c r="G652" i="3" s="1"/>
  <c r="E621" i="3"/>
  <c r="H621" i="3" s="1"/>
  <c r="E570" i="3"/>
  <c r="H570" i="3" s="1"/>
  <c r="C483" i="3"/>
  <c r="F483" i="3" s="1"/>
  <c r="D566" i="3"/>
  <c r="G566" i="3" s="1"/>
  <c r="D478" i="3"/>
  <c r="G478" i="3" s="1"/>
  <c r="C578" i="3"/>
  <c r="F578" i="3" s="1"/>
  <c r="C481" i="3"/>
  <c r="F481" i="3" s="1"/>
  <c r="E379" i="3"/>
  <c r="H379" i="3" s="1"/>
  <c r="C240" i="3"/>
  <c r="F240" i="3" s="1"/>
  <c r="D442" i="3"/>
  <c r="G442" i="3" s="1"/>
  <c r="E286" i="3"/>
  <c r="H286" i="3" s="1"/>
  <c r="E110" i="3"/>
  <c r="H110" i="3" s="1"/>
  <c r="E257" i="3"/>
  <c r="H257" i="3" s="1"/>
  <c r="D963" i="3"/>
  <c r="G963" i="3" s="1"/>
  <c r="D909" i="3"/>
  <c r="G909" i="3" s="1"/>
  <c r="E873" i="3"/>
  <c r="H873" i="3" s="1"/>
  <c r="C846" i="3"/>
  <c r="F846" i="3" s="1"/>
  <c r="C823" i="3"/>
  <c r="F823" i="3" s="1"/>
  <c r="C794" i="3"/>
  <c r="F794" i="3" s="1"/>
  <c r="E770" i="3"/>
  <c r="H770" i="3" s="1"/>
  <c r="E742" i="3"/>
  <c r="H742" i="3" s="1"/>
  <c r="D710" i="3"/>
  <c r="G710" i="3" s="1"/>
  <c r="D680" i="3"/>
  <c r="G680" i="3" s="1"/>
  <c r="C651" i="3"/>
  <c r="F651" i="3" s="1"/>
  <c r="D616" i="3"/>
  <c r="G616" i="3" s="1"/>
  <c r="E566" i="3"/>
  <c r="H566" i="3" s="1"/>
  <c r="E474" i="3"/>
  <c r="H474" i="3" s="1"/>
  <c r="D560" i="3"/>
  <c r="G560" i="3" s="1"/>
  <c r="C464" i="3"/>
  <c r="F464" i="3" s="1"/>
  <c r="C561" i="3"/>
  <c r="F561" i="3" s="1"/>
  <c r="C482" i="3"/>
  <c r="F482" i="3" s="1"/>
  <c r="E359" i="3"/>
  <c r="H359" i="3" s="1"/>
  <c r="E211" i="3"/>
  <c r="H211" i="3" s="1"/>
  <c r="C415" i="3"/>
  <c r="F415" i="3" s="1"/>
  <c r="D264" i="3"/>
  <c r="G264" i="3" s="1"/>
  <c r="D112" i="3"/>
  <c r="G112" i="3" s="1"/>
  <c r="C1476" i="3"/>
  <c r="F1476" i="3" s="1"/>
  <c r="E32" i="3"/>
  <c r="H32" i="3" s="1"/>
  <c r="E113" i="3"/>
  <c r="H113" i="3" s="1"/>
  <c r="C237" i="3"/>
  <c r="F237" i="3" s="1"/>
  <c r="E340" i="3"/>
  <c r="H340" i="3" s="1"/>
  <c r="D397" i="3"/>
  <c r="G397" i="3" s="1"/>
  <c r="C510" i="3"/>
  <c r="F510" i="3" s="1"/>
  <c r="D26" i="3"/>
  <c r="G26" i="3" s="1"/>
  <c r="D78" i="3"/>
  <c r="G78" i="3" s="1"/>
  <c r="C159" i="3"/>
  <c r="F159" i="3" s="1"/>
  <c r="C199" i="3"/>
  <c r="F199" i="3" s="1"/>
  <c r="C239" i="3"/>
  <c r="F239" i="3" s="1"/>
  <c r="C279" i="3"/>
  <c r="F279" i="3" s="1"/>
  <c r="C319" i="3"/>
  <c r="F319" i="3" s="1"/>
  <c r="E354" i="3"/>
  <c r="H354" i="3" s="1"/>
  <c r="E390" i="3"/>
  <c r="H390" i="3" s="1"/>
  <c r="D434" i="3"/>
  <c r="G434" i="3" s="1"/>
  <c r="E487" i="3"/>
  <c r="H487" i="3" s="1"/>
  <c r="C540" i="3"/>
  <c r="F540" i="3" s="1"/>
  <c r="C96" i="3"/>
  <c r="F96" i="3" s="1"/>
  <c r="E195" i="3"/>
  <c r="H195" i="3" s="1"/>
  <c r="C256" i="3"/>
  <c r="F256" i="3" s="1"/>
  <c r="E295" i="3"/>
  <c r="H295" i="3" s="1"/>
  <c r="C336" i="3"/>
  <c r="F336" i="3" s="1"/>
  <c r="E371" i="3"/>
  <c r="H371" i="3" s="1"/>
  <c r="C412" i="3"/>
  <c r="F412" i="3" s="1"/>
  <c r="E441" i="3"/>
  <c r="H441" i="3" s="1"/>
  <c r="E473" i="3"/>
  <c r="H473" i="3" s="1"/>
  <c r="D505" i="3"/>
  <c r="G505" i="3" s="1"/>
  <c r="D543" i="3"/>
  <c r="G543" i="3" s="1"/>
  <c r="D575" i="3"/>
  <c r="G575" i="3" s="1"/>
  <c r="D494" i="3"/>
  <c r="G494" i="3" s="1"/>
  <c r="D534" i="3"/>
  <c r="G534" i="3" s="1"/>
  <c r="D574" i="3"/>
  <c r="G574" i="3" s="1"/>
  <c r="E430" i="3"/>
  <c r="H430" i="3" s="1"/>
  <c r="C467" i="3"/>
  <c r="F467" i="3" s="1"/>
  <c r="E502" i="3"/>
  <c r="H502" i="3" s="1"/>
  <c r="E542" i="3"/>
  <c r="H542" i="3" s="1"/>
  <c r="E582" i="3"/>
  <c r="H582" i="3" s="1"/>
  <c r="D606" i="3"/>
  <c r="G606" i="3" s="1"/>
  <c r="D620" i="3"/>
  <c r="G620" i="3" s="1"/>
  <c r="E634" i="3"/>
  <c r="H634" i="3" s="1"/>
  <c r="D648" i="3"/>
  <c r="G648" i="3" s="1"/>
  <c r="E662" i="3"/>
  <c r="H662" i="3" s="1"/>
  <c r="E677" i="3"/>
  <c r="H677" i="3" s="1"/>
  <c r="D690" i="3"/>
  <c r="G690" i="3" s="1"/>
  <c r="E705" i="3"/>
  <c r="H705" i="3" s="1"/>
  <c r="E718" i="3"/>
  <c r="H718" i="3" s="1"/>
  <c r="D732" i="3"/>
  <c r="G732" i="3" s="1"/>
  <c r="D748" i="3"/>
  <c r="G748" i="3" s="1"/>
  <c r="C763" i="3"/>
  <c r="F763" i="3" s="1"/>
  <c r="D774" i="3"/>
  <c r="G774" i="3" s="1"/>
  <c r="D788" i="3"/>
  <c r="G788" i="3" s="1"/>
  <c r="C802" i="3"/>
  <c r="F802" i="3" s="1"/>
  <c r="E818" i="3"/>
  <c r="H818" i="3" s="1"/>
  <c r="D832" i="3"/>
  <c r="G832" i="3" s="1"/>
  <c r="D846" i="3"/>
  <c r="G846" i="3" s="1"/>
  <c r="D860" i="3"/>
  <c r="G860" i="3" s="1"/>
  <c r="D874" i="3"/>
  <c r="G874" i="3" s="1"/>
  <c r="D891" i="3"/>
  <c r="G891" i="3" s="1"/>
  <c r="D917" i="3"/>
  <c r="G917" i="3" s="1"/>
  <c r="D947" i="3"/>
  <c r="G947" i="3" s="1"/>
  <c r="E973" i="3"/>
  <c r="H973" i="3" s="1"/>
  <c r="C620" i="3"/>
  <c r="F620" i="3" s="1"/>
  <c r="D641" i="3"/>
  <c r="G641" i="3" s="1"/>
  <c r="C664" i="3"/>
  <c r="F664" i="3" s="1"/>
  <c r="C684" i="3"/>
  <c r="F684" i="3" s="1"/>
  <c r="C704" i="3"/>
  <c r="F704" i="3" s="1"/>
  <c r="D725" i="3"/>
  <c r="G725" i="3" s="1"/>
  <c r="D743" i="3"/>
  <c r="G743" i="3" s="1"/>
  <c r="C764" i="3"/>
  <c r="F764" i="3" s="1"/>
  <c r="C784" i="3"/>
  <c r="F784" i="3" s="1"/>
  <c r="E803" i="3"/>
  <c r="H803" i="3" s="1"/>
  <c r="C824" i="3"/>
  <c r="F824" i="3" s="1"/>
  <c r="C844" i="3"/>
  <c r="F844" i="3" s="1"/>
  <c r="E863" i="3"/>
  <c r="H863" i="3" s="1"/>
  <c r="C884" i="3"/>
  <c r="F884" i="3" s="1"/>
  <c r="E916" i="3"/>
  <c r="H916" i="3" s="1"/>
  <c r="E948" i="3"/>
  <c r="H948" i="3" s="1"/>
  <c r="C44" i="3"/>
  <c r="F44" i="3" s="1"/>
  <c r="E121" i="3"/>
  <c r="H121" i="3" s="1"/>
  <c r="E241" i="3"/>
  <c r="H241" i="3" s="1"/>
  <c r="C341" i="3"/>
  <c r="F341" i="3" s="1"/>
  <c r="C402" i="3"/>
  <c r="F402" i="3" s="1"/>
  <c r="E512" i="3"/>
  <c r="H512" i="3" s="1"/>
  <c r="C48" i="3"/>
  <c r="F48" i="3" s="1"/>
  <c r="C91" i="3"/>
  <c r="F91" i="3" s="1"/>
  <c r="D58" i="3"/>
  <c r="G58" i="3" s="1"/>
  <c r="E132" i="3"/>
  <c r="H132" i="3" s="1"/>
  <c r="E244" i="3"/>
  <c r="H244" i="3" s="1"/>
  <c r="C346" i="3"/>
  <c r="F346" i="3" s="1"/>
  <c r="D405" i="3"/>
  <c r="G405" i="3" s="1"/>
  <c r="C517" i="3"/>
  <c r="F517" i="3" s="1"/>
  <c r="D56" i="3"/>
  <c r="G56" i="3" s="1"/>
  <c r="D96" i="3"/>
  <c r="G96" i="3" s="1"/>
  <c r="D160" i="3"/>
  <c r="G160" i="3" s="1"/>
  <c r="D200" i="3"/>
  <c r="G200" i="3" s="1"/>
  <c r="D240" i="3"/>
  <c r="G240" i="3" s="1"/>
  <c r="D280" i="3"/>
  <c r="G280" i="3" s="1"/>
  <c r="D320" i="3"/>
  <c r="G320" i="3" s="1"/>
  <c r="C359" i="3"/>
  <c r="F359" i="3" s="1"/>
  <c r="D392" i="3"/>
  <c r="G392" i="3" s="1"/>
  <c r="D436" i="3"/>
  <c r="G436" i="3" s="1"/>
  <c r="D498" i="3"/>
  <c r="G498" i="3" s="1"/>
  <c r="E551" i="3"/>
  <c r="H551" i="3" s="1"/>
  <c r="E135" i="3"/>
  <c r="H135" i="3" s="1"/>
  <c r="E203" i="3"/>
  <c r="H203" i="3" s="1"/>
  <c r="E299" i="3"/>
  <c r="H299" i="3" s="1"/>
  <c r="C340" i="3"/>
  <c r="F340" i="3" s="1"/>
  <c r="E375" i="3"/>
  <c r="H375" i="3" s="1"/>
  <c r="C416" i="3"/>
  <c r="F416" i="3" s="1"/>
  <c r="C441" i="3"/>
  <c r="F441" i="3" s="1"/>
  <c r="C473" i="3"/>
  <c r="F473" i="3" s="1"/>
  <c r="D511" i="3"/>
  <c r="G511" i="3" s="1"/>
  <c r="E545" i="3"/>
  <c r="H545" i="3" s="1"/>
  <c r="E577" i="3"/>
  <c r="H577" i="3" s="1"/>
  <c r="E419" i="3"/>
  <c r="H419" i="3" s="1"/>
  <c r="C456" i="3"/>
  <c r="F456" i="3" s="1"/>
  <c r="C496" i="3"/>
  <c r="F496" i="3" s="1"/>
  <c r="C536" i="3"/>
  <c r="F536" i="3" s="1"/>
  <c r="C576" i="3"/>
  <c r="F576" i="3" s="1"/>
  <c r="C435" i="3"/>
  <c r="F435" i="3" s="1"/>
  <c r="C471" i="3"/>
  <c r="F471" i="3" s="1"/>
  <c r="C507" i="3"/>
  <c r="F507" i="3" s="1"/>
  <c r="E546" i="3"/>
  <c r="H546" i="3" s="1"/>
  <c r="C587" i="3"/>
  <c r="F587" i="3" s="1"/>
  <c r="D608" i="3"/>
  <c r="G608" i="3" s="1"/>
  <c r="C623" i="3"/>
  <c r="F623" i="3" s="1"/>
  <c r="C634" i="3"/>
  <c r="F634" i="3" s="1"/>
  <c r="E650" i="3"/>
  <c r="H650" i="3" s="1"/>
  <c r="E665" i="3"/>
  <c r="H665" i="3" s="1"/>
  <c r="E678" i="3"/>
  <c r="H678" i="3" s="1"/>
  <c r="D692" i="3"/>
  <c r="G692" i="3" s="1"/>
  <c r="E706" i="3"/>
  <c r="H706" i="3" s="1"/>
  <c r="C718" i="3"/>
  <c r="F718" i="3" s="1"/>
  <c r="E734" i="3"/>
  <c r="H734" i="3" s="1"/>
  <c r="C751" i="3"/>
  <c r="F751" i="3" s="1"/>
  <c r="D762" i="3"/>
  <c r="G762" i="3" s="1"/>
  <c r="D776" i="3"/>
  <c r="G776" i="3" s="1"/>
  <c r="E790" i="3"/>
  <c r="H790" i="3" s="1"/>
  <c r="E805" i="3"/>
  <c r="H805" i="3" s="1"/>
  <c r="C818" i="3"/>
  <c r="F818" i="3" s="1"/>
  <c r="C835" i="3"/>
  <c r="F835" i="3" s="1"/>
  <c r="D848" i="3"/>
  <c r="G848" i="3" s="1"/>
  <c r="C863" i="3"/>
  <c r="F863" i="3" s="1"/>
  <c r="D876" i="3"/>
  <c r="G876" i="3" s="1"/>
  <c r="E893" i="3"/>
  <c r="H893" i="3" s="1"/>
  <c r="E920" i="3"/>
  <c r="H920" i="3" s="1"/>
  <c r="E949" i="3"/>
  <c r="H949" i="3" s="1"/>
  <c r="C973" i="3"/>
  <c r="F973" i="3" s="1"/>
  <c r="C600" i="3"/>
  <c r="F600" i="3" s="1"/>
  <c r="D619" i="3"/>
  <c r="G619" i="3" s="1"/>
  <c r="D643" i="3"/>
  <c r="G643" i="3" s="1"/>
  <c r="D665" i="3"/>
  <c r="G665" i="3" s="1"/>
  <c r="D683" i="3"/>
  <c r="G683" i="3" s="1"/>
  <c r="D705" i="3"/>
  <c r="G705" i="3" s="1"/>
  <c r="E727" i="3"/>
  <c r="H727" i="3" s="1"/>
  <c r="D745" i="3"/>
  <c r="G745" i="3" s="1"/>
  <c r="D763" i="3"/>
  <c r="G763" i="3" s="1"/>
  <c r="D783" i="3"/>
  <c r="G783" i="3" s="1"/>
  <c r="E75" i="3"/>
  <c r="H75" i="3" s="1"/>
  <c r="C133" i="3"/>
  <c r="F133" i="3" s="1"/>
  <c r="E249" i="3"/>
  <c r="H249" i="3" s="1"/>
  <c r="D347" i="3"/>
  <c r="G347" i="3" s="1"/>
  <c r="E409" i="3"/>
  <c r="H409" i="3" s="1"/>
  <c r="D531" i="3"/>
  <c r="G531" i="3" s="1"/>
  <c r="E59" i="3"/>
  <c r="H59" i="3" s="1"/>
  <c r="C107" i="3"/>
  <c r="F107" i="3" s="1"/>
  <c r="D164" i="3"/>
  <c r="G164" i="3" s="1"/>
  <c r="D204" i="3"/>
  <c r="G204" i="3" s="1"/>
  <c r="D244" i="3"/>
  <c r="G244" i="3" s="1"/>
  <c r="D284" i="3"/>
  <c r="G284" i="3" s="1"/>
  <c r="D324" i="3"/>
  <c r="G324" i="3" s="1"/>
  <c r="E358" i="3"/>
  <c r="H358" i="3" s="1"/>
  <c r="E394" i="3"/>
  <c r="H394" i="3" s="1"/>
  <c r="C436" i="3"/>
  <c r="F436" i="3" s="1"/>
  <c r="E500" i="3"/>
  <c r="H500" i="3" s="1"/>
  <c r="D556" i="3"/>
  <c r="G556" i="3" s="1"/>
  <c r="C140" i="3"/>
  <c r="F140" i="3" s="1"/>
  <c r="C208" i="3"/>
  <c r="F208" i="3" s="1"/>
  <c r="C260" i="3"/>
  <c r="F260" i="3" s="1"/>
  <c r="C304" i="3"/>
  <c r="F304" i="3" s="1"/>
  <c r="E339" i="3"/>
  <c r="H339" i="3" s="1"/>
  <c r="C380" i="3"/>
  <c r="F380" i="3" s="1"/>
  <c r="E415" i="3"/>
  <c r="H415" i="3" s="1"/>
  <c r="D447" i="3"/>
  <c r="G447" i="3" s="1"/>
  <c r="D479" i="3"/>
  <c r="G479" i="3" s="1"/>
  <c r="C514" i="3"/>
  <c r="F514" i="3" s="1"/>
  <c r="D545" i="3"/>
  <c r="G545" i="3" s="1"/>
  <c r="D577" i="3"/>
  <c r="G577" i="3" s="1"/>
  <c r="D422" i="3"/>
  <c r="G422" i="3" s="1"/>
  <c r="E459" i="3"/>
  <c r="H459" i="3" s="1"/>
  <c r="E499" i="3"/>
  <c r="H499" i="3" s="1"/>
  <c r="E539" i="3"/>
  <c r="H539" i="3" s="1"/>
  <c r="E579" i="3"/>
  <c r="H579" i="3" s="1"/>
  <c r="E434" i="3"/>
  <c r="H434" i="3" s="1"/>
  <c r="E470" i="3"/>
  <c r="H470" i="3" s="1"/>
  <c r="E506" i="3"/>
  <c r="H506" i="3" s="1"/>
  <c r="C551" i="3"/>
  <c r="F551" i="3" s="1"/>
  <c r="E586" i="3"/>
  <c r="H586" i="3" s="1"/>
  <c r="E609" i="3"/>
  <c r="H609" i="3" s="1"/>
  <c r="E622" i="3"/>
  <c r="H622" i="3" s="1"/>
  <c r="D636" i="3"/>
  <c r="G636" i="3" s="1"/>
  <c r="D650" i="3"/>
  <c r="G650" i="3" s="1"/>
  <c r="C667" i="3"/>
  <c r="F667" i="3" s="1"/>
  <c r="D678" i="3"/>
  <c r="G678" i="3" s="1"/>
  <c r="E693" i="3"/>
  <c r="H693" i="3" s="1"/>
  <c r="D706" i="3"/>
  <c r="G706" i="3" s="1"/>
  <c r="D720" i="3"/>
  <c r="G720" i="3" s="1"/>
  <c r="D734" i="3"/>
  <c r="G734" i="3" s="1"/>
  <c r="E750" i="3"/>
  <c r="H750" i="3" s="1"/>
  <c r="C762" i="3"/>
  <c r="F762" i="3" s="1"/>
  <c r="E777" i="3"/>
  <c r="H777" i="3" s="1"/>
  <c r="D790" i="3"/>
  <c r="G790" i="3" s="1"/>
  <c r="C807" i="3"/>
  <c r="F807" i="3" s="1"/>
  <c r="D820" i="3"/>
  <c r="G820" i="3" s="1"/>
  <c r="E834" i="3"/>
  <c r="H834" i="3" s="1"/>
  <c r="E849" i="3"/>
  <c r="H849" i="3" s="1"/>
  <c r="E862" i="3"/>
  <c r="H862" i="3" s="1"/>
  <c r="E877" i="3"/>
  <c r="H877" i="3" s="1"/>
  <c r="D893" i="3"/>
  <c r="G893" i="3" s="1"/>
  <c r="D923" i="3"/>
  <c r="G923" i="3" s="1"/>
  <c r="D949" i="3"/>
  <c r="G949" i="3" s="1"/>
  <c r="E976" i="3"/>
  <c r="H976" i="3" s="1"/>
  <c r="D601" i="3"/>
  <c r="G601" i="3" s="1"/>
  <c r="D621" i="3"/>
  <c r="G621" i="3" s="1"/>
  <c r="D645" i="3"/>
  <c r="G645" i="3" s="1"/>
  <c r="C668" i="3"/>
  <c r="F668" i="3" s="1"/>
  <c r="D685" i="3"/>
  <c r="G685" i="3" s="1"/>
  <c r="C708" i="3"/>
  <c r="F708" i="3" s="1"/>
  <c r="D727" i="3"/>
  <c r="G727" i="3" s="1"/>
  <c r="C748" i="3"/>
  <c r="F748" i="3" s="1"/>
  <c r="D765" i="3"/>
  <c r="G765" i="3" s="1"/>
  <c r="D785" i="3"/>
  <c r="G785" i="3" s="1"/>
  <c r="C808" i="3"/>
  <c r="F808" i="3" s="1"/>
  <c r="D825" i="3"/>
  <c r="G825" i="3" s="1"/>
  <c r="D845" i="3"/>
  <c r="G845" i="3" s="1"/>
  <c r="C868" i="3"/>
  <c r="F868" i="3" s="1"/>
  <c r="E887" i="3"/>
  <c r="H887" i="3" s="1"/>
  <c r="E919" i="3"/>
  <c r="H919" i="3" s="1"/>
  <c r="E951" i="3"/>
  <c r="H951" i="3" s="1"/>
  <c r="D986" i="3"/>
  <c r="G986" i="3" s="1"/>
  <c r="C621" i="3"/>
  <c r="F621" i="3" s="1"/>
  <c r="C657" i="3"/>
  <c r="F657" i="3" s="1"/>
  <c r="D17" i="3"/>
  <c r="G17" i="3" s="1"/>
  <c r="C149" i="3"/>
  <c r="F149" i="3" s="1"/>
  <c r="E273" i="3"/>
  <c r="H273" i="3" s="1"/>
  <c r="E364" i="3"/>
  <c r="H364" i="3" s="1"/>
  <c r="D427" i="3"/>
  <c r="G427" i="3" s="1"/>
  <c r="E544" i="3"/>
  <c r="H544" i="3" s="1"/>
  <c r="D98" i="3"/>
  <c r="G98" i="3" s="1"/>
  <c r="E126" i="3"/>
  <c r="H126" i="3" s="1"/>
  <c r="C175" i="3"/>
  <c r="F175" i="3" s="1"/>
  <c r="C215" i="3"/>
  <c r="F215" i="3" s="1"/>
  <c r="C255" i="3"/>
  <c r="F255" i="3" s="1"/>
  <c r="C295" i="3"/>
  <c r="F295" i="3" s="1"/>
  <c r="C335" i="3"/>
  <c r="F335" i="3" s="1"/>
  <c r="D366" i="3"/>
  <c r="G366" i="3" s="1"/>
  <c r="E402" i="3"/>
  <c r="H402" i="3" s="1"/>
  <c r="C444" i="3"/>
  <c r="F444" i="3" s="1"/>
  <c r="E508" i="3"/>
  <c r="H508" i="3" s="1"/>
  <c r="C564" i="3"/>
  <c r="F564" i="3" s="1"/>
  <c r="C156" i="3"/>
  <c r="F156" i="3" s="1"/>
  <c r="C216" i="3"/>
  <c r="F216" i="3" s="1"/>
  <c r="C272" i="3"/>
  <c r="F272" i="3" s="1"/>
  <c r="C312" i="3"/>
  <c r="F312" i="3" s="1"/>
  <c r="E347" i="3"/>
  <c r="H347" i="3" s="1"/>
  <c r="E383" i="3"/>
  <c r="H383" i="3" s="1"/>
  <c r="C417" i="3"/>
  <c r="F417" i="3" s="1"/>
  <c r="C449" i="3"/>
  <c r="F449" i="3" s="1"/>
  <c r="D487" i="3"/>
  <c r="G487" i="3" s="1"/>
  <c r="C522" i="3"/>
  <c r="F522" i="3" s="1"/>
  <c r="E553" i="3"/>
  <c r="H553" i="3" s="1"/>
  <c r="E585" i="3"/>
  <c r="H585" i="3" s="1"/>
  <c r="D430" i="3"/>
  <c r="G430" i="3" s="1"/>
  <c r="E467" i="3"/>
  <c r="H467" i="3" s="1"/>
  <c r="E507" i="3"/>
  <c r="H507" i="3" s="1"/>
  <c r="E547" i="3"/>
  <c r="H547" i="3" s="1"/>
  <c r="E587" i="3"/>
  <c r="H587" i="3" s="1"/>
  <c r="C443" i="3"/>
  <c r="F443" i="3" s="1"/>
  <c r="E478" i="3"/>
  <c r="H478" i="3" s="1"/>
  <c r="C519" i="3"/>
  <c r="F519" i="3" s="1"/>
  <c r="C559" i="3"/>
  <c r="F559" i="3" s="1"/>
  <c r="E594" i="3"/>
  <c r="H594" i="3" s="1"/>
  <c r="C610" i="3"/>
  <c r="F610" i="3" s="1"/>
  <c r="C627" i="3"/>
  <c r="F627" i="3" s="1"/>
  <c r="D638" i="3"/>
  <c r="G638" i="3" s="1"/>
  <c r="C655" i="3"/>
  <c r="F655" i="3" s="1"/>
  <c r="D668" i="3"/>
  <c r="G668" i="3" s="1"/>
  <c r="C683" i="3"/>
  <c r="F683" i="3" s="1"/>
  <c r="C694" i="3"/>
  <c r="F694" i="3" s="1"/>
  <c r="C711" i="3"/>
  <c r="F711" i="3" s="1"/>
  <c r="D722" i="3"/>
  <c r="G722" i="3" s="1"/>
  <c r="C739" i="3"/>
  <c r="F739" i="3" s="1"/>
  <c r="E753" i="3"/>
  <c r="H753" i="3" s="1"/>
  <c r="E766" i="3"/>
  <c r="H766" i="3" s="1"/>
  <c r="C778" i="3"/>
  <c r="F778" i="3" s="1"/>
  <c r="E794" i="3"/>
  <c r="H794" i="3" s="1"/>
  <c r="E809" i="3"/>
  <c r="H809" i="3" s="1"/>
  <c r="D822" i="3"/>
  <c r="G822" i="3" s="1"/>
  <c r="C839" i="3"/>
  <c r="F839" i="3" s="1"/>
  <c r="C850" i="3"/>
  <c r="F850" i="3" s="1"/>
  <c r="C867" i="3"/>
  <c r="F867" i="3" s="1"/>
  <c r="C878" i="3"/>
  <c r="F878" i="3" s="1"/>
  <c r="C902" i="3"/>
  <c r="F902" i="3" s="1"/>
  <c r="C925" i="3"/>
  <c r="F925" i="3" s="1"/>
  <c r="C958" i="3"/>
  <c r="F958" i="3" s="1"/>
  <c r="D981" i="3"/>
  <c r="G981" i="3" s="1"/>
  <c r="D605" i="3"/>
  <c r="G605" i="3" s="1"/>
  <c r="D625" i="3"/>
  <c r="G625" i="3" s="1"/>
  <c r="D649" i="3"/>
  <c r="G649" i="3" s="1"/>
  <c r="C672" i="3"/>
  <c r="F672" i="3" s="1"/>
  <c r="D689" i="3"/>
  <c r="G689" i="3" s="1"/>
  <c r="C712" i="3"/>
  <c r="F712" i="3" s="1"/>
  <c r="E731" i="3"/>
  <c r="H731" i="3" s="1"/>
  <c r="C752" i="3"/>
  <c r="F752" i="3" s="1"/>
  <c r="D769" i="3"/>
  <c r="G769" i="3" s="1"/>
  <c r="D789" i="3"/>
  <c r="G789" i="3" s="1"/>
  <c r="D809" i="3"/>
  <c r="G809" i="3" s="1"/>
  <c r="D829" i="3"/>
  <c r="G829" i="3" s="1"/>
  <c r="D849" i="3"/>
  <c r="G849" i="3" s="1"/>
  <c r="C872" i="3"/>
  <c r="F872" i="3" s="1"/>
  <c r="C892" i="3"/>
  <c r="F892" i="3" s="1"/>
  <c r="C924" i="3"/>
  <c r="F924" i="3" s="1"/>
  <c r="C956" i="3"/>
  <c r="F956" i="3" s="1"/>
  <c r="E991" i="3"/>
  <c r="H991" i="3" s="1"/>
  <c r="E628" i="3"/>
  <c r="H628" i="3" s="1"/>
  <c r="D21" i="3"/>
  <c r="G21" i="3" s="1"/>
  <c r="E161" i="3"/>
  <c r="H161" i="3" s="1"/>
  <c r="E281" i="3"/>
  <c r="H281" i="3" s="1"/>
  <c r="D365" i="3"/>
  <c r="G365" i="3" s="1"/>
  <c r="C429" i="3"/>
  <c r="F429" i="3" s="1"/>
  <c r="D549" i="3"/>
  <c r="G549" i="3" s="1"/>
  <c r="E103" i="3"/>
  <c r="H103" i="3" s="1"/>
  <c r="E130" i="3"/>
  <c r="H130" i="3" s="1"/>
  <c r="E174" i="3"/>
  <c r="H174" i="3" s="1"/>
  <c r="E214" i="3"/>
  <c r="H214" i="3" s="1"/>
  <c r="E254" i="3"/>
  <c r="H254" i="3" s="1"/>
  <c r="E294" i="3"/>
  <c r="H294" i="3" s="1"/>
  <c r="E334" i="3"/>
  <c r="H334" i="3" s="1"/>
  <c r="E370" i="3"/>
  <c r="H370" i="3" s="1"/>
  <c r="C407" i="3"/>
  <c r="F407" i="3" s="1"/>
  <c r="D452" i="3"/>
  <c r="G452" i="3" s="1"/>
  <c r="D508" i="3"/>
  <c r="G508" i="3" s="1"/>
  <c r="D570" i="3"/>
  <c r="G570" i="3" s="1"/>
  <c r="C160" i="3"/>
  <c r="F160" i="3" s="1"/>
  <c r="E223" i="3"/>
  <c r="H223" i="3" s="1"/>
  <c r="E271" i="3"/>
  <c r="H271" i="3" s="1"/>
  <c r="E311" i="3"/>
  <c r="H311" i="3" s="1"/>
  <c r="C352" i="3"/>
  <c r="F352" i="3" s="1"/>
  <c r="C388" i="3"/>
  <c r="F388" i="3" s="1"/>
  <c r="D423" i="3"/>
  <c r="G423" i="3" s="1"/>
  <c r="D455" i="3"/>
  <c r="G455" i="3" s="1"/>
  <c r="C490" i="3"/>
  <c r="F490" i="3" s="1"/>
  <c r="E521" i="3"/>
  <c r="H521" i="3" s="1"/>
  <c r="D553" i="3"/>
  <c r="G553" i="3" s="1"/>
  <c r="D585" i="3"/>
  <c r="G585" i="3" s="1"/>
  <c r="D432" i="3"/>
  <c r="G432" i="3" s="1"/>
  <c r="D470" i="3"/>
  <c r="G470" i="3" s="1"/>
  <c r="D510" i="3"/>
  <c r="G510" i="3" s="1"/>
  <c r="D550" i="3"/>
  <c r="G550" i="3" s="1"/>
  <c r="D590" i="3"/>
  <c r="G590" i="3" s="1"/>
  <c r="E442" i="3"/>
  <c r="H442" i="3" s="1"/>
  <c r="E518" i="3"/>
  <c r="H518" i="3" s="1"/>
  <c r="E558" i="3"/>
  <c r="H558" i="3" s="1"/>
  <c r="C599" i="3"/>
  <c r="F599" i="3" s="1"/>
  <c r="D612" i="3"/>
  <c r="G612" i="3" s="1"/>
  <c r="E626" i="3"/>
  <c r="H626" i="3" s="1"/>
  <c r="C638" i="3"/>
  <c r="F638" i="3" s="1"/>
  <c r="E654" i="3"/>
  <c r="H654" i="3" s="1"/>
  <c r="E669" i="3"/>
  <c r="H669" i="3" s="1"/>
  <c r="E682" i="3"/>
  <c r="H682" i="3" s="1"/>
  <c r="D696" i="3"/>
  <c r="G696" i="3" s="1"/>
  <c r="E710" i="3"/>
  <c r="H710" i="3" s="1"/>
  <c r="C722" i="3"/>
  <c r="F722" i="3" s="1"/>
  <c r="D738" i="3"/>
  <c r="G738" i="3" s="1"/>
  <c r="C755" i="3"/>
  <c r="F755" i="3" s="1"/>
  <c r="D766" i="3"/>
  <c r="G766" i="3" s="1"/>
  <c r="D780" i="3"/>
  <c r="G780" i="3" s="1"/>
  <c r="D794" i="3"/>
  <c r="G794" i="3" s="1"/>
  <c r="C811" i="3"/>
  <c r="F811" i="3" s="1"/>
  <c r="C822" i="3"/>
  <c r="F822" i="3" s="1"/>
  <c r="E838" i="3"/>
  <c r="H838" i="3" s="1"/>
  <c r="D852" i="3"/>
  <c r="G852" i="3" s="1"/>
  <c r="E866" i="3"/>
  <c r="H866" i="3" s="1"/>
  <c r="D880" i="3"/>
  <c r="G880" i="3" s="1"/>
  <c r="E901" i="3"/>
  <c r="H901" i="3" s="1"/>
  <c r="E928" i="3"/>
  <c r="H928" i="3" s="1"/>
  <c r="E957" i="3"/>
  <c r="H957" i="3" s="1"/>
  <c r="C981" i="3"/>
  <c r="F981" i="3" s="1"/>
  <c r="C608" i="3"/>
  <c r="F608" i="3" s="1"/>
  <c r="C628" i="3"/>
  <c r="F628" i="3" s="1"/>
  <c r="C652" i="3"/>
  <c r="F652" i="3" s="1"/>
  <c r="E671" i="3"/>
  <c r="H671" i="3" s="1"/>
  <c r="C692" i="3"/>
  <c r="F692" i="3" s="1"/>
  <c r="E711" i="3"/>
  <c r="H711" i="3" s="1"/>
  <c r="D731" i="3"/>
  <c r="G731" i="3" s="1"/>
  <c r="E751" i="3"/>
  <c r="H751" i="3" s="1"/>
  <c r="C772" i="3"/>
  <c r="F772" i="3" s="1"/>
  <c r="C792" i="3"/>
  <c r="F792" i="3" s="1"/>
  <c r="C812" i="3"/>
  <c r="F812" i="3" s="1"/>
  <c r="C832" i="3"/>
  <c r="F832" i="3" s="1"/>
  <c r="C852" i="3"/>
  <c r="F852" i="3" s="1"/>
  <c r="E871" i="3"/>
  <c r="H871" i="3" s="1"/>
  <c r="E895" i="3"/>
  <c r="H895" i="3" s="1"/>
  <c r="E927" i="3"/>
  <c r="H927" i="3" s="1"/>
  <c r="E959" i="3"/>
  <c r="H959" i="3" s="1"/>
  <c r="D994" i="3"/>
  <c r="G994" i="3" s="1"/>
  <c r="C46" i="3"/>
  <c r="F46" i="3" s="1"/>
  <c r="C173" i="3"/>
  <c r="F173" i="3" s="1"/>
  <c r="C293" i="3"/>
  <c r="F293" i="3" s="1"/>
  <c r="E369" i="3"/>
  <c r="H369" i="3" s="1"/>
  <c r="E440" i="3"/>
  <c r="H440" i="3" s="1"/>
  <c r="D565" i="3"/>
  <c r="G565" i="3" s="1"/>
  <c r="C120" i="3"/>
  <c r="F120" i="3" s="1"/>
  <c r="C139" i="3"/>
  <c r="F139" i="3" s="1"/>
  <c r="C179" i="3"/>
  <c r="F179" i="3" s="1"/>
  <c r="C219" i="3"/>
  <c r="F219" i="3" s="1"/>
  <c r="C259" i="3"/>
  <c r="F259" i="3" s="1"/>
  <c r="C299" i="3"/>
  <c r="F299" i="3" s="1"/>
  <c r="C339" i="3"/>
  <c r="F339" i="3" s="1"/>
  <c r="D372" i="3"/>
  <c r="G372" i="3" s="1"/>
  <c r="C411" i="3"/>
  <c r="F411" i="3" s="1"/>
  <c r="D460" i="3"/>
  <c r="G460" i="3" s="1"/>
  <c r="D516" i="3"/>
  <c r="G516" i="3" s="1"/>
  <c r="D572" i="3"/>
  <c r="G572" i="3" s="1"/>
  <c r="E167" i="3"/>
  <c r="H167" i="3" s="1"/>
  <c r="C236" i="3"/>
  <c r="F236" i="3" s="1"/>
  <c r="E275" i="3"/>
  <c r="H275" i="3" s="1"/>
  <c r="E315" i="3"/>
  <c r="H315" i="3" s="1"/>
  <c r="C356" i="3"/>
  <c r="F356" i="3" s="1"/>
  <c r="C392" i="3"/>
  <c r="F392" i="3" s="1"/>
  <c r="E425" i="3"/>
  <c r="H425" i="3" s="1"/>
  <c r="E457" i="3"/>
  <c r="H457" i="3" s="1"/>
  <c r="D489" i="3"/>
  <c r="G489" i="3" s="1"/>
  <c r="D527" i="3"/>
  <c r="G527" i="3" s="1"/>
  <c r="D559" i="3"/>
  <c r="G559" i="3" s="1"/>
  <c r="D591" i="3"/>
  <c r="G591" i="3" s="1"/>
  <c r="E435" i="3"/>
  <c r="H435" i="3" s="1"/>
  <c r="C472" i="3"/>
  <c r="F472" i="3" s="1"/>
  <c r="C512" i="3"/>
  <c r="F512" i="3" s="1"/>
  <c r="C552" i="3"/>
  <c r="F552" i="3" s="1"/>
  <c r="C592" i="3"/>
  <c r="F592" i="3" s="1"/>
  <c r="C447" i="3"/>
  <c r="F447" i="3" s="1"/>
  <c r="E482" i="3"/>
  <c r="H482" i="3" s="1"/>
  <c r="E522" i="3"/>
  <c r="H522" i="3" s="1"/>
  <c r="E562" i="3"/>
  <c r="H562" i="3" s="1"/>
  <c r="D600" i="3"/>
  <c r="G600" i="3" s="1"/>
  <c r="C615" i="3"/>
  <c r="F615" i="3" s="1"/>
  <c r="C626" i="3"/>
  <c r="F626" i="3" s="1"/>
  <c r="E641" i="3"/>
  <c r="H641" i="3" s="1"/>
  <c r="C654" i="3"/>
  <c r="F654" i="3" s="1"/>
  <c r="E670" i="3"/>
  <c r="H670" i="3" s="1"/>
  <c r="C682" i="3"/>
  <c r="F682" i="3" s="1"/>
  <c r="C699" i="3"/>
  <c r="F699" i="3" s="1"/>
  <c r="C710" i="3"/>
  <c r="F710" i="3" s="1"/>
  <c r="E725" i="3"/>
  <c r="H725" i="3" s="1"/>
  <c r="D740" i="3"/>
  <c r="G740" i="3" s="1"/>
  <c r="D754" i="3"/>
  <c r="G754" i="3" s="1"/>
  <c r="D768" i="3"/>
  <c r="G768" i="3" s="1"/>
  <c r="C783" i="3"/>
  <c r="F783" i="3" s="1"/>
  <c r="D796" i="3"/>
  <c r="G796" i="3" s="1"/>
  <c r="D810" i="3"/>
  <c r="G810" i="3" s="1"/>
  <c r="E825" i="3"/>
  <c r="H825" i="3" s="1"/>
  <c r="C838" i="3"/>
  <c r="F838" i="3" s="1"/>
  <c r="C855" i="3"/>
  <c r="F855" i="3" s="1"/>
  <c r="C866" i="3"/>
  <c r="F866" i="3" s="1"/>
  <c r="C883" i="3"/>
  <c r="F883" i="3" s="1"/>
  <c r="C901" i="3"/>
  <c r="F901" i="3" s="1"/>
  <c r="C934" i="3"/>
  <c r="F934" i="3" s="1"/>
  <c r="C957" i="3"/>
  <c r="F957" i="3" s="1"/>
  <c r="D987" i="3"/>
  <c r="G987" i="3" s="1"/>
  <c r="D607" i="3"/>
  <c r="G607" i="3" s="1"/>
  <c r="D629" i="3"/>
  <c r="G629" i="3" s="1"/>
  <c r="D651" i="3"/>
  <c r="G651" i="3" s="1"/>
  <c r="D673" i="3"/>
  <c r="G673" i="3" s="1"/>
  <c r="D691" i="3"/>
  <c r="G691" i="3" s="1"/>
  <c r="D713" i="3"/>
  <c r="G713" i="3" s="1"/>
  <c r="C736" i="3"/>
  <c r="F736" i="3" s="1"/>
  <c r="D771" i="3"/>
  <c r="G771" i="3" s="1"/>
  <c r="D793" i="3"/>
  <c r="G793" i="3" s="1"/>
  <c r="D811" i="3"/>
  <c r="G811" i="3" s="1"/>
  <c r="D831" i="3"/>
  <c r="G831" i="3" s="1"/>
  <c r="D851" i="3"/>
  <c r="G851" i="3" s="1"/>
  <c r="D873" i="3"/>
  <c r="G873" i="3" s="1"/>
  <c r="E900" i="3"/>
  <c r="H900" i="3" s="1"/>
  <c r="E932" i="3"/>
  <c r="H932" i="3" s="1"/>
  <c r="D964" i="3"/>
  <c r="G964" i="3" s="1"/>
  <c r="E600" i="3"/>
  <c r="H600" i="3" s="1"/>
  <c r="E632" i="3"/>
  <c r="H632" i="3" s="1"/>
  <c r="E664" i="3"/>
  <c r="H664" i="3" s="1"/>
  <c r="D49" i="3"/>
  <c r="G49" i="3" s="1"/>
  <c r="E185" i="3"/>
  <c r="H185" i="3" s="1"/>
  <c r="E297" i="3"/>
  <c r="H297" i="3" s="1"/>
  <c r="D371" i="3"/>
  <c r="G371" i="3" s="1"/>
  <c r="C454" i="3"/>
  <c r="F454" i="3" s="1"/>
  <c r="E573" i="3"/>
  <c r="H573" i="3" s="1"/>
  <c r="E123" i="3"/>
  <c r="H123" i="3" s="1"/>
  <c r="E138" i="3"/>
  <c r="H138" i="3" s="1"/>
  <c r="E178" i="3"/>
  <c r="H178" i="3" s="1"/>
  <c r="E218" i="3"/>
  <c r="H218" i="3" s="1"/>
  <c r="E258" i="3"/>
  <c r="H258" i="3" s="1"/>
  <c r="E298" i="3"/>
  <c r="H298" i="3" s="1"/>
  <c r="E338" i="3"/>
  <c r="H338" i="3" s="1"/>
  <c r="C375" i="3"/>
  <c r="F375" i="3" s="1"/>
  <c r="E410" i="3"/>
  <c r="H410" i="3" s="1"/>
  <c r="D466" i="3"/>
  <c r="G466" i="3" s="1"/>
  <c r="E519" i="3"/>
  <c r="H519" i="3" s="1"/>
  <c r="C572" i="3"/>
  <c r="F572" i="3" s="1"/>
  <c r="C172" i="3"/>
  <c r="F172" i="3" s="1"/>
  <c r="E235" i="3"/>
  <c r="H235" i="3" s="1"/>
  <c r="C280" i="3"/>
  <c r="F280" i="3" s="1"/>
  <c r="C320" i="3"/>
  <c r="F320" i="3" s="1"/>
  <c r="E355" i="3"/>
  <c r="H355" i="3" s="1"/>
  <c r="E391" i="3"/>
  <c r="H391" i="3" s="1"/>
  <c r="D425" i="3"/>
  <c r="G425" i="3" s="1"/>
  <c r="D457" i="3"/>
  <c r="G457" i="3" s="1"/>
  <c r="C489" i="3"/>
  <c r="F489" i="3" s="1"/>
  <c r="C530" i="3"/>
  <c r="F530" i="3" s="1"/>
  <c r="C562" i="3"/>
  <c r="F562" i="3" s="1"/>
  <c r="C594" i="3"/>
  <c r="F594" i="3" s="1"/>
  <c r="D438" i="3"/>
  <c r="G438" i="3" s="1"/>
  <c r="E475" i="3"/>
  <c r="H475" i="3" s="1"/>
  <c r="E515" i="3"/>
  <c r="H515" i="3" s="1"/>
  <c r="E555" i="3"/>
  <c r="H555" i="3" s="1"/>
  <c r="E595" i="3"/>
  <c r="H595" i="3" s="1"/>
  <c r="E446" i="3"/>
  <c r="H446" i="3" s="1"/>
  <c r="C487" i="3"/>
  <c r="F487" i="3" s="1"/>
  <c r="C527" i="3"/>
  <c r="F527" i="3" s="1"/>
  <c r="C567" i="3"/>
  <c r="F567" i="3" s="1"/>
  <c r="E601" i="3"/>
  <c r="H601" i="3" s="1"/>
  <c r="E614" i="3"/>
  <c r="H614" i="3" s="1"/>
  <c r="D628" i="3"/>
  <c r="G628" i="3" s="1"/>
  <c r="C643" i="3"/>
  <c r="F643" i="3" s="1"/>
  <c r="D656" i="3"/>
  <c r="G656" i="3" s="1"/>
  <c r="D670" i="3"/>
  <c r="G670" i="3" s="1"/>
  <c r="D684" i="3"/>
  <c r="G684" i="3" s="1"/>
  <c r="E698" i="3"/>
  <c r="H698" i="3" s="1"/>
  <c r="D712" i="3"/>
  <c r="G712" i="3" s="1"/>
  <c r="C727" i="3"/>
  <c r="F727" i="3" s="1"/>
  <c r="E741" i="3"/>
  <c r="H741" i="3" s="1"/>
  <c r="C754" i="3"/>
  <c r="F754" i="3" s="1"/>
  <c r="E769" i="3"/>
  <c r="H769" i="3" s="1"/>
  <c r="E782" i="3"/>
  <c r="H782" i="3" s="1"/>
  <c r="E797" i="3"/>
  <c r="H797" i="3" s="1"/>
  <c r="C810" i="3"/>
  <c r="F810" i="3" s="1"/>
  <c r="C827" i="3"/>
  <c r="F827" i="3" s="1"/>
  <c r="D840" i="3"/>
  <c r="G840" i="3" s="1"/>
  <c r="E854" i="3"/>
  <c r="H854" i="3" s="1"/>
  <c r="E869" i="3"/>
  <c r="H869" i="3" s="1"/>
  <c r="E882" i="3"/>
  <c r="H882" i="3" s="1"/>
  <c r="E904" i="3"/>
  <c r="H904" i="3" s="1"/>
  <c r="E933" i="3"/>
  <c r="H933" i="3" s="1"/>
  <c r="E960" i="3"/>
  <c r="H960" i="3" s="1"/>
  <c r="C990" i="3"/>
  <c r="F990" i="3" s="1"/>
  <c r="D609" i="3"/>
  <c r="G609" i="3" s="1"/>
  <c r="C632" i="3"/>
  <c r="F632" i="3" s="1"/>
  <c r="D653" i="3"/>
  <c r="G653" i="3" s="1"/>
  <c r="C676" i="3"/>
  <c r="F676" i="3" s="1"/>
  <c r="D693" i="3"/>
  <c r="G693" i="3" s="1"/>
  <c r="E715" i="3"/>
  <c r="H715" i="3" s="1"/>
  <c r="E735" i="3"/>
  <c r="H735" i="3" s="1"/>
  <c r="D753" i="3"/>
  <c r="G753" i="3" s="1"/>
  <c r="D773" i="3"/>
  <c r="G773" i="3" s="1"/>
  <c r="C796" i="3"/>
  <c r="F796" i="3" s="1"/>
  <c r="D833" i="3"/>
  <c r="G833" i="3" s="1"/>
  <c r="D853" i="3"/>
  <c r="G853" i="3" s="1"/>
  <c r="C876" i="3"/>
  <c r="F876" i="3" s="1"/>
  <c r="D900" i="3"/>
  <c r="G900" i="3" s="1"/>
  <c r="D932" i="3"/>
  <c r="G932" i="3" s="1"/>
  <c r="C964" i="3"/>
  <c r="F964" i="3" s="1"/>
  <c r="C669" i="3"/>
  <c r="F669" i="3" s="1"/>
  <c r="D59" i="3"/>
  <c r="G59" i="3" s="1"/>
  <c r="E188" i="3"/>
  <c r="H188" i="3" s="1"/>
  <c r="C301" i="3"/>
  <c r="F301" i="3" s="1"/>
  <c r="D373" i="3"/>
  <c r="G373" i="3" s="1"/>
  <c r="E456" i="3"/>
  <c r="H456" i="3" s="1"/>
  <c r="E584" i="3"/>
  <c r="H584" i="3" s="1"/>
  <c r="D128" i="3"/>
  <c r="G128" i="3" s="1"/>
  <c r="D140" i="3"/>
  <c r="G140" i="3" s="1"/>
  <c r="D180" i="3"/>
  <c r="G180" i="3" s="1"/>
  <c r="D220" i="3"/>
  <c r="G220" i="3" s="1"/>
  <c r="D260" i="3"/>
  <c r="G260" i="3" s="1"/>
  <c r="D300" i="3"/>
  <c r="G300" i="3" s="1"/>
  <c r="D338" i="3"/>
  <c r="G338" i="3" s="1"/>
  <c r="D374" i="3"/>
  <c r="G374" i="3" s="1"/>
  <c r="D410" i="3"/>
  <c r="G410" i="3" s="1"/>
  <c r="E468" i="3"/>
  <c r="H468" i="3" s="1"/>
  <c r="D524" i="3"/>
  <c r="G524" i="3" s="1"/>
  <c r="D580" i="3"/>
  <c r="G580" i="3" s="1"/>
  <c r="E171" i="3"/>
  <c r="H171" i="3" s="1"/>
  <c r="E279" i="3"/>
  <c r="H279" i="3" s="1"/>
  <c r="E319" i="3"/>
  <c r="H319" i="3" s="1"/>
  <c r="C396" i="3"/>
  <c r="F396" i="3" s="1"/>
  <c r="C425" i="3"/>
  <c r="F425" i="3" s="1"/>
  <c r="D75" i="3"/>
  <c r="G75" i="3" s="1"/>
  <c r="E196" i="3"/>
  <c r="H196" i="3" s="1"/>
  <c r="C309" i="3"/>
  <c r="F309" i="3" s="1"/>
  <c r="D381" i="3"/>
  <c r="G381" i="3" s="1"/>
  <c r="C478" i="3"/>
  <c r="F478" i="3" s="1"/>
  <c r="D589" i="3"/>
  <c r="G589" i="3" s="1"/>
  <c r="C132" i="3"/>
  <c r="F132" i="3" s="1"/>
  <c r="E146" i="3"/>
  <c r="H146" i="3" s="1"/>
  <c r="E186" i="3"/>
  <c r="H186" i="3" s="1"/>
  <c r="E226" i="3"/>
  <c r="H226" i="3" s="1"/>
  <c r="E266" i="3"/>
  <c r="H266" i="3" s="1"/>
  <c r="E306" i="3"/>
  <c r="H306" i="3" s="1"/>
  <c r="D344" i="3"/>
  <c r="G344" i="3" s="1"/>
  <c r="C379" i="3"/>
  <c r="F379" i="3" s="1"/>
  <c r="E414" i="3"/>
  <c r="H414" i="3" s="1"/>
  <c r="C468" i="3"/>
  <c r="F468" i="3" s="1"/>
  <c r="E532" i="3"/>
  <c r="H532" i="3" s="1"/>
  <c r="D588" i="3"/>
  <c r="G588" i="3" s="1"/>
  <c r="E175" i="3"/>
  <c r="H175" i="3" s="1"/>
  <c r="D5" i="3"/>
  <c r="G5" i="3" s="1"/>
  <c r="D77" i="3"/>
  <c r="G77" i="3" s="1"/>
  <c r="C197" i="3"/>
  <c r="F197" i="3" s="1"/>
  <c r="E321" i="3"/>
  <c r="H321" i="3" s="1"/>
  <c r="E385" i="3"/>
  <c r="H385" i="3" s="1"/>
  <c r="C477" i="3"/>
  <c r="F477" i="3" s="1"/>
  <c r="C598" i="3"/>
  <c r="F598" i="3" s="1"/>
  <c r="E139" i="3"/>
  <c r="H139" i="3" s="1"/>
  <c r="C151" i="3"/>
  <c r="F151" i="3" s="1"/>
  <c r="C191" i="3"/>
  <c r="F191" i="3" s="1"/>
  <c r="C231" i="3"/>
  <c r="F231" i="3" s="1"/>
  <c r="C271" i="3"/>
  <c r="F271" i="3" s="1"/>
  <c r="C311" i="3"/>
  <c r="F311" i="3" s="1"/>
  <c r="E346" i="3"/>
  <c r="H346" i="3" s="1"/>
  <c r="E378" i="3"/>
  <c r="H378" i="3" s="1"/>
  <c r="D414" i="3"/>
  <c r="G414" i="3" s="1"/>
  <c r="D474" i="3"/>
  <c r="G474" i="3" s="1"/>
  <c r="D532" i="3"/>
  <c r="G532" i="3" s="1"/>
  <c r="D594" i="3"/>
  <c r="G594" i="3" s="1"/>
  <c r="C244" i="3"/>
  <c r="F244" i="3" s="1"/>
  <c r="C288" i="3"/>
  <c r="F288" i="3" s="1"/>
  <c r="E323" i="3"/>
  <c r="H323" i="3" s="1"/>
  <c r="C364" i="3"/>
  <c r="F364" i="3" s="1"/>
  <c r="E399" i="3"/>
  <c r="H399" i="3" s="1"/>
  <c r="E433" i="3"/>
  <c r="H433" i="3" s="1"/>
  <c r="E465" i="3"/>
  <c r="H465" i="3" s="1"/>
  <c r="D497" i="3"/>
  <c r="G497" i="3" s="1"/>
  <c r="D535" i="3"/>
  <c r="G535" i="3" s="1"/>
  <c r="D567" i="3"/>
  <c r="G567" i="3" s="1"/>
  <c r="D446" i="3"/>
  <c r="G446" i="3" s="1"/>
  <c r="E483" i="3"/>
  <c r="H483" i="3" s="1"/>
  <c r="E523" i="3"/>
  <c r="H523" i="3" s="1"/>
  <c r="E563" i="3"/>
  <c r="H563" i="3" s="1"/>
  <c r="C423" i="3"/>
  <c r="F423" i="3" s="1"/>
  <c r="E454" i="3"/>
  <c r="H454" i="3" s="1"/>
  <c r="C495" i="3"/>
  <c r="F495" i="3" s="1"/>
  <c r="C535" i="3"/>
  <c r="F535" i="3" s="1"/>
  <c r="C575" i="3"/>
  <c r="F575" i="3" s="1"/>
  <c r="C602" i="3"/>
  <c r="F602" i="3" s="1"/>
  <c r="E617" i="3"/>
  <c r="H617" i="3" s="1"/>
  <c r="D630" i="3"/>
  <c r="G630" i="3" s="1"/>
  <c r="D644" i="3"/>
  <c r="G644" i="3" s="1"/>
  <c r="D658" i="3"/>
  <c r="G658" i="3" s="1"/>
  <c r="C675" i="3"/>
  <c r="F675" i="3" s="1"/>
  <c r="C686" i="3"/>
  <c r="F686" i="3" s="1"/>
  <c r="E701" i="3"/>
  <c r="H701" i="3" s="1"/>
  <c r="D714" i="3"/>
  <c r="G714" i="3" s="1"/>
  <c r="E729" i="3"/>
  <c r="H729" i="3" s="1"/>
  <c r="C742" i="3"/>
  <c r="F742" i="3" s="1"/>
  <c r="E758" i="3"/>
  <c r="H758" i="3" s="1"/>
  <c r="C770" i="3"/>
  <c r="F770" i="3" s="1"/>
  <c r="E785" i="3"/>
  <c r="H785" i="3" s="1"/>
  <c r="C798" i="3"/>
  <c r="F798" i="3" s="1"/>
  <c r="E814" i="3"/>
  <c r="H814" i="3" s="1"/>
  <c r="D828" i="3"/>
  <c r="G828" i="3" s="1"/>
  <c r="C842" i="3"/>
  <c r="F842" i="3" s="1"/>
  <c r="E857" i="3"/>
  <c r="H857" i="3" s="1"/>
  <c r="C870" i="3"/>
  <c r="F870" i="3" s="1"/>
  <c r="C886" i="3"/>
  <c r="F886" i="3" s="1"/>
  <c r="C909" i="3"/>
  <c r="F909" i="3" s="1"/>
  <c r="C942" i="3"/>
  <c r="F942" i="3" s="1"/>
  <c r="D965" i="3"/>
  <c r="G965" i="3" s="1"/>
  <c r="E992" i="3"/>
  <c r="H992" i="3" s="1"/>
  <c r="D613" i="3"/>
  <c r="G613" i="3" s="1"/>
  <c r="D635" i="3"/>
  <c r="G635" i="3" s="1"/>
  <c r="D657" i="3"/>
  <c r="G657" i="3" s="1"/>
  <c r="C680" i="3"/>
  <c r="F680" i="3" s="1"/>
  <c r="D697" i="3"/>
  <c r="G697" i="3" s="1"/>
  <c r="E719" i="3"/>
  <c r="H719" i="3" s="1"/>
  <c r="E739" i="3"/>
  <c r="H739" i="3" s="1"/>
  <c r="D757" i="3"/>
  <c r="G757" i="3" s="1"/>
  <c r="D777" i="3"/>
  <c r="G777" i="3" s="1"/>
  <c r="C800" i="3"/>
  <c r="F800" i="3" s="1"/>
  <c r="D815" i="3"/>
  <c r="G815" i="3" s="1"/>
  <c r="D837" i="3"/>
  <c r="G837" i="3" s="1"/>
  <c r="C860" i="3"/>
  <c r="F860" i="3" s="1"/>
  <c r="C880" i="3"/>
  <c r="F880" i="3" s="1"/>
  <c r="E908" i="3"/>
  <c r="H908" i="3" s="1"/>
  <c r="E940" i="3"/>
  <c r="H940" i="3" s="1"/>
  <c r="D972" i="3"/>
  <c r="G972" i="3" s="1"/>
  <c r="C609" i="3"/>
  <c r="F609" i="3" s="1"/>
  <c r="C641" i="3"/>
  <c r="F641" i="3" s="1"/>
  <c r="C7" i="3"/>
  <c r="F7" i="3" s="1"/>
  <c r="D83" i="3"/>
  <c r="G83" i="3" s="1"/>
  <c r="E204" i="3"/>
  <c r="H204" i="3" s="1"/>
  <c r="C325" i="3"/>
  <c r="F325" i="3" s="1"/>
  <c r="C389" i="3"/>
  <c r="F389" i="3" s="1"/>
  <c r="E480" i="3"/>
  <c r="H480" i="3" s="1"/>
  <c r="C597" i="3"/>
  <c r="F597" i="3" s="1"/>
  <c r="E54" i="3"/>
  <c r="H54" i="3" s="1"/>
  <c r="D152" i="3"/>
  <c r="G152" i="3" s="1"/>
  <c r="D192" i="3"/>
  <c r="G192" i="3" s="1"/>
  <c r="D232" i="3"/>
  <c r="G232" i="3" s="1"/>
  <c r="D272" i="3"/>
  <c r="G272" i="3" s="1"/>
  <c r="D312" i="3"/>
  <c r="G312" i="3" s="1"/>
  <c r="D348" i="3"/>
  <c r="G348" i="3" s="1"/>
  <c r="C383" i="3"/>
  <c r="F383" i="3" s="1"/>
  <c r="E476" i="3"/>
  <c r="H476" i="3" s="1"/>
  <c r="C532" i="3"/>
  <c r="F532" i="3" s="1"/>
  <c r="E596" i="3"/>
  <c r="H596" i="3" s="1"/>
  <c r="C180" i="3"/>
  <c r="F180" i="3" s="1"/>
  <c r="E243" i="3"/>
  <c r="H243" i="3" s="1"/>
  <c r="E287" i="3"/>
  <c r="H287" i="3" s="1"/>
  <c r="C328" i="3"/>
  <c r="F328" i="3" s="1"/>
  <c r="E363" i="3"/>
  <c r="H363" i="3" s="1"/>
  <c r="C404" i="3"/>
  <c r="F404" i="3" s="1"/>
  <c r="D433" i="3"/>
  <c r="G433" i="3" s="1"/>
  <c r="D465" i="3"/>
  <c r="G465" i="3" s="1"/>
  <c r="C497" i="3"/>
  <c r="F497" i="3" s="1"/>
  <c r="C538" i="3"/>
  <c r="F538" i="3" s="1"/>
  <c r="C19" i="3"/>
  <c r="F19" i="3" s="1"/>
  <c r="D87" i="3"/>
  <c r="G87" i="3" s="1"/>
  <c r="C213" i="3"/>
  <c r="F213" i="3" s="1"/>
  <c r="E332" i="3"/>
  <c r="H332" i="3" s="1"/>
  <c r="C394" i="3"/>
  <c r="F394" i="3" s="1"/>
  <c r="C485" i="3"/>
  <c r="F485" i="3" s="1"/>
  <c r="E14" i="3"/>
  <c r="H14" i="3" s="1"/>
  <c r="C71" i="3"/>
  <c r="F71" i="3" s="1"/>
  <c r="C155" i="3"/>
  <c r="F155" i="3" s="1"/>
  <c r="C195" i="3"/>
  <c r="F195" i="3" s="1"/>
  <c r="C235" i="3"/>
  <c r="F235" i="3" s="1"/>
  <c r="C275" i="3"/>
  <c r="F275" i="3" s="1"/>
  <c r="C315" i="3"/>
  <c r="F315" i="3" s="1"/>
  <c r="D350" i="3"/>
  <c r="G350" i="3" s="1"/>
  <c r="D382" i="3"/>
  <c r="G382" i="3" s="1"/>
  <c r="D420" i="3"/>
  <c r="G420" i="3" s="1"/>
  <c r="D476" i="3"/>
  <c r="G476" i="3" s="1"/>
  <c r="D538" i="3"/>
  <c r="G538" i="3" s="1"/>
  <c r="D596" i="3"/>
  <c r="G596" i="3" s="1"/>
  <c r="E179" i="3"/>
  <c r="H179" i="3" s="1"/>
  <c r="C248" i="3"/>
  <c r="F248" i="3" s="1"/>
  <c r="C292" i="3"/>
  <c r="F292" i="3" s="1"/>
  <c r="E327" i="3"/>
  <c r="H327" i="3" s="1"/>
  <c r="C368" i="3"/>
  <c r="F368" i="3" s="1"/>
  <c r="E403" i="3"/>
  <c r="H403" i="3" s="1"/>
  <c r="C433" i="3"/>
  <c r="F433" i="3" s="1"/>
  <c r="C465" i="3"/>
  <c r="F465" i="3" s="1"/>
  <c r="D503" i="3"/>
  <c r="G503" i="3" s="1"/>
  <c r="E537" i="3"/>
  <c r="H537" i="3" s="1"/>
  <c r="E569" i="3"/>
  <c r="H569" i="3" s="1"/>
  <c r="C448" i="3"/>
  <c r="F448" i="3" s="1"/>
  <c r="D488" i="3"/>
  <c r="G488" i="3" s="1"/>
  <c r="D528" i="3"/>
  <c r="G528" i="3" s="1"/>
  <c r="D568" i="3"/>
  <c r="G568" i="3" s="1"/>
  <c r="C427" i="3"/>
  <c r="F427" i="3" s="1"/>
  <c r="E458" i="3"/>
  <c r="H458" i="3" s="1"/>
  <c r="C499" i="3"/>
  <c r="F499" i="3" s="1"/>
  <c r="C539" i="3"/>
  <c r="F539" i="3" s="1"/>
  <c r="C579" i="3"/>
  <c r="F579" i="3" s="1"/>
  <c r="E605" i="3"/>
  <c r="H605" i="3" s="1"/>
  <c r="E618" i="3"/>
  <c r="H618" i="3" s="1"/>
  <c r="D632" i="3"/>
  <c r="G632" i="3" s="1"/>
  <c r="C647" i="3"/>
  <c r="F647" i="3" s="1"/>
  <c r="D660" i="3"/>
  <c r="G660" i="3" s="1"/>
  <c r="D674" i="3"/>
  <c r="G674" i="3" s="1"/>
  <c r="E689" i="3"/>
  <c r="H689" i="3" s="1"/>
  <c r="D702" i="3"/>
  <c r="G702" i="3" s="1"/>
  <c r="D716" i="3"/>
  <c r="G716" i="3" s="1"/>
  <c r="E730" i="3"/>
  <c r="H730" i="3" s="1"/>
  <c r="E746" i="3"/>
  <c r="H746" i="3" s="1"/>
  <c r="D14" i="3"/>
  <c r="G14" i="3" s="1"/>
  <c r="E93" i="3"/>
  <c r="H93" i="3" s="1"/>
  <c r="E220" i="3"/>
  <c r="H220" i="3" s="1"/>
  <c r="E337" i="3"/>
  <c r="H337" i="3" s="1"/>
  <c r="E393" i="3"/>
  <c r="H393" i="3" s="1"/>
  <c r="C494" i="3"/>
  <c r="F494" i="3" s="1"/>
  <c r="E30" i="3"/>
  <c r="H30" i="3" s="1"/>
  <c r="E70" i="3"/>
  <c r="H70" i="3" s="1"/>
  <c r="E154" i="3"/>
  <c r="H154" i="3" s="1"/>
  <c r="E194" i="3"/>
  <c r="H194" i="3" s="1"/>
  <c r="E234" i="3"/>
  <c r="H234" i="3" s="1"/>
  <c r="E274" i="3"/>
  <c r="H274" i="3" s="1"/>
  <c r="E314" i="3"/>
  <c r="H314" i="3" s="1"/>
  <c r="D352" i="3"/>
  <c r="G352" i="3" s="1"/>
  <c r="E386" i="3"/>
  <c r="H386" i="3" s="1"/>
  <c r="E423" i="3"/>
  <c r="H423" i="3" s="1"/>
  <c r="C476" i="3"/>
  <c r="F476" i="3" s="1"/>
  <c r="E540" i="3"/>
  <c r="H540" i="3" s="1"/>
  <c r="C596" i="3"/>
  <c r="F596" i="3" s="1"/>
  <c r="C188" i="3"/>
  <c r="F188" i="3" s="1"/>
  <c r="C252" i="3"/>
  <c r="F252" i="3" s="1"/>
  <c r="E291" i="3"/>
  <c r="H291" i="3" s="1"/>
  <c r="C332" i="3"/>
  <c r="F332" i="3" s="1"/>
  <c r="E367" i="3"/>
  <c r="H367" i="3" s="1"/>
  <c r="C408" i="3"/>
  <c r="F408" i="3" s="1"/>
  <c r="D439" i="3"/>
  <c r="G439" i="3" s="1"/>
  <c r="D471" i="3"/>
  <c r="G471" i="3" s="1"/>
  <c r="C506" i="3"/>
  <c r="F506" i="3" s="1"/>
  <c r="D537" i="3"/>
  <c r="G537" i="3" s="1"/>
  <c r="D569" i="3"/>
  <c r="G569" i="3" s="1"/>
  <c r="E451" i="3"/>
  <c r="H451" i="3" s="1"/>
  <c r="C488" i="3"/>
  <c r="F488" i="3" s="1"/>
  <c r="C528" i="3"/>
  <c r="F528" i="3" s="1"/>
  <c r="C568" i="3"/>
  <c r="F568" i="3" s="1"/>
  <c r="E426" i="3"/>
  <c r="H426" i="3" s="1"/>
  <c r="C463" i="3"/>
  <c r="F463" i="3" s="1"/>
  <c r="E498" i="3"/>
  <c r="H498" i="3" s="1"/>
  <c r="E538" i="3"/>
  <c r="H538" i="3" s="1"/>
  <c r="E578" i="3"/>
  <c r="H578" i="3" s="1"/>
  <c r="C607" i="3"/>
  <c r="F607" i="3" s="1"/>
  <c r="D618" i="3"/>
  <c r="G618" i="3" s="1"/>
  <c r="E633" i="3"/>
  <c r="H633" i="3" s="1"/>
  <c r="D646" i="3"/>
  <c r="G646" i="3" s="1"/>
  <c r="E661" i="3"/>
  <c r="H661" i="3" s="1"/>
  <c r="C674" i="3"/>
  <c r="F674" i="3" s="1"/>
  <c r="C691" i="3"/>
  <c r="F691" i="3" s="1"/>
  <c r="C702" i="3"/>
  <c r="F702" i="3" s="1"/>
  <c r="E717" i="3"/>
  <c r="H717" i="3" s="1"/>
  <c r="D730" i="3"/>
  <c r="G730" i="3" s="1"/>
  <c r="D746" i="3"/>
  <c r="G746" i="3" s="1"/>
  <c r="D760" i="3"/>
  <c r="G760" i="3" s="1"/>
  <c r="C775" i="3"/>
  <c r="F775" i="3" s="1"/>
  <c r="D786" i="3"/>
  <c r="G786" i="3" s="1"/>
  <c r="C803" i="3"/>
  <c r="F803" i="3" s="1"/>
  <c r="E817" i="3"/>
  <c r="H817" i="3" s="1"/>
  <c r="D830" i="3"/>
  <c r="G830" i="3" s="1"/>
  <c r="C847" i="3"/>
  <c r="F847" i="3" s="1"/>
  <c r="D858" i="3"/>
  <c r="G858" i="3" s="1"/>
  <c r="C875" i="3"/>
  <c r="F875" i="3" s="1"/>
  <c r="C885" i="3"/>
  <c r="F885" i="3" s="1"/>
  <c r="C918" i="3"/>
  <c r="F918" i="3" s="1"/>
  <c r="C941" i="3"/>
  <c r="F941" i="3" s="1"/>
  <c r="D971" i="3"/>
  <c r="G971" i="3" s="1"/>
  <c r="D615" i="3"/>
  <c r="G615" i="3" s="1"/>
  <c r="E639" i="3"/>
  <c r="H639" i="3" s="1"/>
  <c r="D659" i="3"/>
  <c r="G659" i="3" s="1"/>
  <c r="D699" i="3"/>
  <c r="G699" i="3" s="1"/>
  <c r="E723" i="3"/>
  <c r="H723" i="3" s="1"/>
  <c r="C744" i="3"/>
  <c r="F744" i="3" s="1"/>
  <c r="D759" i="3"/>
  <c r="G759" i="3" s="1"/>
  <c r="D779" i="3"/>
  <c r="G779" i="3" s="1"/>
  <c r="D801" i="3"/>
  <c r="G801" i="3" s="1"/>
  <c r="E819" i="3"/>
  <c r="H819" i="3" s="1"/>
  <c r="D839" i="3"/>
  <c r="G839" i="3" s="1"/>
  <c r="D861" i="3"/>
  <c r="G861" i="3" s="1"/>
  <c r="E911" i="3"/>
  <c r="H911" i="3" s="1"/>
  <c r="E943" i="3"/>
  <c r="H943" i="3" s="1"/>
  <c r="D978" i="3"/>
  <c r="G978" i="3" s="1"/>
  <c r="E612" i="3"/>
  <c r="H612" i="3" s="1"/>
  <c r="D22" i="3"/>
  <c r="G22" i="3" s="1"/>
  <c r="C106" i="3"/>
  <c r="F106" i="3" s="1"/>
  <c r="E228" i="3"/>
  <c r="H228" i="3" s="1"/>
  <c r="D339" i="3"/>
  <c r="G339" i="3" s="1"/>
  <c r="E396" i="3"/>
  <c r="H396" i="3" s="1"/>
  <c r="E496" i="3"/>
  <c r="H496" i="3" s="1"/>
  <c r="E35" i="3"/>
  <c r="H35" i="3" s="1"/>
  <c r="C75" i="3"/>
  <c r="F75" i="3" s="1"/>
  <c r="D154" i="3"/>
  <c r="G154" i="3" s="1"/>
  <c r="D194" i="3"/>
  <c r="G194" i="3" s="1"/>
  <c r="D234" i="3"/>
  <c r="G234" i="3" s="1"/>
  <c r="D274" i="3"/>
  <c r="G274" i="3" s="1"/>
  <c r="D314" i="3"/>
  <c r="G314" i="3" s="1"/>
  <c r="C355" i="3"/>
  <c r="F355" i="3" s="1"/>
  <c r="C391" i="3"/>
  <c r="F391" i="3" s="1"/>
  <c r="D428" i="3"/>
  <c r="G428" i="3" s="1"/>
  <c r="D484" i="3"/>
  <c r="G484" i="3" s="1"/>
  <c r="D540" i="3"/>
  <c r="G540" i="3" s="1"/>
  <c r="C60" i="3"/>
  <c r="F60" i="3" s="1"/>
  <c r="C192" i="3"/>
  <c r="F192" i="3" s="1"/>
  <c r="E251" i="3"/>
  <c r="H251" i="3" s="1"/>
  <c r="C296" i="3"/>
  <c r="F296" i="3" s="1"/>
  <c r="E331" i="3"/>
  <c r="H331" i="3" s="1"/>
  <c r="C372" i="3"/>
  <c r="F372" i="3" s="1"/>
  <c r="E407" i="3"/>
  <c r="H407" i="3" s="1"/>
  <c r="C442" i="3"/>
  <c r="F442" i="3" s="1"/>
  <c r="C474" i="3"/>
  <c r="F474" i="3" s="1"/>
  <c r="E505" i="3"/>
  <c r="H505" i="3" s="1"/>
  <c r="C537" i="3"/>
  <c r="F537" i="3" s="1"/>
  <c r="C569" i="3"/>
  <c r="F569" i="3" s="1"/>
  <c r="D454" i="3"/>
  <c r="G454" i="3" s="1"/>
  <c r="E491" i="3"/>
  <c r="H491" i="3" s="1"/>
  <c r="E531" i="3"/>
  <c r="H531" i="3" s="1"/>
  <c r="E571" i="3"/>
  <c r="H571" i="3" s="1"/>
  <c r="C431" i="3"/>
  <c r="F431" i="3" s="1"/>
  <c r="E462" i="3"/>
  <c r="H462" i="3" s="1"/>
  <c r="C503" i="3"/>
  <c r="F503" i="3" s="1"/>
  <c r="C543" i="3"/>
  <c r="F543" i="3" s="1"/>
  <c r="C583" i="3"/>
  <c r="F583" i="3" s="1"/>
  <c r="E606" i="3"/>
  <c r="H606" i="3" s="1"/>
  <c r="C618" i="3"/>
  <c r="F618" i="3" s="1"/>
  <c r="C635" i="3"/>
  <c r="F635" i="3" s="1"/>
  <c r="C646" i="3"/>
  <c r="F646" i="3" s="1"/>
  <c r="C663" i="3"/>
  <c r="F663" i="3" s="1"/>
  <c r="D676" i="3"/>
  <c r="G676" i="3" s="1"/>
  <c r="E690" i="3"/>
  <c r="H690" i="3" s="1"/>
  <c r="D704" i="3"/>
  <c r="G704" i="3" s="1"/>
  <c r="C719" i="3"/>
  <c r="F719" i="3" s="1"/>
  <c r="C730" i="3"/>
  <c r="F730" i="3" s="1"/>
  <c r="C746" i="3"/>
  <c r="F746" i="3" s="1"/>
  <c r="C212" i="3"/>
  <c r="F212" i="3" s="1"/>
  <c r="D492" i="3"/>
  <c r="G492" i="3" s="1"/>
  <c r="D334" i="3"/>
  <c r="G334" i="3" s="1"/>
  <c r="C211" i="3"/>
  <c r="F211" i="3" s="1"/>
  <c r="E560" i="3"/>
  <c r="H560" i="3" s="1"/>
  <c r="C165" i="3"/>
  <c r="F165" i="3" s="1"/>
  <c r="C434" i="3"/>
  <c r="F434" i="3" s="1"/>
  <c r="E335" i="3"/>
  <c r="H335" i="3" s="1"/>
  <c r="E207" i="3"/>
  <c r="H207" i="3" s="1"/>
  <c r="D468" i="3"/>
  <c r="G468" i="3" s="1"/>
  <c r="D332" i="3"/>
  <c r="G332" i="3" s="1"/>
  <c r="E206" i="3"/>
  <c r="H206" i="3" s="1"/>
  <c r="E541" i="3"/>
  <c r="H541" i="3" s="1"/>
  <c r="E145" i="3"/>
  <c r="H145" i="3" s="1"/>
  <c r="C513" i="3"/>
  <c r="F513" i="3" s="1"/>
  <c r="D431" i="3"/>
  <c r="G431" i="3" s="1"/>
  <c r="C324" i="3"/>
  <c r="F324" i="3" s="1"/>
  <c r="C204" i="3"/>
  <c r="F204" i="3" s="1"/>
  <c r="E455" i="3"/>
  <c r="H455" i="3" s="1"/>
  <c r="C331" i="3"/>
  <c r="F331" i="3" s="1"/>
  <c r="E198" i="3"/>
  <c r="H198" i="3" s="1"/>
  <c r="C533" i="3"/>
  <c r="F533" i="3" s="1"/>
  <c r="C141" i="3"/>
  <c r="F141" i="3" s="1"/>
  <c r="D480" i="3"/>
  <c r="G480" i="3" s="1"/>
  <c r="C585" i="3"/>
  <c r="F585" i="3" s="1"/>
  <c r="D513" i="3"/>
  <c r="G513" i="3" s="1"/>
  <c r="C426" i="3"/>
  <c r="F426" i="3" s="1"/>
  <c r="D444" i="3"/>
  <c r="G444" i="3" s="1"/>
  <c r="E326" i="3"/>
  <c r="H326" i="3" s="1"/>
  <c r="D184" i="3"/>
  <c r="G184" i="3" s="1"/>
  <c r="D533" i="3"/>
  <c r="G533" i="3" s="1"/>
  <c r="E137" i="3"/>
  <c r="H137" i="3" s="1"/>
  <c r="C67" i="3"/>
  <c r="F67" i="3" s="1"/>
  <c r="C116" i="3"/>
  <c r="F116" i="3" s="1"/>
  <c r="D48" i="3"/>
  <c r="G48" i="3" s="1"/>
  <c r="C581" i="3"/>
  <c r="F581" i="3" s="1"/>
  <c r="E528" i="3"/>
  <c r="H528" i="3" s="1"/>
  <c r="D475" i="3"/>
  <c r="G475" i="3" s="1"/>
  <c r="C422" i="3"/>
  <c r="F422" i="3" s="1"/>
  <c r="D389" i="3"/>
  <c r="G389" i="3" s="1"/>
  <c r="D363" i="3"/>
  <c r="G363" i="3" s="1"/>
  <c r="C338" i="3"/>
  <c r="F338" i="3" s="1"/>
  <c r="E289" i="3"/>
  <c r="H289" i="3" s="1"/>
  <c r="E236" i="3"/>
  <c r="H236" i="3" s="1"/>
  <c r="C181" i="3"/>
  <c r="F181" i="3" s="1"/>
  <c r="E129" i="3"/>
  <c r="H129" i="3" s="1"/>
  <c r="C70" i="3"/>
  <c r="F70" i="3" s="1"/>
  <c r="E95" i="3"/>
  <c r="H95" i="3" s="1"/>
  <c r="E789" i="3"/>
  <c r="H789" i="3" s="1"/>
  <c r="E231" i="3"/>
  <c r="H231" i="3" s="1"/>
  <c r="E199" i="3"/>
  <c r="H199" i="3" s="1"/>
  <c r="C168" i="3"/>
  <c r="F168" i="3" s="1"/>
  <c r="E127" i="3"/>
  <c r="H127" i="3" s="1"/>
  <c r="E591" i="3"/>
  <c r="H591" i="3" s="1"/>
  <c r="E559" i="3"/>
  <c r="H559" i="3" s="1"/>
  <c r="E527" i="3"/>
  <c r="H527" i="3" s="1"/>
  <c r="E495" i="3"/>
  <c r="H495" i="3" s="1"/>
  <c r="E463" i="3"/>
  <c r="H463" i="3" s="1"/>
  <c r="E431" i="3"/>
  <c r="H431" i="3" s="1"/>
  <c r="D406" i="3"/>
  <c r="G406" i="3" s="1"/>
  <c r="D388" i="3"/>
  <c r="G388" i="3" s="1"/>
  <c r="C371" i="3"/>
  <c r="F371" i="3" s="1"/>
  <c r="E350" i="3"/>
  <c r="H350" i="3" s="1"/>
  <c r="D330" i="3"/>
  <c r="G330" i="3" s="1"/>
  <c r="D310" i="3"/>
  <c r="G310" i="3" s="1"/>
  <c r="D290" i="3"/>
  <c r="G290" i="3" s="1"/>
  <c r="D270" i="3"/>
  <c r="G270" i="3" s="1"/>
  <c r="D250" i="3"/>
  <c r="G250" i="3" s="1"/>
  <c r="D230" i="3"/>
  <c r="G230" i="3" s="1"/>
  <c r="D210" i="3"/>
  <c r="G210" i="3" s="1"/>
  <c r="D190" i="3"/>
  <c r="G190" i="3" s="1"/>
  <c r="D170" i="3"/>
  <c r="G170" i="3" s="1"/>
  <c r="D150" i="3"/>
  <c r="G150" i="3" s="1"/>
  <c r="D122" i="3"/>
  <c r="G122" i="3" s="1"/>
  <c r="E62" i="3"/>
  <c r="H62" i="3" s="1"/>
  <c r="D116" i="3"/>
  <c r="G116" i="3" s="1"/>
  <c r="D42" i="3"/>
  <c r="G42" i="3" s="1"/>
  <c r="C582" i="3"/>
  <c r="F582" i="3" s="1"/>
  <c r="E525" i="3"/>
  <c r="H525" i="3" s="1"/>
  <c r="D469" i="3"/>
  <c r="G469" i="3" s="1"/>
  <c r="D415" i="3"/>
  <c r="G415" i="3" s="1"/>
  <c r="E388" i="3"/>
  <c r="H388" i="3" s="1"/>
  <c r="E361" i="3"/>
  <c r="H361" i="3" s="1"/>
  <c r="C333" i="3"/>
  <c r="F333" i="3" s="1"/>
  <c r="C285" i="3"/>
  <c r="F285" i="3" s="1"/>
  <c r="E233" i="3"/>
  <c r="H233" i="3" s="1"/>
  <c r="E180" i="3"/>
  <c r="H180" i="3" s="1"/>
  <c r="C125" i="3"/>
  <c r="F125" i="3" s="1"/>
  <c r="E65" i="3"/>
  <c r="H65" i="3" s="1"/>
  <c r="C93" i="3"/>
  <c r="F93" i="3" s="1"/>
  <c r="E627" i="3"/>
  <c r="H627" i="3" s="1"/>
  <c r="E263" i="3"/>
  <c r="H263" i="3" s="1"/>
  <c r="C232" i="3"/>
  <c r="F232" i="3" s="1"/>
  <c r="C200" i="3"/>
  <c r="F200" i="3" s="1"/>
  <c r="E163" i="3"/>
  <c r="H163" i="3" s="1"/>
  <c r="C124" i="3"/>
  <c r="F124" i="3" s="1"/>
  <c r="C588" i="3"/>
  <c r="F588" i="3" s="1"/>
  <c r="C556" i="3"/>
  <c r="F556" i="3" s="1"/>
  <c r="C524" i="3"/>
  <c r="F524" i="3" s="1"/>
  <c r="C492" i="3"/>
  <c r="F492" i="3" s="1"/>
  <c r="C460" i="3"/>
  <c r="F460" i="3" s="1"/>
  <c r="C428" i="3"/>
  <c r="F428" i="3" s="1"/>
  <c r="E406" i="3"/>
  <c r="H406" i="3" s="1"/>
  <c r="D386" i="3"/>
  <c r="G386" i="3" s="1"/>
  <c r="D368" i="3"/>
  <c r="G368" i="3" s="1"/>
  <c r="C351" i="3"/>
  <c r="F351" i="3" s="1"/>
  <c r="E330" i="3"/>
  <c r="H330" i="3" s="1"/>
  <c r="E310" i="3"/>
  <c r="H310" i="3" s="1"/>
  <c r="E290" i="3"/>
  <c r="H290" i="3" s="1"/>
  <c r="E270" i="3"/>
  <c r="H270" i="3" s="1"/>
  <c r="E250" i="3"/>
  <c r="H250" i="3" s="1"/>
  <c r="E230" i="3"/>
  <c r="H230" i="3" s="1"/>
  <c r="E210" i="3"/>
  <c r="H210" i="3" s="1"/>
  <c r="E190" i="3"/>
  <c r="H190" i="3" s="1"/>
  <c r="E170" i="3"/>
  <c r="H170" i="3" s="1"/>
  <c r="E150" i="3"/>
  <c r="H150" i="3" s="1"/>
  <c r="D118" i="3"/>
  <c r="G118" i="3" s="1"/>
  <c r="C112" i="3"/>
  <c r="F112" i="3" s="1"/>
  <c r="E39" i="3"/>
  <c r="H39" i="3" s="1"/>
  <c r="D579" i="3"/>
  <c r="G579" i="3" s="1"/>
  <c r="C526" i="3"/>
  <c r="F526" i="3" s="1"/>
  <c r="C470" i="3"/>
  <c r="F470" i="3" s="1"/>
  <c r="C413" i="3"/>
  <c r="F413" i="3" s="1"/>
  <c r="D387" i="3"/>
  <c r="G387" i="3" s="1"/>
  <c r="C362" i="3"/>
  <c r="F362" i="3" s="1"/>
  <c r="D333" i="3"/>
  <c r="G333" i="3" s="1"/>
  <c r="E284" i="3"/>
  <c r="H284" i="3" s="1"/>
  <c r="C229" i="3"/>
  <c r="F229" i="3" s="1"/>
  <c r="E177" i="3"/>
  <c r="H177" i="3" s="1"/>
  <c r="E124" i="3"/>
  <c r="H124" i="3" s="1"/>
  <c r="D61" i="3"/>
  <c r="G61" i="3" s="1"/>
  <c r="E84" i="3"/>
  <c r="H84" i="3" s="1"/>
  <c r="E259" i="3"/>
  <c r="H259" i="3" s="1"/>
  <c r="C228" i="3"/>
  <c r="F228" i="3" s="1"/>
  <c r="C196" i="3"/>
  <c r="F196" i="3" s="1"/>
  <c r="E588" i="3"/>
  <c r="H588" i="3" s="1"/>
  <c r="E556" i="3"/>
  <c r="H556" i="3" s="1"/>
  <c r="E524" i="3"/>
  <c r="H524" i="3" s="1"/>
  <c r="E492" i="3"/>
  <c r="H492" i="3" s="1"/>
  <c r="E460" i="3"/>
  <c r="H460" i="3" s="1"/>
  <c r="E428" i="3"/>
  <c r="H428" i="3" s="1"/>
  <c r="D404" i="3"/>
  <c r="G404" i="3" s="1"/>
  <c r="C387" i="3"/>
  <c r="F387" i="3" s="1"/>
  <c r="E366" i="3"/>
  <c r="H366" i="3" s="1"/>
  <c r="D328" i="3"/>
  <c r="G328" i="3" s="1"/>
  <c r="D308" i="3"/>
  <c r="G308" i="3" s="1"/>
  <c r="D288" i="3"/>
  <c r="G288" i="3" s="1"/>
  <c r="D268" i="3"/>
  <c r="G268" i="3" s="1"/>
  <c r="D248" i="3"/>
  <c r="G248" i="3" s="1"/>
  <c r="D228" i="3"/>
  <c r="G228" i="3" s="1"/>
  <c r="D208" i="3"/>
  <c r="G208" i="3" s="1"/>
  <c r="D188" i="3"/>
  <c r="G188" i="3" s="1"/>
  <c r="D168" i="3"/>
  <c r="G168" i="3" s="1"/>
  <c r="D148" i="3"/>
  <c r="G148" i="3" s="1"/>
  <c r="E114" i="3"/>
  <c r="H114" i="3" s="1"/>
  <c r="E50" i="3"/>
  <c r="H50" i="3" s="1"/>
  <c r="E107" i="3"/>
  <c r="H107" i="3" s="1"/>
  <c r="D18" i="3"/>
  <c r="G18" i="3" s="1"/>
  <c r="C574" i="3"/>
  <c r="F574" i="3" s="1"/>
  <c r="D517" i="3"/>
  <c r="G517" i="3" s="1"/>
  <c r="D461" i="3"/>
  <c r="G461" i="3" s="1"/>
  <c r="E412" i="3"/>
  <c r="H412" i="3" s="1"/>
  <c r="C386" i="3"/>
  <c r="F386" i="3" s="1"/>
  <c r="D357" i="3"/>
  <c r="G357" i="3" s="1"/>
  <c r="D331" i="3"/>
  <c r="G331" i="3" s="1"/>
  <c r="C277" i="3"/>
  <c r="F277" i="3" s="1"/>
  <c r="E225" i="3"/>
  <c r="H225" i="3" s="1"/>
  <c r="E172" i="3"/>
  <c r="H172" i="3" s="1"/>
  <c r="C117" i="3"/>
  <c r="F117" i="3" s="1"/>
  <c r="C58" i="3"/>
  <c r="F58" i="3" s="1"/>
  <c r="C73" i="3"/>
  <c r="F73" i="3" s="1"/>
  <c r="E191" i="3"/>
  <c r="H191" i="3" s="1"/>
  <c r="E159" i="3"/>
  <c r="H159" i="3" s="1"/>
  <c r="D586" i="3"/>
  <c r="G586" i="3" s="1"/>
  <c r="D554" i="3"/>
  <c r="G554" i="3" s="1"/>
  <c r="D522" i="3"/>
  <c r="G522" i="3" s="1"/>
  <c r="D490" i="3"/>
  <c r="G490" i="3" s="1"/>
  <c r="D458" i="3"/>
  <c r="G458" i="3" s="1"/>
  <c r="D426" i="3"/>
  <c r="G426" i="3" s="1"/>
  <c r="D402" i="3"/>
  <c r="G402" i="3" s="1"/>
  <c r="D384" i="3"/>
  <c r="G384" i="3" s="1"/>
  <c r="C367" i="3"/>
  <c r="F367" i="3" s="1"/>
  <c r="D346" i="3"/>
  <c r="G346" i="3" s="1"/>
  <c r="D326" i="3"/>
  <c r="G326" i="3" s="1"/>
  <c r="D306" i="3"/>
  <c r="G306" i="3" s="1"/>
  <c r="D286" i="3"/>
  <c r="G286" i="3" s="1"/>
  <c r="D266" i="3"/>
  <c r="G266" i="3" s="1"/>
  <c r="D246" i="3"/>
  <c r="G246" i="3" s="1"/>
  <c r="D226" i="3"/>
  <c r="G226" i="3" s="1"/>
  <c r="D206" i="3"/>
  <c r="G206" i="3" s="1"/>
  <c r="D186" i="3"/>
  <c r="G186" i="3" s="1"/>
  <c r="D166" i="3"/>
  <c r="G166" i="3" s="1"/>
  <c r="D146" i="3"/>
  <c r="G146" i="3" s="1"/>
  <c r="D110" i="3"/>
  <c r="G110" i="3" s="1"/>
  <c r="C51" i="3"/>
  <c r="F51" i="3" s="1"/>
  <c r="C104" i="3"/>
  <c r="F104" i="3" s="1"/>
  <c r="C35" i="3"/>
  <c r="F35" i="3" s="1"/>
  <c r="C565" i="3"/>
  <c r="F565" i="3" s="1"/>
  <c r="D515" i="3"/>
  <c r="G515" i="3" s="1"/>
  <c r="D459" i="3"/>
  <c r="G459" i="3" s="1"/>
  <c r="D409" i="3"/>
  <c r="G409" i="3" s="1"/>
  <c r="C381" i="3"/>
  <c r="F381" i="3" s="1"/>
  <c r="E356" i="3"/>
  <c r="H356" i="3" s="1"/>
  <c r="E329" i="3"/>
  <c r="H329" i="3" s="1"/>
  <c r="E276" i="3"/>
  <c r="H276" i="3" s="1"/>
  <c r="C221" i="3"/>
  <c r="F221" i="3" s="1"/>
  <c r="E169" i="3"/>
  <c r="H169" i="3" s="1"/>
  <c r="E116" i="3"/>
  <c r="H116" i="3" s="1"/>
  <c r="E53" i="3"/>
  <c r="H53" i="3" s="1"/>
  <c r="D64" i="3"/>
  <c r="G64" i="3" s="1"/>
  <c r="C224" i="3"/>
  <c r="F224" i="3" s="1"/>
  <c r="E187" i="3"/>
  <c r="H187" i="3" s="1"/>
  <c r="C580" i="3"/>
  <c r="F580" i="3" s="1"/>
  <c r="C548" i="3"/>
  <c r="F548" i="3" s="1"/>
  <c r="C516" i="3"/>
  <c r="F516" i="3" s="1"/>
  <c r="C484" i="3"/>
  <c r="F484" i="3" s="1"/>
  <c r="C452" i="3"/>
  <c r="F452" i="3" s="1"/>
  <c r="C420" i="3"/>
  <c r="F420" i="3" s="1"/>
  <c r="C403" i="3"/>
  <c r="F403" i="3" s="1"/>
  <c r="E382" i="3"/>
  <c r="H382" i="3" s="1"/>
  <c r="C347" i="3"/>
  <c r="F347" i="3" s="1"/>
  <c r="C327" i="3"/>
  <c r="F327" i="3" s="1"/>
  <c r="C307" i="3"/>
  <c r="F307" i="3" s="1"/>
  <c r="C287" i="3"/>
  <c r="F287" i="3" s="1"/>
  <c r="C267" i="3"/>
  <c r="F267" i="3" s="1"/>
  <c r="C247" i="3"/>
  <c r="F247" i="3" s="1"/>
  <c r="C227" i="3"/>
  <c r="F227" i="3" s="1"/>
  <c r="C207" i="3"/>
  <c r="F207" i="3" s="1"/>
  <c r="C187" i="3"/>
  <c r="F187" i="3" s="1"/>
  <c r="C167" i="3"/>
  <c r="F167" i="3" s="1"/>
  <c r="C147" i="3"/>
  <c r="F147" i="3" s="1"/>
  <c r="E106" i="3"/>
  <c r="H106" i="3" s="1"/>
  <c r="C100" i="3"/>
  <c r="F100" i="3" s="1"/>
  <c r="E31" i="3"/>
  <c r="H31" i="3" s="1"/>
  <c r="D563" i="3"/>
  <c r="G563" i="3" s="1"/>
  <c r="E509" i="3"/>
  <c r="H509" i="3" s="1"/>
  <c r="E453" i="3"/>
  <c r="H453" i="3" s="1"/>
  <c r="C405" i="3"/>
  <c r="F405" i="3" s="1"/>
  <c r="E380" i="3"/>
  <c r="H380" i="3" s="1"/>
  <c r="E353" i="3"/>
  <c r="H353" i="3" s="1"/>
  <c r="E324" i="3"/>
  <c r="H324" i="3" s="1"/>
  <c r="C269" i="3"/>
  <c r="F269" i="3" s="1"/>
  <c r="E217" i="3"/>
  <c r="H217" i="3" s="1"/>
  <c r="E164" i="3"/>
  <c r="H164" i="3" s="1"/>
  <c r="D107" i="3"/>
  <c r="G107" i="3" s="1"/>
  <c r="D47" i="3"/>
  <c r="G47" i="3" s="1"/>
  <c r="E52" i="3"/>
  <c r="H52" i="3" s="1"/>
  <c r="E219" i="3"/>
  <c r="H219" i="3" s="1"/>
  <c r="E183" i="3"/>
  <c r="H183" i="3" s="1"/>
  <c r="E580" i="3"/>
  <c r="H580" i="3" s="1"/>
  <c r="E548" i="3"/>
  <c r="H548" i="3" s="1"/>
  <c r="E516" i="3"/>
  <c r="H516" i="3" s="1"/>
  <c r="E484" i="3"/>
  <c r="H484" i="3" s="1"/>
  <c r="E452" i="3"/>
  <c r="H452" i="3" s="1"/>
  <c r="E420" i="3"/>
  <c r="H420" i="3" s="1"/>
  <c r="D398" i="3"/>
  <c r="G398" i="3" s="1"/>
  <c r="D380" i="3"/>
  <c r="G380" i="3" s="1"/>
  <c r="E362" i="3"/>
  <c r="H362" i="3" s="1"/>
  <c r="D342" i="3"/>
  <c r="G342" i="3" s="1"/>
  <c r="D322" i="3"/>
  <c r="G322" i="3" s="1"/>
  <c r="D302" i="3"/>
  <c r="G302" i="3" s="1"/>
  <c r="D282" i="3"/>
  <c r="G282" i="3" s="1"/>
  <c r="D262" i="3"/>
  <c r="G262" i="3" s="1"/>
  <c r="D242" i="3"/>
  <c r="G242" i="3" s="1"/>
  <c r="D222" i="3"/>
  <c r="G222" i="3" s="1"/>
  <c r="D202" i="3"/>
  <c r="G202" i="3" s="1"/>
  <c r="D182" i="3"/>
  <c r="G182" i="3" s="1"/>
  <c r="D162" i="3"/>
  <c r="G162" i="3" s="1"/>
  <c r="D142" i="3"/>
  <c r="G142" i="3" s="1"/>
  <c r="E102" i="3"/>
  <c r="H102" i="3" s="1"/>
  <c r="D38" i="3"/>
  <c r="G38" i="3" s="1"/>
  <c r="D94" i="3"/>
  <c r="G94" i="3" s="1"/>
  <c r="C28" i="3"/>
  <c r="F28" i="3" s="1"/>
  <c r="E557" i="3"/>
  <c r="H557" i="3" s="1"/>
  <c r="C501" i="3"/>
  <c r="F501" i="3" s="1"/>
  <c r="C445" i="3"/>
  <c r="F445" i="3" s="1"/>
  <c r="E404" i="3"/>
  <c r="H404" i="3" s="1"/>
  <c r="E377" i="3"/>
  <c r="H377" i="3" s="1"/>
  <c r="C349" i="3"/>
  <c r="F349" i="3" s="1"/>
  <c r="C317" i="3"/>
  <c r="F317" i="3" s="1"/>
  <c r="E265" i="3"/>
  <c r="H265" i="3" s="1"/>
  <c r="E212" i="3"/>
  <c r="H212" i="3" s="1"/>
  <c r="C157" i="3"/>
  <c r="F157" i="3" s="1"/>
  <c r="D101" i="3"/>
  <c r="G101" i="3" s="1"/>
  <c r="C42" i="3"/>
  <c r="F42" i="3" s="1"/>
  <c r="E43" i="3"/>
  <c r="H43" i="3" s="1"/>
  <c r="C220" i="3"/>
  <c r="F220" i="3" s="1"/>
  <c r="C184" i="3"/>
  <c r="F184" i="3" s="1"/>
  <c r="E151" i="3"/>
  <c r="H151" i="3" s="1"/>
  <c r="D578" i="3"/>
  <c r="G578" i="3" s="1"/>
  <c r="D546" i="3"/>
  <c r="G546" i="3" s="1"/>
  <c r="D514" i="3"/>
  <c r="G514" i="3" s="1"/>
  <c r="D482" i="3"/>
  <c r="G482" i="3" s="1"/>
  <c r="D450" i="3"/>
  <c r="G450" i="3" s="1"/>
  <c r="D418" i="3"/>
  <c r="G418" i="3" s="1"/>
  <c r="E398" i="3"/>
  <c r="H398" i="3" s="1"/>
  <c r="C363" i="3"/>
  <c r="F363" i="3" s="1"/>
  <c r="E342" i="3"/>
  <c r="H342" i="3" s="1"/>
  <c r="E322" i="3"/>
  <c r="H322" i="3" s="1"/>
  <c r="E302" i="3"/>
  <c r="H302" i="3" s="1"/>
  <c r="E282" i="3"/>
  <c r="H282" i="3" s="1"/>
  <c r="E262" i="3"/>
  <c r="H262" i="3" s="1"/>
  <c r="E242" i="3"/>
  <c r="H242" i="3" s="1"/>
  <c r="E222" i="3"/>
  <c r="H222" i="3" s="1"/>
  <c r="E202" i="3"/>
  <c r="H202" i="3" s="1"/>
  <c r="E182" i="3"/>
  <c r="H182" i="3" s="1"/>
  <c r="E162" i="3"/>
  <c r="H162" i="3" s="1"/>
  <c r="E142" i="3"/>
  <c r="H142" i="3" s="1"/>
  <c r="C103" i="3"/>
  <c r="F103" i="3" s="1"/>
  <c r="E34" i="3"/>
  <c r="H34" i="3" s="1"/>
  <c r="D88" i="3"/>
  <c r="G88" i="3" s="1"/>
  <c r="C23" i="3"/>
  <c r="F23" i="3" s="1"/>
  <c r="C558" i="3"/>
  <c r="F558" i="3" s="1"/>
  <c r="D501" i="3"/>
  <c r="G501" i="3" s="1"/>
  <c r="D445" i="3"/>
  <c r="G445" i="3" s="1"/>
  <c r="D403" i="3"/>
  <c r="G403" i="3" s="1"/>
  <c r="C378" i="3"/>
  <c r="F378" i="3" s="1"/>
  <c r="D349" i="3"/>
  <c r="G349" i="3" s="1"/>
  <c r="E316" i="3"/>
  <c r="H316" i="3" s="1"/>
  <c r="C261" i="3"/>
  <c r="F261" i="3" s="1"/>
  <c r="E209" i="3"/>
  <c r="H209" i="3" s="1"/>
  <c r="E156" i="3"/>
  <c r="H156" i="3" s="1"/>
  <c r="D99" i="3"/>
  <c r="G99" i="3" s="1"/>
  <c r="C38" i="3"/>
  <c r="F38" i="3" s="1"/>
  <c r="C41" i="3"/>
  <c r="F41" i="3" s="1"/>
  <c r="E247" i="3"/>
  <c r="H247" i="3" s="1"/>
  <c r="E215" i="3"/>
  <c r="H215" i="3" s="1"/>
  <c r="C152" i="3"/>
  <c r="F152" i="3" s="1"/>
  <c r="E575" i="3"/>
  <c r="H575" i="3" s="1"/>
  <c r="E543" i="3"/>
  <c r="H543" i="3" s="1"/>
  <c r="E511" i="3"/>
  <c r="H511" i="3" s="1"/>
  <c r="E479" i="3"/>
  <c r="H479" i="3" s="1"/>
  <c r="E447" i="3"/>
  <c r="H447" i="3" s="1"/>
  <c r="D416" i="3"/>
  <c r="G416" i="3" s="1"/>
  <c r="C399" i="3"/>
  <c r="F399" i="3" s="1"/>
  <c r="D378" i="3"/>
  <c r="G378" i="3" s="1"/>
  <c r="D360" i="3"/>
  <c r="G360" i="3" s="1"/>
  <c r="C343" i="3"/>
  <c r="F343" i="3" s="1"/>
  <c r="C323" i="3"/>
  <c r="F323" i="3" s="1"/>
  <c r="C303" i="3"/>
  <c r="F303" i="3" s="1"/>
  <c r="C283" i="3"/>
  <c r="F283" i="3" s="1"/>
  <c r="C263" i="3"/>
  <c r="F263" i="3" s="1"/>
  <c r="C243" i="3"/>
  <c r="F243" i="3" s="1"/>
  <c r="C223" i="3"/>
  <c r="F223" i="3" s="1"/>
  <c r="C203" i="3"/>
  <c r="F203" i="3" s="1"/>
  <c r="C183" i="3"/>
  <c r="F183" i="3" s="1"/>
  <c r="C163" i="3"/>
  <c r="F163" i="3" s="1"/>
  <c r="C143" i="3"/>
  <c r="F143" i="3" s="1"/>
  <c r="C99" i="3"/>
  <c r="F99" i="3" s="1"/>
  <c r="D86" i="3"/>
  <c r="G86" i="3" s="1"/>
  <c r="E18" i="3"/>
  <c r="H18" i="3" s="1"/>
  <c r="C549" i="3"/>
  <c r="F549" i="3" s="1"/>
  <c r="D499" i="3"/>
  <c r="G499" i="3" s="1"/>
  <c r="D443" i="3"/>
  <c r="G443" i="3" s="1"/>
  <c r="E401" i="3"/>
  <c r="H401" i="3" s="1"/>
  <c r="C373" i="3"/>
  <c r="F373" i="3" s="1"/>
  <c r="E348" i="3"/>
  <c r="H348" i="3" s="1"/>
  <c r="E313" i="3"/>
  <c r="H313" i="3" s="1"/>
  <c r="E260" i="3"/>
  <c r="H260" i="3" s="1"/>
  <c r="C205" i="3"/>
  <c r="F205" i="3" s="1"/>
  <c r="E153" i="3"/>
  <c r="H153" i="3" s="1"/>
  <c r="C98" i="3"/>
  <c r="F98" i="3" s="1"/>
  <c r="D31" i="3"/>
  <c r="G31" i="3" s="1"/>
  <c r="C37" i="3"/>
  <c r="F37" i="3" s="1"/>
  <c r="D318" i="3"/>
  <c r="G318" i="3" s="1"/>
  <c r="D298" i="3"/>
  <c r="G298" i="3" s="1"/>
  <c r="D278" i="3"/>
  <c r="G278" i="3" s="1"/>
  <c r="D258" i="3"/>
  <c r="G258" i="3" s="1"/>
  <c r="D238" i="3"/>
  <c r="G238" i="3" s="1"/>
  <c r="D218" i="3"/>
  <c r="G218" i="3" s="1"/>
  <c r="D198" i="3"/>
  <c r="G198" i="3" s="1"/>
  <c r="D178" i="3"/>
  <c r="G178" i="3" s="1"/>
  <c r="D158" i="3"/>
  <c r="G158" i="3" s="1"/>
  <c r="D138" i="3"/>
  <c r="G138" i="3" s="1"/>
  <c r="C95" i="3"/>
  <c r="F95" i="3" s="1"/>
  <c r="C136" i="3"/>
  <c r="F136" i="3" s="1"/>
  <c r="C76" i="3"/>
  <c r="F76" i="3" s="1"/>
  <c r="C4" i="3"/>
  <c r="F4" i="3" s="1"/>
  <c r="D547" i="3"/>
  <c r="G547" i="3" s="1"/>
  <c r="E493" i="3"/>
  <c r="H493" i="3" s="1"/>
  <c r="E437" i="3"/>
  <c r="H437" i="3" s="1"/>
  <c r="C397" i="3"/>
  <c r="F397" i="3" s="1"/>
  <c r="E372" i="3"/>
  <c r="H372" i="3" s="1"/>
  <c r="E345" i="3"/>
  <c r="H345" i="3" s="1"/>
  <c r="E308" i="3"/>
  <c r="H308" i="3" s="1"/>
  <c r="C253" i="3"/>
  <c r="F253" i="3" s="1"/>
  <c r="E201" i="3"/>
  <c r="H201" i="3" s="1"/>
  <c r="E148" i="3"/>
  <c r="H148" i="3" s="1"/>
  <c r="D89" i="3"/>
  <c r="G89" i="3" s="1"/>
  <c r="E25" i="3"/>
  <c r="H25" i="3" s="1"/>
  <c r="C24" i="3"/>
  <c r="F24" i="3" s="1"/>
  <c r="E239" i="3"/>
  <c r="H239" i="3" s="1"/>
  <c r="C176" i="3"/>
  <c r="F176" i="3" s="1"/>
  <c r="C144" i="3"/>
  <c r="F144" i="3" s="1"/>
  <c r="E567" i="3"/>
  <c r="H567" i="3" s="1"/>
  <c r="E535" i="3"/>
  <c r="H535" i="3" s="1"/>
  <c r="E503" i="3"/>
  <c r="H503" i="3" s="1"/>
  <c r="E471" i="3"/>
  <c r="H471" i="3" s="1"/>
  <c r="E439" i="3"/>
  <c r="H439" i="3" s="1"/>
  <c r="D412" i="3"/>
  <c r="G412" i="3" s="1"/>
  <c r="C395" i="3"/>
  <c r="F395" i="3" s="1"/>
  <c r="E374" i="3"/>
  <c r="H374" i="3" s="1"/>
  <c r="D354" i="3"/>
  <c r="G354" i="3" s="1"/>
  <c r="D336" i="3"/>
  <c r="G336" i="3" s="1"/>
  <c r="D316" i="3"/>
  <c r="G316" i="3" s="1"/>
  <c r="D296" i="3"/>
  <c r="G296" i="3" s="1"/>
  <c r="D276" i="3"/>
  <c r="G276" i="3" s="1"/>
  <c r="D256" i="3"/>
  <c r="G256" i="3" s="1"/>
  <c r="D236" i="3"/>
  <c r="G236" i="3" s="1"/>
  <c r="D216" i="3"/>
  <c r="G216" i="3" s="1"/>
  <c r="D196" i="3"/>
  <c r="G196" i="3" s="1"/>
  <c r="D176" i="3"/>
  <c r="G176" i="3" s="1"/>
  <c r="D156" i="3"/>
  <c r="G156" i="3" s="1"/>
  <c r="E134" i="3"/>
  <c r="H134" i="3" s="1"/>
  <c r="E74" i="3"/>
  <c r="H74" i="3" s="1"/>
  <c r="C128" i="3"/>
  <c r="F128" i="3" s="1"/>
  <c r="E63" i="3"/>
  <c r="H63" i="3" s="1"/>
  <c r="D595" i="3"/>
  <c r="G595" i="3" s="1"/>
  <c r="C542" i="3"/>
  <c r="F542" i="3" s="1"/>
  <c r="E485" i="3"/>
  <c r="H485" i="3" s="1"/>
  <c r="D429" i="3"/>
  <c r="G429" i="3" s="1"/>
  <c r="D395" i="3"/>
  <c r="G395" i="3" s="1"/>
  <c r="C370" i="3"/>
  <c r="F370" i="3" s="1"/>
  <c r="D341" i="3"/>
  <c r="G341" i="3" s="1"/>
  <c r="E300" i="3"/>
  <c r="H300" i="3" s="1"/>
  <c r="C245" i="3"/>
  <c r="F245" i="3" s="1"/>
  <c r="E193" i="3"/>
  <c r="H193" i="3" s="1"/>
  <c r="E140" i="3"/>
  <c r="H140" i="3" s="1"/>
  <c r="C82" i="3"/>
  <c r="F82" i="3" s="1"/>
  <c r="D13" i="3"/>
  <c r="G13" i="3" s="1"/>
  <c r="D6" i="3"/>
  <c r="G6" i="3" s="1"/>
  <c r="C11" i="3"/>
  <c r="F11" i="3" s="1"/>
  <c r="C806" i="3"/>
  <c r="F806" i="3" s="1"/>
  <c r="C15" i="3"/>
  <c r="F15" i="3" s="1"/>
  <c r="C993" i="3"/>
  <c r="F993" i="3" s="1"/>
  <c r="E802" i="3"/>
  <c r="H802" i="3" s="1"/>
  <c r="E1476" i="3"/>
  <c r="H1476" i="3" s="1"/>
  <c r="C3" i="3"/>
  <c r="F3" i="3" s="1"/>
  <c r="D3" i="3"/>
  <c r="G3" i="3" s="1"/>
  <c r="E599" i="3"/>
  <c r="H599" i="3" s="1"/>
  <c r="C1078" i="3"/>
  <c r="F1078" i="3" s="1"/>
  <c r="C856" i="3"/>
  <c r="F856" i="3" s="1"/>
  <c r="E7" i="3"/>
  <c r="H7" i="3" s="1"/>
  <c r="E11" i="3"/>
  <c r="H11" i="3" s="1"/>
  <c r="E15" i="3"/>
  <c r="H15" i="3" s="1"/>
  <c r="E19" i="3"/>
  <c r="H19" i="3" s="1"/>
  <c r="D33" i="3"/>
  <c r="G33" i="3" s="1"/>
  <c r="E8" i="3"/>
  <c r="H8" i="3" s="1"/>
  <c r="E16" i="3"/>
  <c r="H16" i="3" s="1"/>
  <c r="E24" i="3"/>
  <c r="H24" i="3" s="1"/>
  <c r="D30" i="3"/>
  <c r="G30" i="3" s="1"/>
  <c r="C32" i="3"/>
  <c r="F32" i="3" s="1"/>
  <c r="D36" i="3"/>
  <c r="G36" i="3" s="1"/>
  <c r="D40" i="3"/>
  <c r="G40" i="3" s="1"/>
  <c r="E44" i="3"/>
  <c r="H44" i="3" s="1"/>
  <c r="D50" i="3"/>
  <c r="G50" i="3" s="1"/>
  <c r="C52" i="3"/>
  <c r="F52" i="3" s="1"/>
  <c r="C65" i="3"/>
  <c r="F65" i="3" s="1"/>
  <c r="E67" i="3"/>
  <c r="H67" i="3" s="1"/>
  <c r="D72" i="3"/>
  <c r="G72" i="3" s="1"/>
  <c r="D82" i="3"/>
  <c r="G82" i="3" s="1"/>
  <c r="C84" i="3"/>
  <c r="F84" i="3" s="1"/>
  <c r="D92" i="3"/>
  <c r="G92" i="3" s="1"/>
  <c r="C109" i="3"/>
  <c r="F109" i="3" s="1"/>
  <c r="E4" i="3"/>
  <c r="H4" i="3" s="1"/>
  <c r="C10" i="3"/>
  <c r="F10" i="3" s="1"/>
  <c r="C14" i="3"/>
  <c r="F14" i="3" s="1"/>
  <c r="C18" i="3"/>
  <c r="F18" i="3" s="1"/>
  <c r="C22" i="3"/>
  <c r="F22" i="3" s="1"/>
  <c r="D23" i="3"/>
  <c r="G23" i="3" s="1"/>
  <c r="D27" i="3"/>
  <c r="G27" i="3" s="1"/>
  <c r="D29" i="3"/>
  <c r="G29" i="3" s="1"/>
  <c r="E33" i="3"/>
  <c r="H33" i="3" s="1"/>
  <c r="D37" i="3"/>
  <c r="G37" i="3" s="1"/>
  <c r="D41" i="3"/>
  <c r="G41" i="3" s="1"/>
  <c r="D45" i="3"/>
  <c r="G45" i="3" s="1"/>
  <c r="C50" i="3"/>
  <c r="F50" i="3" s="1"/>
  <c r="D51" i="3"/>
  <c r="G51" i="3" s="1"/>
  <c r="D55" i="3"/>
  <c r="G55" i="3" s="1"/>
  <c r="D57" i="3"/>
  <c r="G57" i="3" s="1"/>
  <c r="C62" i="3"/>
  <c r="F62" i="3" s="1"/>
  <c r="D63" i="3"/>
  <c r="G63" i="3" s="1"/>
  <c r="D67" i="3"/>
  <c r="G67" i="3" s="1"/>
  <c r="D69" i="3"/>
  <c r="G69" i="3" s="1"/>
  <c r="E73" i="3"/>
  <c r="H73" i="3" s="1"/>
  <c r="C78" i="3"/>
  <c r="F78" i="3" s="1"/>
  <c r="D79" i="3"/>
  <c r="G79" i="3" s="1"/>
  <c r="D81" i="3"/>
  <c r="G81" i="3" s="1"/>
  <c r="E85" i="3"/>
  <c r="H85" i="3" s="1"/>
  <c r="C90" i="3"/>
  <c r="F90" i="3" s="1"/>
  <c r="D91" i="3"/>
  <c r="G91" i="3" s="1"/>
  <c r="D95" i="3"/>
  <c r="G95" i="3" s="1"/>
  <c r="D97" i="3"/>
  <c r="G97" i="3" s="1"/>
  <c r="C102" i="3"/>
  <c r="F102" i="3" s="1"/>
  <c r="D103" i="3"/>
  <c r="G103" i="3" s="1"/>
  <c r="D105" i="3"/>
  <c r="G105" i="3" s="1"/>
  <c r="E109" i="3"/>
  <c r="H109" i="3" s="1"/>
  <c r="E112" i="3"/>
  <c r="H112" i="3" s="1"/>
  <c r="C113" i="3"/>
  <c r="F113" i="3" s="1"/>
  <c r="E117" i="3"/>
  <c r="H117" i="3" s="1"/>
  <c r="E120" i="3"/>
  <c r="H120" i="3" s="1"/>
  <c r="C121" i="3"/>
  <c r="F121" i="3" s="1"/>
  <c r="E125" i="3"/>
  <c r="H125" i="3" s="1"/>
  <c r="E128" i="3"/>
  <c r="H128" i="3" s="1"/>
  <c r="C129" i="3"/>
  <c r="F129" i="3" s="1"/>
  <c r="E133" i="3"/>
  <c r="H133" i="3" s="1"/>
  <c r="E136" i="3"/>
  <c r="H136" i="3" s="1"/>
  <c r="C137" i="3"/>
  <c r="F137" i="3" s="1"/>
  <c r="E141" i="3"/>
  <c r="H141" i="3" s="1"/>
  <c r="E144" i="3"/>
  <c r="H144" i="3" s="1"/>
  <c r="C145" i="3"/>
  <c r="F145" i="3" s="1"/>
  <c r="E149" i="3"/>
  <c r="H149" i="3" s="1"/>
  <c r="E152" i="3"/>
  <c r="H152" i="3" s="1"/>
  <c r="C153" i="3"/>
  <c r="F153" i="3" s="1"/>
  <c r="E157" i="3"/>
  <c r="H157" i="3" s="1"/>
  <c r="E160" i="3"/>
  <c r="H160" i="3" s="1"/>
  <c r="C161" i="3"/>
  <c r="F161" i="3" s="1"/>
  <c r="E165" i="3"/>
  <c r="H165" i="3" s="1"/>
  <c r="E168" i="3"/>
  <c r="H168" i="3" s="1"/>
  <c r="C169" i="3"/>
  <c r="F169" i="3" s="1"/>
  <c r="E173" i="3"/>
  <c r="H173" i="3" s="1"/>
  <c r="E176" i="3"/>
  <c r="H176" i="3" s="1"/>
  <c r="C177" i="3"/>
  <c r="F177" i="3" s="1"/>
  <c r="E181" i="3"/>
  <c r="H181" i="3" s="1"/>
  <c r="E184" i="3"/>
  <c r="H184" i="3" s="1"/>
  <c r="C185" i="3"/>
  <c r="F185" i="3" s="1"/>
  <c r="E189" i="3"/>
  <c r="H189" i="3" s="1"/>
  <c r="E192" i="3"/>
  <c r="H192" i="3" s="1"/>
  <c r="C193" i="3"/>
  <c r="F193" i="3" s="1"/>
  <c r="E197" i="3"/>
  <c r="H197" i="3" s="1"/>
  <c r="E200" i="3"/>
  <c r="H200" i="3" s="1"/>
  <c r="C201" i="3"/>
  <c r="F201" i="3" s="1"/>
  <c r="E205" i="3"/>
  <c r="H205" i="3" s="1"/>
  <c r="E208" i="3"/>
  <c r="H208" i="3" s="1"/>
  <c r="C209" i="3"/>
  <c r="F209" i="3" s="1"/>
  <c r="E213" i="3"/>
  <c r="H213" i="3" s="1"/>
  <c r="E216" i="3"/>
  <c r="H216" i="3" s="1"/>
  <c r="C217" i="3"/>
  <c r="F217" i="3" s="1"/>
  <c r="E221" i="3"/>
  <c r="H221" i="3" s="1"/>
  <c r="E224" i="3"/>
  <c r="H224" i="3" s="1"/>
  <c r="C225" i="3"/>
  <c r="F225" i="3" s="1"/>
  <c r="E229" i="3"/>
  <c r="H229" i="3" s="1"/>
  <c r="E232" i="3"/>
  <c r="H232" i="3" s="1"/>
  <c r="C233" i="3"/>
  <c r="F233" i="3" s="1"/>
  <c r="E237" i="3"/>
  <c r="H237" i="3" s="1"/>
  <c r="E240" i="3"/>
  <c r="H240" i="3" s="1"/>
  <c r="C241" i="3"/>
  <c r="F241" i="3" s="1"/>
  <c r="E245" i="3"/>
  <c r="H245" i="3" s="1"/>
  <c r="E248" i="3"/>
  <c r="H248" i="3" s="1"/>
  <c r="C249" i="3"/>
  <c r="F249" i="3" s="1"/>
  <c r="E253" i="3"/>
  <c r="H253" i="3" s="1"/>
  <c r="E256" i="3"/>
  <c r="H256" i="3" s="1"/>
  <c r="C257" i="3"/>
  <c r="F257" i="3" s="1"/>
  <c r="E261" i="3"/>
  <c r="H261" i="3" s="1"/>
  <c r="E264" i="3"/>
  <c r="H264" i="3" s="1"/>
  <c r="C265" i="3"/>
  <c r="F265" i="3" s="1"/>
  <c r="E269" i="3"/>
  <c r="H269" i="3" s="1"/>
  <c r="E272" i="3"/>
  <c r="H272" i="3" s="1"/>
  <c r="C273" i="3"/>
  <c r="F273" i="3" s="1"/>
  <c r="E277" i="3"/>
  <c r="H277" i="3" s="1"/>
  <c r="E280" i="3"/>
  <c r="H280" i="3" s="1"/>
  <c r="C281" i="3"/>
  <c r="F281" i="3" s="1"/>
  <c r="E285" i="3"/>
  <c r="H285" i="3" s="1"/>
  <c r="E288" i="3"/>
  <c r="H288" i="3" s="1"/>
  <c r="C289" i="3"/>
  <c r="F289" i="3" s="1"/>
  <c r="E293" i="3"/>
  <c r="H293" i="3" s="1"/>
  <c r="E296" i="3"/>
  <c r="H296" i="3" s="1"/>
  <c r="C297" i="3"/>
  <c r="F297" i="3" s="1"/>
  <c r="E301" i="3"/>
  <c r="H301" i="3" s="1"/>
  <c r="E304" i="3"/>
  <c r="H304" i="3" s="1"/>
  <c r="C305" i="3"/>
  <c r="F305" i="3" s="1"/>
  <c r="E309" i="3"/>
  <c r="H309" i="3" s="1"/>
  <c r="E312" i="3"/>
  <c r="H312" i="3" s="1"/>
  <c r="C313" i="3"/>
  <c r="F313" i="3" s="1"/>
  <c r="E317" i="3"/>
  <c r="H317" i="3" s="1"/>
  <c r="E320" i="3"/>
  <c r="H320" i="3" s="1"/>
  <c r="C321" i="3"/>
  <c r="F321" i="3" s="1"/>
  <c r="E325" i="3"/>
  <c r="H325" i="3" s="1"/>
  <c r="E328" i="3"/>
  <c r="H328" i="3" s="1"/>
  <c r="C329" i="3"/>
  <c r="F329" i="3" s="1"/>
  <c r="E333" i="3"/>
  <c r="H333" i="3" s="1"/>
  <c r="E336" i="3"/>
  <c r="H336" i="3" s="1"/>
  <c r="C337" i="3"/>
  <c r="F337" i="3" s="1"/>
  <c r="E341" i="3"/>
  <c r="H341" i="3" s="1"/>
  <c r="E344" i="3"/>
  <c r="H344" i="3" s="1"/>
  <c r="C345" i="3"/>
  <c r="F345" i="3" s="1"/>
  <c r="E349" i="3"/>
  <c r="H349" i="3" s="1"/>
  <c r="E352" i="3"/>
  <c r="H352" i="3" s="1"/>
  <c r="C353" i="3"/>
  <c r="F353" i="3" s="1"/>
  <c r="E357" i="3"/>
  <c r="H357" i="3" s="1"/>
  <c r="E360" i="3"/>
  <c r="H360" i="3" s="1"/>
  <c r="C361" i="3"/>
  <c r="F361" i="3" s="1"/>
  <c r="E365" i="3"/>
  <c r="H365" i="3" s="1"/>
  <c r="E368" i="3"/>
  <c r="H368" i="3" s="1"/>
  <c r="C369" i="3"/>
  <c r="F369" i="3" s="1"/>
  <c r="E373" i="3"/>
  <c r="H373" i="3" s="1"/>
  <c r="E376" i="3"/>
  <c r="H376" i="3" s="1"/>
  <c r="C377" i="3"/>
  <c r="F377" i="3" s="1"/>
  <c r="E381" i="3"/>
  <c r="H381" i="3" s="1"/>
  <c r="E384" i="3"/>
  <c r="H384" i="3" s="1"/>
  <c r="C385" i="3"/>
  <c r="F385" i="3" s="1"/>
  <c r="E389" i="3"/>
  <c r="H389" i="3" s="1"/>
  <c r="E392" i="3"/>
  <c r="H392" i="3" s="1"/>
  <c r="C393" i="3"/>
  <c r="F393" i="3" s="1"/>
  <c r="E397" i="3"/>
  <c r="H397" i="3" s="1"/>
  <c r="E400" i="3"/>
  <c r="H400" i="3" s="1"/>
  <c r="C401" i="3"/>
  <c r="F401" i="3" s="1"/>
  <c r="E405" i="3"/>
  <c r="H405" i="3" s="1"/>
  <c r="C410" i="3"/>
  <c r="F410" i="3" s="1"/>
  <c r="D411" i="3"/>
  <c r="G411" i="3" s="1"/>
  <c r="D413" i="3"/>
  <c r="G413" i="3" s="1"/>
  <c r="D419" i="3"/>
  <c r="G419" i="3" s="1"/>
  <c r="C421" i="3"/>
  <c r="F421" i="3" s="1"/>
  <c r="E429" i="3"/>
  <c r="H429" i="3" s="1"/>
  <c r="D435" i="3"/>
  <c r="G435" i="3" s="1"/>
  <c r="C437" i="3"/>
  <c r="F437" i="3" s="1"/>
  <c r="E445" i="3"/>
  <c r="H445" i="3" s="1"/>
  <c r="D451" i="3"/>
  <c r="G451" i="3" s="1"/>
  <c r="C453" i="3"/>
  <c r="F453" i="3" s="1"/>
  <c r="E461" i="3"/>
  <c r="H461" i="3" s="1"/>
  <c r="D467" i="3"/>
  <c r="G467" i="3" s="1"/>
  <c r="E472" i="3"/>
  <c r="H472" i="3" s="1"/>
  <c r="D477" i="3"/>
  <c r="G477" i="3" s="1"/>
  <c r="C486" i="3"/>
  <c r="F486" i="3" s="1"/>
  <c r="D491" i="3"/>
  <c r="G491" i="3" s="1"/>
  <c r="C493" i="3"/>
  <c r="F493" i="3" s="1"/>
  <c r="E501" i="3"/>
  <c r="H501" i="3" s="1"/>
  <c r="D507" i="3"/>
  <c r="G507" i="3" s="1"/>
  <c r="C509" i="3"/>
  <c r="F509" i="3" s="1"/>
  <c r="E517" i="3"/>
  <c r="H517" i="3" s="1"/>
  <c r="D523" i="3"/>
  <c r="G523" i="3" s="1"/>
  <c r="C525" i="3"/>
  <c r="F525" i="3" s="1"/>
  <c r="E533" i="3"/>
  <c r="H533" i="3" s="1"/>
  <c r="D539" i="3"/>
  <c r="G539" i="3" s="1"/>
  <c r="C541" i="3"/>
  <c r="F541" i="3" s="1"/>
  <c r="E549" i="3"/>
  <c r="H549" i="3" s="1"/>
  <c r="D555" i="3"/>
  <c r="G555" i="3" s="1"/>
  <c r="C557" i="3"/>
  <c r="F557" i="3" s="1"/>
  <c r="E565" i="3"/>
  <c r="H565" i="3" s="1"/>
  <c r="D571" i="3"/>
  <c r="G571" i="3" s="1"/>
  <c r="C573" i="3"/>
  <c r="F573" i="3" s="1"/>
  <c r="D581" i="3"/>
  <c r="G581" i="3" s="1"/>
  <c r="C590" i="3"/>
  <c r="F590" i="3" s="1"/>
  <c r="E592" i="3"/>
  <c r="H592" i="3" s="1"/>
  <c r="D597" i="3"/>
  <c r="G597" i="3" s="1"/>
  <c r="E10" i="3"/>
  <c r="H10" i="3" s="1"/>
  <c r="C27" i="3"/>
  <c r="F27" i="3" s="1"/>
  <c r="C31" i="3"/>
  <c r="F31" i="3" s="1"/>
  <c r="D12" i="3"/>
  <c r="G12" i="3" s="1"/>
  <c r="D20" i="3"/>
  <c r="G20" i="3" s="1"/>
  <c r="D54" i="3"/>
  <c r="G54" i="3" s="1"/>
  <c r="C56" i="3"/>
  <c r="F56" i="3" s="1"/>
  <c r="D68" i="3"/>
  <c r="G68" i="3" s="1"/>
  <c r="D76" i="3"/>
  <c r="G76" i="3" s="1"/>
  <c r="E83" i="3"/>
  <c r="H83" i="3" s="1"/>
  <c r="E91" i="3"/>
  <c r="H91" i="3" s="1"/>
  <c r="D100" i="3"/>
  <c r="G100" i="3" s="1"/>
  <c r="D104" i="3"/>
  <c r="G104" i="3" s="1"/>
  <c r="D120" i="3"/>
  <c r="G120" i="3" s="1"/>
  <c r="D136" i="3"/>
  <c r="G136" i="3" s="1"/>
  <c r="D4" i="3"/>
  <c r="G4" i="3" s="1"/>
  <c r="E22" i="3"/>
  <c r="H22" i="3" s="1"/>
  <c r="E42" i="3"/>
  <c r="H42" i="3" s="1"/>
  <c r="E46" i="3"/>
  <c r="H46" i="3" s="1"/>
  <c r="C55" i="3"/>
  <c r="F55" i="3" s="1"/>
  <c r="E58" i="3"/>
  <c r="H58" i="3" s="1"/>
  <c r="C63" i="3"/>
  <c r="F63" i="3" s="1"/>
  <c r="E78" i="3"/>
  <c r="H78" i="3" s="1"/>
  <c r="E82" i="3"/>
  <c r="H82" i="3" s="1"/>
  <c r="E86" i="3"/>
  <c r="H86" i="3" s="1"/>
  <c r="D90" i="3"/>
  <c r="G90" i="3" s="1"/>
  <c r="C111" i="3"/>
  <c r="F111" i="3" s="1"/>
  <c r="C115" i="3"/>
  <c r="F115" i="3" s="1"/>
  <c r="E118" i="3"/>
  <c r="H118" i="3" s="1"/>
  <c r="E122" i="3"/>
  <c r="H122" i="3" s="1"/>
  <c r="E865" i="3"/>
  <c r="H865" i="3" s="1"/>
  <c r="E646" i="3"/>
  <c r="H646" i="3" s="1"/>
  <c r="E481" i="3"/>
  <c r="H481" i="3" s="1"/>
  <c r="E3" i="3"/>
  <c r="H3" i="3" s="1"/>
  <c r="C1032" i="3"/>
  <c r="F1032" i="3" s="1"/>
  <c r="C8" i="3"/>
  <c r="F8" i="3" s="1"/>
  <c r="C12" i="3"/>
  <c r="F12" i="3" s="1"/>
  <c r="C16" i="3"/>
  <c r="F16" i="3" s="1"/>
  <c r="C20" i="3"/>
  <c r="F20" i="3" s="1"/>
  <c r="E26" i="3"/>
  <c r="H26" i="3" s="1"/>
  <c r="C9" i="3"/>
  <c r="F9" i="3" s="1"/>
  <c r="C17" i="3"/>
  <c r="F17" i="3" s="1"/>
  <c r="C25" i="3"/>
  <c r="F25" i="3" s="1"/>
  <c r="E27" i="3"/>
  <c r="H27" i="3" s="1"/>
  <c r="D32" i="3"/>
  <c r="G32" i="3" s="1"/>
  <c r="E36" i="3"/>
  <c r="H36" i="3" s="1"/>
  <c r="E40" i="3"/>
  <c r="H40" i="3" s="1"/>
  <c r="C45" i="3"/>
  <c r="F45" i="3" s="1"/>
  <c r="E47" i="3"/>
  <c r="H47" i="3" s="1"/>
  <c r="D52" i="3"/>
  <c r="G52" i="3" s="1"/>
  <c r="D62" i="3"/>
  <c r="G62" i="3" s="1"/>
  <c r="C64" i="3"/>
  <c r="F64" i="3" s="1"/>
  <c r="E72" i="3"/>
  <c r="H72" i="3" s="1"/>
  <c r="E79" i="3"/>
  <c r="H79" i="3" s="1"/>
  <c r="D84" i="3"/>
  <c r="G84" i="3" s="1"/>
  <c r="E92" i="3"/>
  <c r="H92" i="3" s="1"/>
  <c r="E99" i="3"/>
  <c r="H99" i="3" s="1"/>
  <c r="C108" i="3"/>
  <c r="F108" i="3" s="1"/>
  <c r="C5" i="3"/>
  <c r="F5" i="3" s="1"/>
  <c r="E12" i="3"/>
  <c r="H12" i="3" s="1"/>
  <c r="C13" i="3"/>
  <c r="F13" i="3" s="1"/>
  <c r="E20" i="3"/>
  <c r="H20" i="3" s="1"/>
  <c r="C21" i="3"/>
  <c r="F21" i="3" s="1"/>
  <c r="D25" i="3"/>
  <c r="G25" i="3" s="1"/>
  <c r="E29" i="3"/>
  <c r="H29" i="3" s="1"/>
  <c r="C34" i="3"/>
  <c r="F34" i="3" s="1"/>
  <c r="E37" i="3"/>
  <c r="H37" i="3" s="1"/>
  <c r="E41" i="3"/>
  <c r="H41" i="3" s="1"/>
  <c r="E45" i="3"/>
  <c r="H45" i="3" s="1"/>
  <c r="E48" i="3"/>
  <c r="H48" i="3" s="1"/>
  <c r="C49" i="3"/>
  <c r="F49" i="3" s="1"/>
  <c r="D53" i="3"/>
  <c r="G53" i="3" s="1"/>
  <c r="E57" i="3"/>
  <c r="H57" i="3" s="1"/>
  <c r="E60" i="3"/>
  <c r="H60" i="3" s="1"/>
  <c r="C61" i="3"/>
  <c r="F61" i="3" s="1"/>
  <c r="D65" i="3"/>
  <c r="G65" i="3" s="1"/>
  <c r="E69" i="3"/>
  <c r="H69" i="3" s="1"/>
  <c r="C74" i="3"/>
  <c r="F74" i="3" s="1"/>
  <c r="E76" i="3"/>
  <c r="H76" i="3" s="1"/>
  <c r="C77" i="3"/>
  <c r="F77" i="3" s="1"/>
  <c r="E81" i="3"/>
  <c r="H81" i="3" s="1"/>
  <c r="C86" i="3"/>
  <c r="F86" i="3" s="1"/>
  <c r="E88" i="3"/>
  <c r="H88" i="3" s="1"/>
  <c r="C89" i="3"/>
  <c r="F89" i="3" s="1"/>
  <c r="D93" i="3"/>
  <c r="G93" i="3" s="1"/>
  <c r="E97" i="3"/>
  <c r="H97" i="3" s="1"/>
  <c r="E100" i="3"/>
  <c r="H100" i="3" s="1"/>
  <c r="C101" i="3"/>
  <c r="F101" i="3" s="1"/>
  <c r="E105" i="3"/>
  <c r="H105" i="3" s="1"/>
  <c r="C110" i="3"/>
  <c r="F110" i="3" s="1"/>
  <c r="D111" i="3"/>
  <c r="G111" i="3" s="1"/>
  <c r="D113" i="3"/>
  <c r="G113" i="3" s="1"/>
  <c r="C118" i="3"/>
  <c r="F118" i="3" s="1"/>
  <c r="D119" i="3"/>
  <c r="G119" i="3" s="1"/>
  <c r="D121" i="3"/>
  <c r="G121" i="3" s="1"/>
  <c r="C126" i="3"/>
  <c r="F126" i="3" s="1"/>
  <c r="D127" i="3"/>
  <c r="G127" i="3" s="1"/>
  <c r="D129" i="3"/>
  <c r="G129" i="3" s="1"/>
  <c r="C134" i="3"/>
  <c r="F134" i="3" s="1"/>
  <c r="D135" i="3"/>
  <c r="G135" i="3" s="1"/>
  <c r="D137" i="3"/>
  <c r="G137" i="3" s="1"/>
  <c r="C142" i="3"/>
  <c r="F142" i="3" s="1"/>
  <c r="D143" i="3"/>
  <c r="G143" i="3" s="1"/>
  <c r="D145" i="3"/>
  <c r="G145" i="3" s="1"/>
  <c r="C150" i="3"/>
  <c r="F150" i="3" s="1"/>
  <c r="D151" i="3"/>
  <c r="G151" i="3" s="1"/>
  <c r="D153" i="3"/>
  <c r="G153" i="3" s="1"/>
  <c r="C158" i="3"/>
  <c r="F158" i="3" s="1"/>
  <c r="D159" i="3"/>
  <c r="G159" i="3" s="1"/>
  <c r="D161" i="3"/>
  <c r="G161" i="3" s="1"/>
  <c r="C166" i="3"/>
  <c r="F166" i="3" s="1"/>
  <c r="D167" i="3"/>
  <c r="G167" i="3" s="1"/>
  <c r="D169" i="3"/>
  <c r="G169" i="3" s="1"/>
  <c r="C174" i="3"/>
  <c r="F174" i="3" s="1"/>
  <c r="D175" i="3"/>
  <c r="G175" i="3" s="1"/>
  <c r="D177" i="3"/>
  <c r="G177" i="3" s="1"/>
  <c r="C182" i="3"/>
  <c r="F182" i="3" s="1"/>
  <c r="D183" i="3"/>
  <c r="G183" i="3" s="1"/>
  <c r="D185" i="3"/>
  <c r="G185" i="3" s="1"/>
  <c r="C190" i="3"/>
  <c r="F190" i="3" s="1"/>
  <c r="D191" i="3"/>
  <c r="G191" i="3" s="1"/>
  <c r="D193" i="3"/>
  <c r="G193" i="3" s="1"/>
  <c r="C198" i="3"/>
  <c r="F198" i="3" s="1"/>
  <c r="D199" i="3"/>
  <c r="G199" i="3" s="1"/>
  <c r="D201" i="3"/>
  <c r="G201" i="3" s="1"/>
  <c r="C206" i="3"/>
  <c r="F206" i="3" s="1"/>
  <c r="D207" i="3"/>
  <c r="G207" i="3" s="1"/>
  <c r="D209" i="3"/>
  <c r="G209" i="3" s="1"/>
  <c r="C214" i="3"/>
  <c r="F214" i="3" s="1"/>
  <c r="D215" i="3"/>
  <c r="G215" i="3" s="1"/>
  <c r="D217" i="3"/>
  <c r="G217" i="3" s="1"/>
  <c r="C222" i="3"/>
  <c r="F222" i="3" s="1"/>
  <c r="D223" i="3"/>
  <c r="G223" i="3" s="1"/>
  <c r="D225" i="3"/>
  <c r="G225" i="3" s="1"/>
  <c r="C230" i="3"/>
  <c r="F230" i="3" s="1"/>
  <c r="D231" i="3"/>
  <c r="G231" i="3" s="1"/>
  <c r="D233" i="3"/>
  <c r="G233" i="3" s="1"/>
  <c r="C238" i="3"/>
  <c r="F238" i="3" s="1"/>
  <c r="D239" i="3"/>
  <c r="G239" i="3" s="1"/>
  <c r="D241" i="3"/>
  <c r="G241" i="3" s="1"/>
  <c r="C246" i="3"/>
  <c r="F246" i="3" s="1"/>
  <c r="D247" i="3"/>
  <c r="G247" i="3" s="1"/>
  <c r="D249" i="3"/>
  <c r="G249" i="3" s="1"/>
  <c r="C254" i="3"/>
  <c r="F254" i="3" s="1"/>
  <c r="D255" i="3"/>
  <c r="G255" i="3" s="1"/>
  <c r="D257" i="3"/>
  <c r="G257" i="3" s="1"/>
  <c r="C262" i="3"/>
  <c r="F262" i="3" s="1"/>
  <c r="D263" i="3"/>
  <c r="G263" i="3" s="1"/>
  <c r="D265" i="3"/>
  <c r="G265" i="3" s="1"/>
  <c r="C270" i="3"/>
  <c r="F270" i="3" s="1"/>
  <c r="D271" i="3"/>
  <c r="G271" i="3" s="1"/>
  <c r="D273" i="3"/>
  <c r="G273" i="3" s="1"/>
  <c r="C278" i="3"/>
  <c r="F278" i="3" s="1"/>
  <c r="D279" i="3"/>
  <c r="G279" i="3" s="1"/>
  <c r="D281" i="3"/>
  <c r="G281" i="3" s="1"/>
  <c r="C286" i="3"/>
  <c r="F286" i="3" s="1"/>
  <c r="D287" i="3"/>
  <c r="G287" i="3" s="1"/>
  <c r="D289" i="3"/>
  <c r="G289" i="3" s="1"/>
  <c r="C294" i="3"/>
  <c r="F294" i="3" s="1"/>
  <c r="D295" i="3"/>
  <c r="G295" i="3" s="1"/>
  <c r="D297" i="3"/>
  <c r="G297" i="3" s="1"/>
  <c r="C302" i="3"/>
  <c r="F302" i="3" s="1"/>
  <c r="D303" i="3"/>
  <c r="G303" i="3" s="1"/>
  <c r="D305" i="3"/>
  <c r="G305" i="3" s="1"/>
  <c r="C310" i="3"/>
  <c r="F310" i="3" s="1"/>
  <c r="D311" i="3"/>
  <c r="G311" i="3" s="1"/>
  <c r="D313" i="3"/>
  <c r="G313" i="3" s="1"/>
  <c r="C318" i="3"/>
  <c r="F318" i="3" s="1"/>
  <c r="D319" i="3"/>
  <c r="G319" i="3" s="1"/>
  <c r="D321" i="3"/>
  <c r="G321" i="3" s="1"/>
  <c r="C326" i="3"/>
  <c r="F326" i="3" s="1"/>
  <c r="D327" i="3"/>
  <c r="G327" i="3" s="1"/>
  <c r="D329" i="3"/>
  <c r="G329" i="3" s="1"/>
  <c r="C334" i="3"/>
  <c r="F334" i="3" s="1"/>
  <c r="D335" i="3"/>
  <c r="G335" i="3" s="1"/>
  <c r="D337" i="3"/>
  <c r="G337" i="3" s="1"/>
  <c r="C342" i="3"/>
  <c r="F342" i="3" s="1"/>
  <c r="D343" i="3"/>
  <c r="G343" i="3" s="1"/>
  <c r="D345" i="3"/>
  <c r="G345" i="3" s="1"/>
  <c r="C350" i="3"/>
  <c r="F350" i="3" s="1"/>
  <c r="D351" i="3"/>
  <c r="G351" i="3" s="1"/>
  <c r="D353" i="3"/>
  <c r="G353" i="3" s="1"/>
  <c r="C358" i="3"/>
  <c r="F358" i="3" s="1"/>
  <c r="D359" i="3"/>
  <c r="G359" i="3" s="1"/>
  <c r="D361" i="3"/>
  <c r="G361" i="3" s="1"/>
  <c r="C366" i="3"/>
  <c r="F366" i="3" s="1"/>
  <c r="D367" i="3"/>
  <c r="G367" i="3" s="1"/>
  <c r="D369" i="3"/>
  <c r="G369" i="3" s="1"/>
  <c r="C374" i="3"/>
  <c r="F374" i="3" s="1"/>
  <c r="D375" i="3"/>
  <c r="G375" i="3" s="1"/>
  <c r="D377" i="3"/>
  <c r="G377" i="3" s="1"/>
  <c r="C382" i="3"/>
  <c r="F382" i="3" s="1"/>
  <c r="D383" i="3"/>
  <c r="G383" i="3" s="1"/>
  <c r="D385" i="3"/>
  <c r="G385" i="3" s="1"/>
  <c r="C390" i="3"/>
  <c r="F390" i="3" s="1"/>
  <c r="D391" i="3"/>
  <c r="G391" i="3" s="1"/>
  <c r="D393" i="3"/>
  <c r="G393" i="3" s="1"/>
  <c r="C398" i="3"/>
  <c r="F398" i="3" s="1"/>
  <c r="D399" i="3"/>
  <c r="G399" i="3" s="1"/>
  <c r="D401" i="3"/>
  <c r="G401" i="3" s="1"/>
  <c r="C406" i="3"/>
  <c r="F406" i="3" s="1"/>
  <c r="D407" i="3"/>
  <c r="G407" i="3" s="1"/>
  <c r="C409" i="3"/>
  <c r="F409" i="3" s="1"/>
  <c r="E413" i="3"/>
  <c r="H413" i="3" s="1"/>
  <c r="E416" i="3"/>
  <c r="H416" i="3" s="1"/>
  <c r="D421" i="3"/>
  <c r="G421" i="3" s="1"/>
  <c r="C430" i="3"/>
  <c r="F430" i="3" s="1"/>
  <c r="E432" i="3"/>
  <c r="H432" i="3" s="1"/>
  <c r="D437" i="3"/>
  <c r="G437" i="3" s="1"/>
  <c r="C446" i="3"/>
  <c r="F446" i="3" s="1"/>
  <c r="E448" i="3"/>
  <c r="H448" i="3" s="1"/>
  <c r="D453" i="3"/>
  <c r="G453" i="3" s="1"/>
  <c r="C462" i="3"/>
  <c r="F462" i="3" s="1"/>
  <c r="E464" i="3"/>
  <c r="H464" i="3" s="1"/>
  <c r="C469" i="3"/>
  <c r="F469" i="3" s="1"/>
  <c r="E477" i="3"/>
  <c r="H477" i="3" s="1"/>
  <c r="D483" i="3"/>
  <c r="G483" i="3" s="1"/>
  <c r="E488" i="3"/>
  <c r="H488" i="3" s="1"/>
  <c r="D493" i="3"/>
  <c r="G493" i="3" s="1"/>
  <c r="C502" i="3"/>
  <c r="F502" i="3" s="1"/>
  <c r="E504" i="3"/>
  <c r="H504" i="3" s="1"/>
  <c r="D509" i="3"/>
  <c r="G509" i="3" s="1"/>
  <c r="C518" i="3"/>
  <c r="F518" i="3" s="1"/>
  <c r="E520" i="3"/>
  <c r="H520" i="3" s="1"/>
  <c r="D525" i="3"/>
  <c r="G525" i="3" s="1"/>
  <c r="C534" i="3"/>
  <c r="F534" i="3" s="1"/>
  <c r="E536" i="3"/>
  <c r="H536" i="3" s="1"/>
  <c r="D541" i="3"/>
  <c r="G541" i="3" s="1"/>
  <c r="C550" i="3"/>
  <c r="F550" i="3" s="1"/>
  <c r="E552" i="3"/>
  <c r="H552" i="3" s="1"/>
  <c r="D557" i="3"/>
  <c r="G557" i="3" s="1"/>
  <c r="C566" i="3"/>
  <c r="F566" i="3" s="1"/>
  <c r="E568" i="3"/>
  <c r="H568" i="3" s="1"/>
  <c r="D573" i="3"/>
  <c r="G573" i="3" s="1"/>
  <c r="E581" i="3"/>
  <c r="H581" i="3" s="1"/>
  <c r="D587" i="3"/>
  <c r="G587" i="3" s="1"/>
  <c r="C589" i="3"/>
  <c r="F589" i="3" s="1"/>
  <c r="E597" i="3"/>
  <c r="H597" i="3" s="1"/>
  <c r="E6" i="3"/>
  <c r="H6" i="3" s="1"/>
  <c r="E23" i="3"/>
  <c r="H23" i="3" s="1"/>
  <c r="D10" i="3"/>
  <c r="G10" i="3" s="1"/>
  <c r="D28" i="3"/>
  <c r="G28" i="3" s="1"/>
  <c r="D46" i="3"/>
  <c r="G46" i="3" s="1"/>
  <c r="E51" i="3"/>
  <c r="H51" i="3" s="1"/>
  <c r="D66" i="3"/>
  <c r="G66" i="3" s="1"/>
  <c r="D74" i="3"/>
  <c r="G74" i="3" s="1"/>
  <c r="C80" i="3"/>
  <c r="F80" i="3" s="1"/>
  <c r="C88" i="3"/>
  <c r="F88" i="3" s="1"/>
  <c r="E111" i="3"/>
  <c r="H111" i="3" s="1"/>
  <c r="E115" i="3"/>
  <c r="H115" i="3" s="1"/>
  <c r="E119" i="3"/>
  <c r="H119" i="3" s="1"/>
  <c r="D126" i="3"/>
  <c r="G126" i="3" s="1"/>
  <c r="D130" i="3"/>
  <c r="G130" i="3" s="1"/>
  <c r="D134" i="3"/>
  <c r="G134" i="3" s="1"/>
  <c r="E155" i="3"/>
  <c r="H155" i="3" s="1"/>
  <c r="C39" i="3"/>
  <c r="F39" i="3" s="1"/>
  <c r="C43" i="3"/>
  <c r="F43" i="3" s="1"/>
  <c r="C47" i="3"/>
  <c r="F47" i="3" s="1"/>
  <c r="C59" i="3"/>
  <c r="F59" i="3" s="1"/>
  <c r="D60" i="3"/>
  <c r="G60" i="3" s="1"/>
  <c r="E66" i="3"/>
  <c r="H66" i="3" s="1"/>
  <c r="C79" i="3"/>
  <c r="F79" i="3" s="1"/>
  <c r="C83" i="3"/>
  <c r="F83" i="3" s="1"/>
  <c r="C87" i="3"/>
  <c r="F87" i="3" s="1"/>
  <c r="E90" i="3"/>
  <c r="H90" i="3" s="1"/>
  <c r="E94" i="3"/>
  <c r="H94" i="3" s="1"/>
  <c r="E98" i="3"/>
  <c r="H98" i="3" s="1"/>
  <c r="D102" i="3"/>
  <c r="G102" i="3" s="1"/>
  <c r="D106" i="3"/>
  <c r="G106" i="3" s="1"/>
  <c r="C119" i="3"/>
  <c r="F119" i="3" s="1"/>
  <c r="C123" i="3"/>
  <c r="F123" i="3" s="1"/>
  <c r="D124" i="3"/>
  <c r="G124" i="3" s="1"/>
  <c r="C131" i="3"/>
  <c r="F131" i="3" s="1"/>
  <c r="D1476" i="3"/>
  <c r="G1476" i="3" s="1"/>
  <c r="D962" i="3"/>
  <c r="G962" i="3" s="1"/>
  <c r="E842" i="3"/>
  <c r="H842" i="3" s="1"/>
  <c r="C814" i="3"/>
  <c r="F814" i="3" s="1"/>
  <c r="C933" i="3"/>
  <c r="F933" i="3" s="1"/>
  <c r="C976" i="3"/>
  <c r="F976" i="3" s="1"/>
  <c r="D7" i="3"/>
  <c r="G7" i="3" s="1"/>
  <c r="D11" i="3"/>
  <c r="G11" i="3" s="1"/>
  <c r="D15" i="3"/>
  <c r="G15" i="3" s="1"/>
  <c r="D19" i="3"/>
  <c r="G19" i="3" s="1"/>
  <c r="E38" i="3"/>
  <c r="H38" i="3" s="1"/>
  <c r="D8" i="3"/>
  <c r="G8" i="3" s="1"/>
  <c r="D16" i="3"/>
  <c r="G16" i="3" s="1"/>
  <c r="D24" i="3"/>
  <c r="G24" i="3" s="1"/>
  <c r="C33" i="3"/>
  <c r="F33" i="3" s="1"/>
  <c r="D34" i="3"/>
  <c r="G34" i="3" s="1"/>
  <c r="C36" i="3"/>
  <c r="F36" i="3" s="1"/>
  <c r="C40" i="3"/>
  <c r="F40" i="3" s="1"/>
  <c r="D44" i="3"/>
  <c r="G44" i="3" s="1"/>
  <c r="C53" i="3"/>
  <c r="F53" i="3" s="1"/>
  <c r="E55" i="3"/>
  <c r="H55" i="3" s="1"/>
  <c r="E64" i="3"/>
  <c r="H64" i="3" s="1"/>
  <c r="D70" i="3"/>
  <c r="G70" i="3" s="1"/>
  <c r="C72" i="3"/>
  <c r="F72" i="3" s="1"/>
  <c r="C85" i="3"/>
  <c r="F85" i="3" s="1"/>
  <c r="E87" i="3"/>
  <c r="H87" i="3" s="1"/>
  <c r="C92" i="3"/>
  <c r="F92" i="3" s="1"/>
  <c r="E108" i="3"/>
  <c r="H108" i="3" s="1"/>
  <c r="C6" i="3"/>
  <c r="F6" i="3" s="1"/>
  <c r="E9" i="3"/>
  <c r="H9" i="3" s="1"/>
  <c r="E13" i="3"/>
  <c r="H13" i="3" s="1"/>
  <c r="E17" i="3"/>
  <c r="H17" i="3" s="1"/>
  <c r="E21" i="3"/>
  <c r="H21" i="3" s="1"/>
  <c r="C26" i="3"/>
  <c r="F26" i="3" s="1"/>
  <c r="E28" i="3"/>
  <c r="H28" i="3" s="1"/>
  <c r="C29" i="3"/>
  <c r="F29" i="3" s="1"/>
  <c r="D35" i="3"/>
  <c r="G35" i="3" s="1"/>
  <c r="D39" i="3"/>
  <c r="G39" i="3" s="1"/>
  <c r="D43" i="3"/>
  <c r="G43" i="3" s="1"/>
  <c r="E49" i="3"/>
  <c r="H49" i="3" s="1"/>
  <c r="C54" i="3"/>
  <c r="F54" i="3" s="1"/>
  <c r="E56" i="3"/>
  <c r="H56" i="3" s="1"/>
  <c r="C57" i="3"/>
  <c r="F57" i="3" s="1"/>
  <c r="E61" i="3"/>
  <c r="H61" i="3" s="1"/>
  <c r="C66" i="3"/>
  <c r="F66" i="3" s="1"/>
  <c r="E68" i="3"/>
  <c r="H68" i="3" s="1"/>
  <c r="C69" i="3"/>
  <c r="F69" i="3" s="1"/>
  <c r="D73" i="3"/>
  <c r="G73" i="3" s="1"/>
  <c r="E77" i="3"/>
  <c r="H77" i="3" s="1"/>
  <c r="E80" i="3"/>
  <c r="H80" i="3" s="1"/>
  <c r="C81" i="3"/>
  <c r="F81" i="3" s="1"/>
  <c r="D85" i="3"/>
  <c r="G85" i="3" s="1"/>
  <c r="E89" i="3"/>
  <c r="H89" i="3" s="1"/>
  <c r="C94" i="3"/>
  <c r="F94" i="3" s="1"/>
  <c r="E96" i="3"/>
  <c r="H96" i="3" s="1"/>
  <c r="C97" i="3"/>
  <c r="F97" i="3" s="1"/>
  <c r="E101" i="3"/>
  <c r="H101" i="3" s="1"/>
  <c r="E104" i="3"/>
  <c r="H104" i="3" s="1"/>
  <c r="C105" i="3"/>
  <c r="F105" i="3" s="1"/>
  <c r="D109" i="3"/>
  <c r="G109" i="3" s="1"/>
  <c r="C114" i="3"/>
  <c r="F114" i="3" s="1"/>
  <c r="D115" i="3"/>
  <c r="G115" i="3" s="1"/>
  <c r="D117" i="3"/>
  <c r="G117" i="3" s="1"/>
  <c r="C122" i="3"/>
  <c r="F122" i="3" s="1"/>
  <c r="D123" i="3"/>
  <c r="G123" i="3" s="1"/>
  <c r="D125" i="3"/>
  <c r="G125" i="3" s="1"/>
  <c r="C130" i="3"/>
  <c r="F130" i="3" s="1"/>
  <c r="D131" i="3"/>
  <c r="G131" i="3" s="1"/>
  <c r="D133" i="3"/>
  <c r="G133" i="3" s="1"/>
  <c r="C138" i="3"/>
  <c r="F138" i="3" s="1"/>
  <c r="D139" i="3"/>
  <c r="G139" i="3" s="1"/>
  <c r="D141" i="3"/>
  <c r="G141" i="3" s="1"/>
  <c r="C146" i="3"/>
  <c r="F146" i="3" s="1"/>
  <c r="D147" i="3"/>
  <c r="G147" i="3" s="1"/>
  <c r="D149" i="3"/>
  <c r="G149" i="3" s="1"/>
  <c r="C154" i="3"/>
  <c r="F154" i="3" s="1"/>
  <c r="D155" i="3"/>
  <c r="G155" i="3" s="1"/>
  <c r="D157" i="3"/>
  <c r="G157" i="3" s="1"/>
  <c r="C162" i="3"/>
  <c r="F162" i="3" s="1"/>
  <c r="D163" i="3"/>
  <c r="G163" i="3" s="1"/>
  <c r="D165" i="3"/>
  <c r="G165" i="3" s="1"/>
  <c r="C170" i="3"/>
  <c r="F170" i="3" s="1"/>
  <c r="D171" i="3"/>
  <c r="G171" i="3" s="1"/>
  <c r="D173" i="3"/>
  <c r="G173" i="3" s="1"/>
  <c r="C178" i="3"/>
  <c r="F178" i="3" s="1"/>
  <c r="D179" i="3"/>
  <c r="G179" i="3" s="1"/>
  <c r="D181" i="3"/>
  <c r="G181" i="3" s="1"/>
  <c r="C186" i="3"/>
  <c r="F186" i="3" s="1"/>
  <c r="D187" i="3"/>
  <c r="G187" i="3" s="1"/>
  <c r="D189" i="3"/>
  <c r="G189" i="3" s="1"/>
  <c r="C194" i="3"/>
  <c r="F194" i="3" s="1"/>
  <c r="D195" i="3"/>
  <c r="G195" i="3" s="1"/>
  <c r="D197" i="3"/>
  <c r="G197" i="3" s="1"/>
  <c r="C202" i="3"/>
  <c r="F202" i="3" s="1"/>
  <c r="D203" i="3"/>
  <c r="G203" i="3" s="1"/>
  <c r="D205" i="3"/>
  <c r="G205" i="3" s="1"/>
  <c r="C210" i="3"/>
  <c r="F210" i="3" s="1"/>
  <c r="D211" i="3"/>
  <c r="G211" i="3" s="1"/>
  <c r="D213" i="3"/>
  <c r="G213" i="3" s="1"/>
  <c r="C218" i="3"/>
  <c r="F218" i="3" s="1"/>
  <c r="D219" i="3"/>
  <c r="G219" i="3" s="1"/>
  <c r="D221" i="3"/>
  <c r="G221" i="3" s="1"/>
  <c r="C226" i="3"/>
  <c r="F226" i="3" s="1"/>
  <c r="D227" i="3"/>
  <c r="G227" i="3" s="1"/>
  <c r="D229" i="3"/>
  <c r="G229" i="3" s="1"/>
  <c r="C234" i="3"/>
  <c r="F234" i="3" s="1"/>
  <c r="D235" i="3"/>
  <c r="G235" i="3" s="1"/>
  <c r="D237" i="3"/>
  <c r="G237" i="3" s="1"/>
  <c r="C242" i="3"/>
  <c r="F242" i="3" s="1"/>
  <c r="D243" i="3"/>
  <c r="G243" i="3" s="1"/>
  <c r="D245" i="3"/>
  <c r="G245" i="3" s="1"/>
  <c r="C250" i="3"/>
  <c r="F250" i="3" s="1"/>
  <c r="D251" i="3"/>
  <c r="G251" i="3" s="1"/>
  <c r="D253" i="3"/>
  <c r="G253" i="3" s="1"/>
  <c r="C258" i="3"/>
  <c r="F258" i="3" s="1"/>
  <c r="D259" i="3"/>
  <c r="G259" i="3" s="1"/>
  <c r="D261" i="3"/>
  <c r="G261" i="3" s="1"/>
  <c r="C266" i="3"/>
  <c r="F266" i="3" s="1"/>
  <c r="D267" i="3"/>
  <c r="G267" i="3" s="1"/>
  <c r="D269" i="3"/>
  <c r="G269" i="3" s="1"/>
  <c r="C274" i="3"/>
  <c r="F274" i="3" s="1"/>
  <c r="D275" i="3"/>
  <c r="G275" i="3" s="1"/>
  <c r="D277" i="3"/>
  <c r="G277" i="3" s="1"/>
  <c r="C282" i="3"/>
  <c r="F282" i="3" s="1"/>
  <c r="D283" i="3"/>
  <c r="G283" i="3" s="1"/>
  <c r="D285" i="3"/>
  <c r="G285" i="3" s="1"/>
  <c r="C290" i="3"/>
  <c r="F290" i="3" s="1"/>
  <c r="D291" i="3"/>
  <c r="G291" i="3" s="1"/>
  <c r="D293" i="3"/>
  <c r="G293" i="3" s="1"/>
  <c r="C298" i="3"/>
  <c r="F298" i="3" s="1"/>
  <c r="D299" i="3"/>
  <c r="G299" i="3" s="1"/>
  <c r="D301" i="3"/>
  <c r="G301" i="3" s="1"/>
  <c r="C306" i="3"/>
  <c r="F306" i="3" s="1"/>
  <c r="D307" i="3"/>
  <c r="G307" i="3" s="1"/>
  <c r="D309" i="3"/>
  <c r="G309" i="3" s="1"/>
  <c r="C314" i="3"/>
  <c r="F314" i="3" s="1"/>
  <c r="D315" i="3"/>
  <c r="G315" i="3" s="1"/>
  <c r="D317" i="3"/>
  <c r="G317" i="3" s="1"/>
  <c r="C322" i="3"/>
  <c r="F322" i="3" s="1"/>
  <c r="D323" i="3"/>
  <c r="G323" i="3" s="1"/>
  <c r="D325" i="3"/>
  <c r="G325" i="3" s="1"/>
  <c r="C330" i="3"/>
  <c r="F330" i="3" s="1"/>
  <c r="E829" i="3"/>
  <c r="H829" i="3" s="1"/>
  <c r="D633" i="3"/>
  <c r="G633" i="3" s="1"/>
  <c r="E685" i="3"/>
  <c r="H685" i="3" s="1"/>
  <c r="E576" i="3"/>
  <c r="H576" i="3" s="1"/>
  <c r="E593" i="3"/>
  <c r="H593" i="3" s="1"/>
  <c r="E915" i="3"/>
  <c r="H915" i="3" s="1"/>
  <c r="D662" i="3"/>
  <c r="G662" i="3" s="1"/>
  <c r="C636" i="3"/>
  <c r="F636" i="3" s="1"/>
  <c r="E702" i="3"/>
  <c r="H702" i="3" s="1"/>
  <c r="E663" i="3"/>
  <c r="H663" i="3" s="1"/>
  <c r="C895" i="3"/>
  <c r="F895" i="3" s="1"/>
  <c r="C910" i="3"/>
  <c r="F910" i="3" s="1"/>
  <c r="C735" i="3"/>
  <c r="F735" i="3" s="1"/>
  <c r="E738" i="3"/>
  <c r="H738" i="3" s="1"/>
  <c r="D521" i="3"/>
  <c r="G521" i="3" s="1"/>
  <c r="D792" i="3"/>
  <c r="G792" i="3" s="1"/>
  <c r="E513" i="3"/>
  <c r="H513" i="3" s="1"/>
  <c r="C716" i="3"/>
  <c r="F716" i="3" s="1"/>
  <c r="C1023" i="3"/>
  <c r="F1023" i="3" s="1"/>
  <c r="C955" i="3"/>
  <c r="F955" i="3" s="1"/>
  <c r="E745" i="3"/>
  <c r="H745" i="3" s="1"/>
  <c r="E620" i="3"/>
  <c r="H620" i="3" s="1"/>
  <c r="E510" i="3"/>
  <c r="H510" i="3" s="1"/>
  <c r="C724" i="3"/>
  <c r="F724" i="3" s="1"/>
  <c r="C622" i="3"/>
  <c r="F622" i="3" s="1"/>
  <c r="C1027" i="3"/>
  <c r="F1027" i="3" s="1"/>
  <c r="D905" i="3"/>
  <c r="G905" i="3" s="1"/>
  <c r="E791" i="3"/>
  <c r="H791" i="3" s="1"/>
  <c r="D819" i="3"/>
  <c r="G819" i="3" s="1"/>
  <c r="D703" i="3"/>
  <c r="G703" i="3" s="1"/>
  <c r="C1028" i="3"/>
  <c r="F1028" i="3" s="1"/>
  <c r="E649" i="3"/>
  <c r="C662" i="3"/>
  <c r="F662" i="3" s="1"/>
  <c r="D836" i="3"/>
  <c r="G836" i="3" s="1"/>
  <c r="D744" i="3"/>
  <c r="G744" i="3" s="1"/>
  <c r="E643" i="3"/>
  <c r="H643" i="3" s="1"/>
  <c r="E469" i="3"/>
  <c r="H469" i="3" s="1"/>
  <c r="D485" i="3"/>
  <c r="G485" i="3" s="1"/>
  <c r="C1054" i="3"/>
  <c r="F1054" i="3" s="1"/>
  <c r="D728" i="3"/>
  <c r="G728" i="3" s="1"/>
  <c r="D937" i="3"/>
  <c r="G937" i="3" s="1"/>
  <c r="D1089" i="3"/>
  <c r="G1089" i="3" s="1"/>
  <c r="D868" i="3"/>
  <c r="G868" i="3" s="1"/>
  <c r="C995" i="3"/>
  <c r="F995" i="3" s="1"/>
  <c r="E408" i="3"/>
  <c r="H408" i="3" s="1"/>
  <c r="G29" i="52" l="1"/>
  <c r="G11" i="52"/>
  <c r="G23" i="52"/>
  <c r="G12" i="52"/>
  <c r="E91" i="2"/>
  <c r="L135" i="26"/>
  <c r="B91" i="2"/>
  <c r="I168" i="26"/>
  <c r="E171" i="26"/>
  <c r="G42" i="52"/>
  <c r="E97" i="2"/>
  <c r="G47" i="52"/>
  <c r="B98" i="2"/>
  <c r="E98" i="2"/>
  <c r="L156" i="26"/>
  <c r="G48" i="52"/>
  <c r="G17" i="52"/>
  <c r="B95" i="2"/>
  <c r="E144" i="26"/>
  <c r="L141" i="26"/>
  <c r="B93" i="2"/>
  <c r="L150" i="26"/>
  <c r="B96" i="2"/>
  <c r="E162" i="26"/>
  <c r="G30" i="52"/>
  <c r="E93" i="2"/>
  <c r="E165" i="26"/>
  <c r="G5" i="52"/>
  <c r="B92" i="2"/>
  <c r="B26" i="50"/>
  <c r="C26" i="50" s="1"/>
  <c r="B25" i="50"/>
  <c r="C25" i="50" s="1"/>
  <c r="B24" i="50"/>
  <c r="C24" i="50" s="1"/>
  <c r="B23" i="50"/>
  <c r="C23" i="50" s="1"/>
  <c r="B22" i="50"/>
  <c r="C22" i="50" s="1"/>
  <c r="B21" i="50"/>
  <c r="C21" i="50" s="1"/>
  <c r="B20" i="50"/>
  <c r="C20" i="50" s="1"/>
  <c r="B19" i="50"/>
  <c r="C19" i="50" s="1"/>
  <c r="AA105" i="26"/>
  <c r="W103" i="26"/>
  <c r="AA100" i="26"/>
  <c r="W98" i="26"/>
  <c r="AA95" i="26"/>
  <c r="S101" i="26"/>
  <c r="AC101" i="26" s="1"/>
  <c r="AD101" i="26" s="1"/>
  <c r="Z105" i="26"/>
  <c r="V103" i="26"/>
  <c r="Z100" i="26"/>
  <c r="V98" i="26"/>
  <c r="Z95" i="26"/>
  <c r="S100" i="26"/>
  <c r="AC100" i="26" s="1"/>
  <c r="AD100" i="26" s="1"/>
  <c r="Y105" i="26"/>
  <c r="U103" i="26"/>
  <c r="Y100" i="26"/>
  <c r="U98" i="26"/>
  <c r="Y95" i="26"/>
  <c r="S99" i="26"/>
  <c r="AC99" i="26" s="1"/>
  <c r="AD99" i="26" s="1"/>
  <c r="X105" i="26"/>
  <c r="T103" i="26"/>
  <c r="X100" i="26"/>
  <c r="T98" i="26"/>
  <c r="X95" i="26"/>
  <c r="S98" i="26"/>
  <c r="AC98" i="26" s="1"/>
  <c r="AD98" i="26" s="1"/>
  <c r="W105" i="26"/>
  <c r="AA102" i="26"/>
  <c r="W100" i="26"/>
  <c r="AA97" i="26"/>
  <c r="W95" i="26"/>
  <c r="S97" i="26"/>
  <c r="AC97" i="26" s="1"/>
  <c r="AD97" i="26" s="1"/>
  <c r="V105" i="26"/>
  <c r="Z102" i="26"/>
  <c r="V100" i="26"/>
  <c r="Z97" i="26"/>
  <c r="V95" i="26"/>
  <c r="S96" i="26"/>
  <c r="AC96" i="26" s="1"/>
  <c r="AD96" i="26" s="1"/>
  <c r="U105" i="26"/>
  <c r="Y102" i="26"/>
  <c r="U100" i="26"/>
  <c r="Y97" i="26"/>
  <c r="U95" i="26"/>
  <c r="S95" i="26"/>
  <c r="AC95" i="26" s="1"/>
  <c r="AD95" i="26" s="1"/>
  <c r="T105" i="26"/>
  <c r="X102" i="26"/>
  <c r="T100" i="26"/>
  <c r="X97" i="26"/>
  <c r="T95" i="26"/>
  <c r="S94" i="26"/>
  <c r="AC94" i="26" s="1"/>
  <c r="AD94" i="26" s="1"/>
  <c r="X101" i="26"/>
  <c r="AA104" i="26"/>
  <c r="W102" i="26"/>
  <c r="AA99" i="26"/>
  <c r="W97" i="26"/>
  <c r="AA94" i="26"/>
  <c r="Z104" i="26"/>
  <c r="V102" i="26"/>
  <c r="Z99" i="26"/>
  <c r="V97" i="26"/>
  <c r="Z94" i="26"/>
  <c r="Y104" i="26"/>
  <c r="U102" i="26"/>
  <c r="Y99" i="26"/>
  <c r="U97" i="26"/>
  <c r="Y94" i="26"/>
  <c r="X104" i="26"/>
  <c r="T102" i="26"/>
  <c r="X99" i="26"/>
  <c r="T97" i="26"/>
  <c r="X94" i="26"/>
  <c r="W104" i="26"/>
  <c r="AA101" i="26"/>
  <c r="W99" i="26"/>
  <c r="AA96" i="26"/>
  <c r="W94" i="26"/>
  <c r="V104" i="26"/>
  <c r="Z101" i="26"/>
  <c r="V99" i="26"/>
  <c r="Z96" i="26"/>
  <c r="V94" i="26"/>
  <c r="U104" i="26"/>
  <c r="Y101" i="26"/>
  <c r="U99" i="26"/>
  <c r="Y96" i="26"/>
  <c r="U94" i="26"/>
  <c r="T104" i="26"/>
  <c r="T99" i="26"/>
  <c r="X96" i="26"/>
  <c r="T94" i="26"/>
  <c r="AA103" i="26"/>
  <c r="W101" i="26"/>
  <c r="AA98" i="26"/>
  <c r="W96" i="26"/>
  <c r="S105" i="26"/>
  <c r="AC105" i="26" s="1"/>
  <c r="AD105" i="26" s="1"/>
  <c r="Z103" i="26"/>
  <c r="V101" i="26"/>
  <c r="Z98" i="26"/>
  <c r="V96" i="26"/>
  <c r="S104" i="26"/>
  <c r="AC104" i="26" s="1"/>
  <c r="AD104" i="26" s="1"/>
  <c r="Y103" i="26"/>
  <c r="U101" i="26"/>
  <c r="Y98" i="26"/>
  <c r="U96" i="26"/>
  <c r="S103" i="26"/>
  <c r="AC103" i="26" s="1"/>
  <c r="AD103" i="26" s="1"/>
  <c r="X103" i="26"/>
  <c r="T101" i="26"/>
  <c r="X98" i="26"/>
  <c r="T96" i="26"/>
  <c r="S102" i="26"/>
  <c r="AC102" i="26" s="1"/>
  <c r="AD102" i="26" s="1"/>
  <c r="H649" i="3"/>
  <c r="B100" i="2" l="1"/>
  <c r="L20" i="52"/>
  <c r="L165" i="26"/>
  <c r="B99" i="2"/>
  <c r="L162" i="26"/>
  <c r="L8" i="52"/>
  <c r="I165" i="26"/>
  <c r="E168" i="26"/>
  <c r="B102" i="2"/>
  <c r="L171" i="26"/>
  <c r="L44" i="52"/>
  <c r="G35" i="52"/>
  <c r="B94" i="2"/>
  <c r="L33" i="52"/>
  <c r="E101" i="2"/>
  <c r="I162" i="26"/>
  <c r="I171" i="26"/>
  <c r="D21" i="50"/>
  <c r="D19" i="50"/>
  <c r="D20" i="50"/>
  <c r="D22" i="50"/>
  <c r="D23" i="50"/>
  <c r="D24" i="50"/>
  <c r="D25" i="50"/>
  <c r="D26" i="50"/>
  <c r="AE104" i="26"/>
  <c r="AF104" i="26"/>
  <c r="AF99" i="26"/>
  <c r="AE99" i="26"/>
  <c r="AF96" i="26"/>
  <c r="AE96" i="26"/>
  <c r="AE105" i="26"/>
  <c r="AF105" i="26"/>
  <c r="AF100" i="26"/>
  <c r="AE100" i="26"/>
  <c r="AF97" i="26"/>
  <c r="AE97" i="26"/>
  <c r="AE102" i="26"/>
  <c r="AF102" i="26"/>
  <c r="AF94" i="26"/>
  <c r="AE94" i="26"/>
  <c r="AE101" i="26"/>
  <c r="AF101" i="26"/>
  <c r="AF98" i="26"/>
  <c r="AE98" i="26"/>
  <c r="AE103" i="26"/>
  <c r="AF103" i="26"/>
  <c r="AF95" i="26"/>
  <c r="AE95" i="26"/>
  <c r="E177" i="26" l="1"/>
  <c r="I180" i="26"/>
  <c r="I177" i="26"/>
  <c r="L45" i="52"/>
  <c r="E102" i="2"/>
  <c r="B101" i="2"/>
  <c r="L168" i="26"/>
  <c r="L32" i="52"/>
  <c r="L9" i="52"/>
  <c r="E99" i="2"/>
  <c r="L21" i="52"/>
  <c r="E100" i="2"/>
  <c r="E26" i="50"/>
  <c r="E25" i="50"/>
  <c r="E24" i="50"/>
  <c r="E23" i="50"/>
  <c r="E22" i="50"/>
  <c r="E21" i="50"/>
  <c r="E20" i="50"/>
  <c r="E19" i="50"/>
  <c r="E180" i="26" l="1"/>
  <c r="E103" i="2"/>
  <c r="L177" i="26"/>
  <c r="Q15" i="52"/>
  <c r="E104" i="2"/>
  <c r="M180" i="26"/>
  <c r="Q39" i="52"/>
  <c r="B103" i="2"/>
  <c r="M177" i="26"/>
  <c r="Q14" i="52"/>
  <c r="E18" i="50"/>
  <c r="B104" i="2" l="1"/>
  <c r="Q38" i="52"/>
  <c r="L180" i="26"/>
  <c r="G23" i="50"/>
  <c r="A108" i="27" s="1"/>
  <c r="G22" i="50"/>
  <c r="A90" i="27" s="1"/>
  <c r="G21" i="50"/>
  <c r="A111" i="27" s="1"/>
  <c r="G20" i="50"/>
  <c r="A120" i="27" s="1"/>
  <c r="G19" i="50"/>
  <c r="A102" i="27" s="1"/>
  <c r="G26" i="50"/>
  <c r="A105" i="27" s="1"/>
  <c r="G25" i="50"/>
  <c r="A129" i="27" s="1"/>
  <c r="G24" i="50"/>
  <c r="A99" i="27" s="1"/>
  <c r="H20" i="50" l="1"/>
  <c r="A120" i="26"/>
  <c r="H25" i="50"/>
  <c r="A129" i="26"/>
  <c r="H23" i="50"/>
  <c r="A108" i="26"/>
  <c r="H21" i="50"/>
  <c r="A111" i="26"/>
  <c r="H24" i="50"/>
  <c r="A99" i="26"/>
  <c r="H26" i="50"/>
  <c r="A105" i="26"/>
  <c r="H19" i="50"/>
  <c r="A102" i="26"/>
  <c r="A90" i="26"/>
  <c r="H22" i="50"/>
  <c r="B46" i="52" l="1"/>
  <c r="E87" i="2"/>
  <c r="B7" i="52"/>
  <c r="E80" i="2"/>
  <c r="B37" i="52"/>
  <c r="E82" i="2"/>
  <c r="B4" i="52"/>
  <c r="E77" i="2"/>
  <c r="B25" i="52"/>
  <c r="E83" i="2"/>
  <c r="B22" i="52"/>
  <c r="E84" i="2"/>
  <c r="B49" i="52"/>
  <c r="E90" i="2"/>
  <c r="B34" i="52"/>
  <c r="E81" i="2"/>
  <c r="AH11" i="26"/>
  <c r="AH13" i="26"/>
  <c r="AH10" i="26"/>
  <c r="AH12" i="26" l="1"/>
  <c r="E186" i="26" l="1"/>
  <c r="B105" i="2" s="1"/>
  <c r="E195" i="26"/>
  <c r="I195" i="26"/>
  <c r="I186" i="26"/>
  <c r="E105" i="2" s="1"/>
  <c r="W27" i="52" l="1"/>
  <c r="E106" i="2"/>
  <c r="W26" i="52"/>
  <c r="B106" i="2"/>
  <c r="L195" i="26"/>
  <c r="L186" i="26"/>
  <c r="M186" i="26"/>
  <c r="J190" i="26" s="1"/>
  <c r="M195" i="26"/>
  <c r="J199" i="26" s="1"/>
  <c r="E199" i="26" l="1"/>
  <c r="AC25" i="52"/>
  <c r="E190" i="26"/>
  <c r="AF58" i="2" l="1"/>
  <c r="AF107" i="2" l="1"/>
  <c r="F54" i="24" s="1"/>
  <c r="F55" i="24" s="1"/>
  <c r="AD108" i="2" l="1"/>
  <c r="D55" i="24"/>
  <c r="AE108" i="2"/>
  <c r="B6" i="5" s="1"/>
  <c r="AF108" i="2"/>
  <c r="E71" i="24"/>
  <c r="D6" i="5" s="1"/>
  <c r="C6" i="5" s="1"/>
  <c r="E55" i="24"/>
  <c r="X105" i="31" l="1"/>
  <c r="X85" i="31"/>
  <c r="X65" i="31"/>
  <c r="X45" i="31"/>
  <c r="X25" i="31"/>
  <c r="X5" i="31"/>
  <c r="X6" i="31"/>
  <c r="X104" i="31"/>
  <c r="X84" i="31"/>
  <c r="X64" i="31"/>
  <c r="X44" i="31"/>
  <c r="X24" i="31"/>
  <c r="X4" i="31"/>
  <c r="X103" i="31"/>
  <c r="X83" i="31"/>
  <c r="X63" i="31"/>
  <c r="X43" i="31"/>
  <c r="X23" i="31"/>
  <c r="X3" i="31"/>
  <c r="X7" i="31"/>
  <c r="X102" i="31"/>
  <c r="X82" i="31"/>
  <c r="X62" i="31"/>
  <c r="X42" i="31"/>
  <c r="X22" i="31"/>
  <c r="X86" i="31"/>
  <c r="X101" i="31"/>
  <c r="X81" i="31"/>
  <c r="X61" i="31"/>
  <c r="X41" i="31"/>
  <c r="X21" i="31"/>
  <c r="X100" i="31"/>
  <c r="X80" i="31"/>
  <c r="X60" i="31"/>
  <c r="X40" i="31"/>
  <c r="X20" i="31"/>
  <c r="X99" i="31"/>
  <c r="X79" i="31"/>
  <c r="X59" i="31"/>
  <c r="X39" i="31"/>
  <c r="X19" i="31"/>
  <c r="X66" i="31"/>
  <c r="X98" i="31"/>
  <c r="X78" i="31"/>
  <c r="X58" i="31"/>
  <c r="X38" i="31"/>
  <c r="X18" i="31"/>
  <c r="X47" i="31"/>
  <c r="X97" i="31"/>
  <c r="X77" i="31"/>
  <c r="X57" i="31"/>
  <c r="X37" i="31"/>
  <c r="X17" i="31"/>
  <c r="X96" i="31"/>
  <c r="X76" i="31"/>
  <c r="X56" i="31"/>
  <c r="X36" i="31"/>
  <c r="X16" i="31"/>
  <c r="X95" i="31"/>
  <c r="X75" i="31"/>
  <c r="X55" i="31"/>
  <c r="X35" i="31"/>
  <c r="X15" i="31"/>
  <c r="X106" i="31"/>
  <c r="X94" i="31"/>
  <c r="X74" i="31"/>
  <c r="X54" i="31"/>
  <c r="X34" i="31"/>
  <c r="X14" i="31"/>
  <c r="X93" i="31"/>
  <c r="X73" i="31"/>
  <c r="X53" i="31"/>
  <c r="X33" i="31"/>
  <c r="X13" i="31"/>
  <c r="X87" i="31"/>
  <c r="X46" i="31"/>
  <c r="X92" i="31"/>
  <c r="X72" i="31"/>
  <c r="X52" i="31"/>
  <c r="X32" i="31"/>
  <c r="X12" i="31"/>
  <c r="X91" i="31"/>
  <c r="X71" i="31"/>
  <c r="X51" i="31"/>
  <c r="X31" i="31"/>
  <c r="X11" i="31"/>
  <c r="X67" i="31"/>
  <c r="X90" i="31"/>
  <c r="X70" i="31"/>
  <c r="X50" i="31"/>
  <c r="X30" i="31"/>
  <c r="X10" i="31"/>
  <c r="X89" i="31"/>
  <c r="X69" i="31"/>
  <c r="X49" i="31"/>
  <c r="X29" i="31"/>
  <c r="X9" i="31"/>
  <c r="X88" i="31"/>
  <c r="X68" i="31"/>
  <c r="X48" i="31"/>
  <c r="X28" i="31"/>
  <c r="X8" i="31"/>
  <c r="X27" i="31"/>
  <c r="X26" i="31"/>
  <c r="AP106" i="2"/>
  <c r="AP86" i="2"/>
  <c r="AP66" i="2"/>
  <c r="AP46" i="2"/>
  <c r="AP26" i="2"/>
  <c r="AP6" i="2"/>
  <c r="AP105" i="2"/>
  <c r="AP85" i="2"/>
  <c r="AP65" i="2"/>
  <c r="AP45" i="2"/>
  <c r="AP25" i="2"/>
  <c r="AP5" i="2"/>
  <c r="AP104" i="2"/>
  <c r="AP84" i="2"/>
  <c r="AP64" i="2"/>
  <c r="AP44" i="2"/>
  <c r="AP24" i="2"/>
  <c r="AP4" i="2"/>
  <c r="AP103" i="2"/>
  <c r="AP83" i="2"/>
  <c r="AP63" i="2"/>
  <c r="AP43" i="2"/>
  <c r="AP23" i="2"/>
  <c r="AP3" i="2"/>
  <c r="AP102" i="2"/>
  <c r="AP82" i="2"/>
  <c r="AP62" i="2"/>
  <c r="AP42" i="2"/>
  <c r="AP22" i="2"/>
  <c r="AP101" i="2"/>
  <c r="AP81" i="2"/>
  <c r="AP61" i="2"/>
  <c r="AP41" i="2"/>
  <c r="AP21" i="2"/>
  <c r="AP17" i="2"/>
  <c r="AP100" i="2"/>
  <c r="AP80" i="2"/>
  <c r="AP60" i="2"/>
  <c r="AP40" i="2"/>
  <c r="AP20" i="2"/>
  <c r="AP37" i="2"/>
  <c r="AP99" i="2"/>
  <c r="AP79" i="2"/>
  <c r="AP59" i="2"/>
  <c r="AP39" i="2"/>
  <c r="AP19" i="2"/>
  <c r="AP77" i="2"/>
  <c r="AP98" i="2"/>
  <c r="AP78" i="2"/>
  <c r="AP58" i="2"/>
  <c r="AP38" i="2"/>
  <c r="AP18" i="2"/>
  <c r="AP57" i="2"/>
  <c r="AP97" i="2"/>
  <c r="AP96" i="2"/>
  <c r="AP76" i="2"/>
  <c r="AP56" i="2"/>
  <c r="AP36" i="2"/>
  <c r="AP16" i="2"/>
  <c r="AP95" i="2"/>
  <c r="AP75" i="2"/>
  <c r="AP55" i="2"/>
  <c r="AP35" i="2"/>
  <c r="AP15" i="2"/>
  <c r="AP94" i="2"/>
  <c r="AP74" i="2"/>
  <c r="AP54" i="2"/>
  <c r="AP34" i="2"/>
  <c r="AP14" i="2"/>
  <c r="AP93" i="2"/>
  <c r="AP73" i="2"/>
  <c r="AP53" i="2"/>
  <c r="AP33" i="2"/>
  <c r="AP13" i="2"/>
  <c r="AP92" i="2"/>
  <c r="AP72" i="2"/>
  <c r="AP52" i="2"/>
  <c r="AP32" i="2"/>
  <c r="AP12" i="2"/>
  <c r="AP91" i="2"/>
  <c r="AP71" i="2"/>
  <c r="AP51" i="2"/>
  <c r="AP31" i="2"/>
  <c r="AP11" i="2"/>
  <c r="AP90" i="2"/>
  <c r="AP70" i="2"/>
  <c r="AP50" i="2"/>
  <c r="AP30" i="2"/>
  <c r="AP10" i="2"/>
  <c r="AP89" i="2"/>
  <c r="AP69" i="2"/>
  <c r="AP49" i="2"/>
  <c r="AP29" i="2"/>
  <c r="AP9" i="2"/>
  <c r="AP88" i="2"/>
  <c r="AP68" i="2"/>
  <c r="AP48" i="2"/>
  <c r="AP28" i="2"/>
  <c r="AP8" i="2"/>
  <c r="AP87" i="2"/>
  <c r="AP67" i="2"/>
  <c r="AP47" i="2"/>
  <c r="AP27" i="2"/>
  <c r="AP7" i="2"/>
  <c r="D71" i="24"/>
  <c r="F71" i="24"/>
  <c r="D99" i="2" l="1"/>
  <c r="D105" i="2"/>
  <c r="G92" i="2"/>
  <c r="D103" i="2"/>
  <c r="D80" i="2"/>
  <c r="G63" i="2"/>
  <c r="G63" i="31" s="1"/>
  <c r="D44" i="2"/>
  <c r="D44" i="31" s="1"/>
  <c r="B2" i="22"/>
  <c r="D19" i="2"/>
  <c r="D19" i="31" s="1"/>
  <c r="G13" i="2" l="1"/>
  <c r="G13" i="31" s="1"/>
  <c r="G10" i="2"/>
  <c r="G10" i="31" s="1"/>
  <c r="G12" i="2"/>
  <c r="G12" i="31" s="1"/>
  <c r="G15" i="2"/>
  <c r="G15" i="31" s="1"/>
  <c r="G17" i="2"/>
  <c r="G17" i="31" s="1"/>
  <c r="G90" i="2"/>
  <c r="G7" i="2"/>
  <c r="G7" i="31" s="1"/>
  <c r="G86" i="2"/>
  <c r="G79" i="2"/>
  <c r="G14" i="2"/>
  <c r="G14" i="31" s="1"/>
  <c r="G8" i="2"/>
  <c r="G8" i="31" s="1"/>
  <c r="G3" i="2"/>
  <c r="G3" i="31" s="1"/>
  <c r="G16" i="2"/>
  <c r="G16" i="31" s="1"/>
  <c r="G4" i="2"/>
  <c r="G4" i="31" s="1"/>
  <c r="G6" i="2"/>
  <c r="G6" i="31" s="1"/>
  <c r="G9" i="2"/>
  <c r="G9" i="31" s="1"/>
  <c r="G5" i="2"/>
  <c r="G5" i="31" s="1"/>
  <c r="G84" i="2"/>
  <c r="G60" i="2"/>
  <c r="G60" i="31" s="1"/>
  <c r="D8" i="2"/>
  <c r="D8" i="31" s="1"/>
  <c r="D5" i="2"/>
  <c r="D5" i="31" s="1"/>
  <c r="G80" i="2"/>
  <c r="G85" i="2"/>
  <c r="G65" i="2"/>
  <c r="G65" i="31" s="1"/>
  <c r="G96" i="2"/>
  <c r="G91" i="2"/>
  <c r="G11" i="2"/>
  <c r="G11" i="31" s="1"/>
  <c r="G18" i="2"/>
  <c r="G18" i="31" s="1"/>
  <c r="D15" i="2"/>
  <c r="D15" i="31" s="1"/>
  <c r="D9" i="2"/>
  <c r="D9" i="31" s="1"/>
  <c r="D6" i="2"/>
  <c r="D6" i="31" s="1"/>
  <c r="D11" i="2"/>
  <c r="D11" i="31" s="1"/>
  <c r="D12" i="2"/>
  <c r="D12" i="31" s="1"/>
  <c r="D17" i="2"/>
  <c r="D17" i="31" s="1"/>
  <c r="D16" i="2"/>
  <c r="D16" i="31" s="1"/>
  <c r="D10" i="2"/>
  <c r="D10" i="31" s="1"/>
  <c r="D14" i="2"/>
  <c r="D14" i="31" s="1"/>
  <c r="D4" i="2"/>
  <c r="D4" i="31" s="1"/>
  <c r="D7" i="2"/>
  <c r="D7" i="31" s="1"/>
  <c r="D13" i="2"/>
  <c r="D13" i="31" s="1"/>
  <c r="G54" i="2"/>
  <c r="G54" i="31" s="1"/>
  <c r="G40" i="2"/>
  <c r="G40" i="31" s="1"/>
  <c r="G97" i="2"/>
  <c r="G69" i="2"/>
  <c r="G69" i="31" s="1"/>
  <c r="D18" i="2"/>
  <c r="D18" i="31" s="1"/>
  <c r="G103" i="2"/>
  <c r="G88" i="2"/>
  <c r="G36" i="2"/>
  <c r="G36" i="31" s="1"/>
  <c r="G68" i="2"/>
  <c r="G68" i="31" s="1"/>
  <c r="G81" i="2"/>
  <c r="G101" i="2"/>
  <c r="G45" i="2"/>
  <c r="G45" i="31" s="1"/>
  <c r="G48" i="2"/>
  <c r="G48" i="31" s="1"/>
  <c r="G52" i="2"/>
  <c r="G52" i="31" s="1"/>
  <c r="G30" i="2"/>
  <c r="G30" i="31" s="1"/>
  <c r="G106" i="2"/>
  <c r="G43" i="2"/>
  <c r="G43" i="31" s="1"/>
  <c r="G87" i="2"/>
  <c r="G105" i="2"/>
  <c r="G59" i="2"/>
  <c r="G59" i="31" s="1"/>
  <c r="G73" i="2"/>
  <c r="G73" i="31" s="1"/>
  <c r="G21" i="2"/>
  <c r="G21" i="31" s="1"/>
  <c r="G51" i="2"/>
  <c r="G51" i="31" s="1"/>
  <c r="G44" i="2"/>
  <c r="G44" i="31" s="1"/>
  <c r="G95" i="2"/>
  <c r="B42" i="22"/>
  <c r="G39" i="2"/>
  <c r="G39" i="31" s="1"/>
  <c r="G66" i="2"/>
  <c r="G66" i="31" s="1"/>
  <c r="G42" i="2"/>
  <c r="G42" i="31" s="1"/>
  <c r="G74" i="2"/>
  <c r="G74" i="31" s="1"/>
  <c r="G102" i="2"/>
  <c r="G72" i="2"/>
  <c r="G72" i="31" s="1"/>
  <c r="G99" i="2"/>
  <c r="G50" i="2"/>
  <c r="G50" i="31" s="1"/>
  <c r="G75" i="2"/>
  <c r="G93" i="2"/>
  <c r="G31" i="2"/>
  <c r="G31" i="31" s="1"/>
  <c r="G64" i="2"/>
  <c r="G64" i="31" s="1"/>
  <c r="G49" i="2"/>
  <c r="G49" i="31" s="1"/>
  <c r="G57" i="2"/>
  <c r="G57" i="31" s="1"/>
  <c r="G41" i="2"/>
  <c r="G41" i="31" s="1"/>
  <c r="G53" i="2"/>
  <c r="G53" i="31" s="1"/>
  <c r="G20" i="2"/>
  <c r="G20" i="31" s="1"/>
  <c r="G94" i="2"/>
  <c r="G70" i="2"/>
  <c r="G70" i="31" s="1"/>
  <c r="G77" i="2"/>
  <c r="G78" i="2"/>
  <c r="G47" i="2"/>
  <c r="G47" i="31" s="1"/>
  <c r="G26" i="2"/>
  <c r="G26" i="31" s="1"/>
  <c r="G82" i="2"/>
  <c r="B24" i="22"/>
  <c r="G56" i="2"/>
  <c r="G56" i="31" s="1"/>
  <c r="G61" i="2"/>
  <c r="G61" i="31" s="1"/>
  <c r="G23" i="2"/>
  <c r="G23" i="31" s="1"/>
  <c r="G55" i="2"/>
  <c r="G55" i="31" s="1"/>
  <c r="G104" i="2"/>
  <c r="G25" i="2"/>
  <c r="G25" i="31" s="1"/>
  <c r="G98" i="2"/>
  <c r="G58" i="2"/>
  <c r="G58" i="31" s="1"/>
  <c r="G67" i="2"/>
  <c r="G67" i="31" s="1"/>
  <c r="G37" i="2"/>
  <c r="G37" i="31" s="1"/>
  <c r="G71" i="2"/>
  <c r="G71" i="31" s="1"/>
  <c r="B39" i="22"/>
  <c r="G29" i="2"/>
  <c r="G29" i="31" s="1"/>
  <c r="G27" i="2"/>
  <c r="G27" i="31" s="1"/>
  <c r="G28" i="2"/>
  <c r="G28" i="31" s="1"/>
  <c r="G46" i="2"/>
  <c r="G46" i="31" s="1"/>
  <c r="B20" i="22"/>
  <c r="B25" i="22"/>
  <c r="G62" i="2"/>
  <c r="G62" i="31" s="1"/>
  <c r="G33" i="2"/>
  <c r="G33" i="31" s="1"/>
  <c r="G100" i="2"/>
  <c r="G76" i="2"/>
  <c r="G24" i="2"/>
  <c r="G24" i="31" s="1"/>
  <c r="B23" i="22"/>
  <c r="D22" i="2"/>
  <c r="D22" i="31" s="1"/>
  <c r="G38" i="2"/>
  <c r="G38" i="31" s="1"/>
  <c r="G34" i="2"/>
  <c r="G34" i="31" s="1"/>
  <c r="B32" i="22"/>
  <c r="G35" i="2"/>
  <c r="G35" i="31" s="1"/>
  <c r="G32" i="2"/>
  <c r="G32" i="31" s="1"/>
  <c r="B46" i="22"/>
  <c r="D25" i="2"/>
  <c r="D25" i="31" s="1"/>
  <c r="G83" i="2"/>
  <c r="G22" i="2"/>
  <c r="G22" i="31" s="1"/>
  <c r="B38" i="22"/>
  <c r="D26" i="2"/>
  <c r="D26" i="31" s="1"/>
  <c r="D24" i="2"/>
  <c r="D24" i="31" s="1"/>
  <c r="B16" i="22"/>
  <c r="D31" i="2"/>
  <c r="D31" i="31" s="1"/>
  <c r="G89" i="2"/>
  <c r="D40" i="2"/>
  <c r="D40" i="31" s="1"/>
  <c r="B28" i="22"/>
  <c r="D29" i="2"/>
  <c r="D29" i="31" s="1"/>
  <c r="D27" i="2"/>
  <c r="D27" i="31" s="1"/>
  <c r="D23" i="2"/>
  <c r="D23" i="31" s="1"/>
  <c r="D43" i="2"/>
  <c r="D43" i="31" s="1"/>
  <c r="D28" i="2"/>
  <c r="D28" i="31" s="1"/>
  <c r="D21" i="2"/>
  <c r="D21" i="31" s="1"/>
  <c r="D37" i="2"/>
  <c r="D37" i="31" s="1"/>
  <c r="D50" i="2"/>
  <c r="D50" i="31" s="1"/>
  <c r="D30" i="2"/>
  <c r="D30" i="31" s="1"/>
  <c r="D66" i="2"/>
  <c r="D66" i="31" s="1"/>
  <c r="D90" i="2"/>
  <c r="B27" i="22"/>
  <c r="D67" i="2"/>
  <c r="D67" i="31" s="1"/>
  <c r="G19" i="2"/>
  <c r="G19" i="31" s="1"/>
  <c r="D62" i="2"/>
  <c r="D62" i="31" s="1"/>
  <c r="B10" i="22"/>
  <c r="D83" i="2"/>
  <c r="B41" i="22"/>
  <c r="D56" i="2"/>
  <c r="D56" i="31" s="1"/>
  <c r="D71" i="2"/>
  <c r="D71" i="31" s="1"/>
  <c r="B6" i="22"/>
  <c r="D47" i="2"/>
  <c r="D47" i="31" s="1"/>
  <c r="D81" i="2"/>
  <c r="D38" i="2"/>
  <c r="D38" i="31" s="1"/>
  <c r="B26" i="22"/>
  <c r="D73" i="2"/>
  <c r="D73" i="31" s="1"/>
  <c r="B37" i="22"/>
  <c r="D72" i="2"/>
  <c r="D72" i="31" s="1"/>
  <c r="B40" i="22"/>
  <c r="D20" i="2"/>
  <c r="D20" i="31" s="1"/>
  <c r="D39" i="2"/>
  <c r="D39" i="31" s="1"/>
  <c r="D32" i="2"/>
  <c r="D32" i="31" s="1"/>
  <c r="D57" i="2"/>
  <c r="D57" i="31" s="1"/>
  <c r="D76" i="2"/>
  <c r="D35" i="2"/>
  <c r="D35" i="31" s="1"/>
  <c r="D61" i="2"/>
  <c r="D61" i="31" s="1"/>
  <c r="D33" i="2"/>
  <c r="D33" i="31" s="1"/>
  <c r="D75" i="2"/>
  <c r="B11" i="22"/>
  <c r="D36" i="2"/>
  <c r="D36" i="31" s="1"/>
  <c r="B33" i="22"/>
  <c r="D88" i="2"/>
  <c r="D87" i="2"/>
  <c r="D68" i="2"/>
  <c r="D68" i="31" s="1"/>
  <c r="B17" i="22"/>
  <c r="D41" i="2"/>
  <c r="D41" i="31" s="1"/>
  <c r="D52" i="2"/>
  <c r="D52" i="31" s="1"/>
  <c r="B49" i="22"/>
  <c r="D42" i="2"/>
  <c r="D42" i="31" s="1"/>
  <c r="D91" i="2"/>
  <c r="D49" i="2"/>
  <c r="D49" i="31" s="1"/>
  <c r="D34" i="2"/>
  <c r="D34" i="31" s="1"/>
  <c r="B36" i="22"/>
  <c r="D60" i="2"/>
  <c r="D60" i="31" s="1"/>
  <c r="D82" i="2"/>
  <c r="D63" i="2"/>
  <c r="D63" i="31" s="1"/>
  <c r="D86" i="2"/>
  <c r="B45" i="22"/>
  <c r="D65" i="2"/>
  <c r="D65" i="31" s="1"/>
  <c r="D97" i="2"/>
  <c r="B35" i="22"/>
  <c r="D53" i="2"/>
  <c r="D53" i="31" s="1"/>
  <c r="B34" i="22"/>
  <c r="D55" i="2"/>
  <c r="D55" i="31" s="1"/>
  <c r="B5" i="22"/>
  <c r="D48" i="2"/>
  <c r="D48" i="31" s="1"/>
  <c r="D101" i="2"/>
  <c r="B44" i="22"/>
  <c r="D98" i="2"/>
  <c r="B48" i="22"/>
  <c r="D85" i="2"/>
  <c r="B12" i="22"/>
  <c r="D70" i="2"/>
  <c r="D70" i="31" s="1"/>
  <c r="D74" i="2"/>
  <c r="D74" i="31" s="1"/>
  <c r="B22" i="22"/>
  <c r="D58" i="2"/>
  <c r="D58" i="31" s="1"/>
  <c r="D104" i="2"/>
  <c r="D106" i="2"/>
  <c r="D77" i="2"/>
  <c r="B19" i="22"/>
  <c r="D51" i="2"/>
  <c r="D51" i="31" s="1"/>
  <c r="B31" i="22"/>
  <c r="D79" i="2"/>
  <c r="B43" i="22"/>
  <c r="D46" i="2"/>
  <c r="D46" i="31" s="1"/>
  <c r="B29" i="22"/>
  <c r="D45" i="2"/>
  <c r="D45" i="31" s="1"/>
  <c r="B47" i="22"/>
  <c r="D78" i="2"/>
  <c r="B30" i="22"/>
  <c r="D69" i="2"/>
  <c r="D69" i="31" s="1"/>
  <c r="D102" i="2"/>
  <c r="B8" i="22"/>
  <c r="D92" i="2"/>
  <c r="D84" i="2"/>
  <c r="B7" i="22"/>
  <c r="D93" i="2"/>
  <c r="B3" i="22"/>
  <c r="D100" i="2"/>
  <c r="D94" i="2"/>
  <c r="B9" i="22"/>
  <c r="D54" i="2"/>
  <c r="D54" i="31" s="1"/>
  <c r="B18" i="22"/>
  <c r="D59" i="2"/>
  <c r="D59" i="31" s="1"/>
  <c r="B4" i="22"/>
  <c r="D89" i="2"/>
  <c r="B15" i="22"/>
  <c r="D3" i="2"/>
  <c r="D3" i="31" s="1"/>
  <c r="B21" i="22"/>
  <c r="D96" i="2"/>
  <c r="B14" i="22"/>
  <c r="D64" i="2"/>
  <c r="D64" i="31" s="1"/>
  <c r="B13" i="22"/>
  <c r="D95" i="2"/>
  <c r="C3" i="31" l="1"/>
  <c r="C14" i="31"/>
  <c r="F8" i="31"/>
  <c r="C35" i="31"/>
  <c r="F5" i="31"/>
  <c r="C43" i="31"/>
  <c r="F38" i="31"/>
  <c r="F25" i="31"/>
  <c r="F31" i="31"/>
  <c r="F43" i="31"/>
  <c r="C23" i="31"/>
  <c r="C22" i="31"/>
  <c r="C10" i="31"/>
  <c r="F9" i="31"/>
  <c r="C47" i="31"/>
  <c r="C27" i="31"/>
  <c r="F55" i="31"/>
  <c r="F30" i="31"/>
  <c r="C16" i="31"/>
  <c r="F6" i="31"/>
  <c r="F23" i="31"/>
  <c r="F50" i="31"/>
  <c r="F52" i="31"/>
  <c r="C17" i="31"/>
  <c r="F4" i="31"/>
  <c r="F48" i="31"/>
  <c r="C12" i="31"/>
  <c r="F16" i="31"/>
  <c r="C11" i="31"/>
  <c r="F3" i="31"/>
  <c r="C55" i="31"/>
  <c r="C51" i="31"/>
  <c r="C56" i="31"/>
  <c r="C33" i="31"/>
  <c r="F62" i="31"/>
  <c r="F74" i="31"/>
  <c r="C9" i="31"/>
  <c r="F14" i="31"/>
  <c r="C68" i="31"/>
  <c r="C36" i="31"/>
  <c r="F45" i="31"/>
  <c r="C61" i="31"/>
  <c r="F26" i="31"/>
  <c r="F42" i="31"/>
  <c r="F68" i="31"/>
  <c r="C15" i="31"/>
  <c r="C62" i="31"/>
  <c r="C24" i="31"/>
  <c r="F47" i="31"/>
  <c r="F66" i="31"/>
  <c r="F36" i="31"/>
  <c r="F18" i="31"/>
  <c r="C54" i="31"/>
  <c r="C29" i="31"/>
  <c r="F56" i="31"/>
  <c r="C63" i="31"/>
  <c r="C60" i="31"/>
  <c r="F46" i="31"/>
  <c r="F11" i="31"/>
  <c r="F7" i="31"/>
  <c r="F24" i="31"/>
  <c r="F72" i="31"/>
  <c r="C58" i="31"/>
  <c r="C74" i="31"/>
  <c r="F19" i="31"/>
  <c r="C26" i="31"/>
  <c r="F39" i="31"/>
  <c r="C70" i="31"/>
  <c r="C57" i="31"/>
  <c r="C67" i="31"/>
  <c r="F28" i="31"/>
  <c r="C38" i="31"/>
  <c r="C65" i="31"/>
  <c r="C31" i="31"/>
  <c r="C32" i="31"/>
  <c r="F22" i="31"/>
  <c r="F27" i="31"/>
  <c r="F70" i="31"/>
  <c r="C18" i="31"/>
  <c r="F17" i="31"/>
  <c r="C59" i="31"/>
  <c r="C71" i="31"/>
  <c r="C40" i="31"/>
  <c r="F33" i="31"/>
  <c r="C34" i="31"/>
  <c r="C69" i="31"/>
  <c r="C49" i="31"/>
  <c r="C39" i="31"/>
  <c r="F29" i="31"/>
  <c r="F44" i="31"/>
  <c r="F69" i="31"/>
  <c r="F65" i="31"/>
  <c r="F15" i="31"/>
  <c r="C53" i="31"/>
  <c r="F61" i="31"/>
  <c r="C6" i="31"/>
  <c r="C64" i="31"/>
  <c r="C20" i="31"/>
  <c r="C66" i="31"/>
  <c r="C25" i="31"/>
  <c r="F20" i="31"/>
  <c r="F51" i="31"/>
  <c r="F12" i="31"/>
  <c r="F21" i="31"/>
  <c r="F40" i="31"/>
  <c r="F10" i="31"/>
  <c r="F54" i="31"/>
  <c r="C5" i="31"/>
  <c r="F13" i="31"/>
  <c r="C30" i="31"/>
  <c r="C50" i="31"/>
  <c r="F41" i="31"/>
  <c r="C45" i="31"/>
  <c r="C52" i="31"/>
  <c r="C37" i="31"/>
  <c r="F35" i="31"/>
  <c r="F67" i="31"/>
  <c r="F57" i="31"/>
  <c r="F59" i="31"/>
  <c r="C13" i="31"/>
  <c r="C8" i="31"/>
  <c r="C19" i="31"/>
  <c r="F32" i="31"/>
  <c r="F37" i="31"/>
  <c r="C48" i="31"/>
  <c r="C41" i="31"/>
  <c r="C73" i="31"/>
  <c r="C21" i="31"/>
  <c r="F58" i="31"/>
  <c r="F49" i="31"/>
  <c r="C7" i="31"/>
  <c r="F60" i="31"/>
  <c r="F63" i="31"/>
  <c r="C42" i="31"/>
  <c r="F71" i="31"/>
  <c r="F53" i="31"/>
  <c r="C72" i="31"/>
  <c r="F73" i="31"/>
  <c r="C46" i="31"/>
  <c r="C28" i="31"/>
  <c r="F34" i="31"/>
  <c r="F64" i="31"/>
  <c r="C4" i="31"/>
  <c r="C44" i="31"/>
  <c r="C3" i="2"/>
  <c r="C33" i="2"/>
  <c r="C20" i="2"/>
  <c r="C87" i="2"/>
  <c r="C79" i="2"/>
  <c r="C19" i="2"/>
  <c r="C69" i="2"/>
  <c r="C34" i="2"/>
  <c r="C88" i="2"/>
  <c r="C36" i="2"/>
  <c r="C84" i="2"/>
  <c r="C48" i="2"/>
  <c r="C78" i="2"/>
  <c r="C91" i="2"/>
  <c r="C101" i="2"/>
  <c r="C83" i="2"/>
  <c r="C32" i="2"/>
  <c r="C54" i="2"/>
  <c r="C63" i="2"/>
  <c r="C55" i="2"/>
  <c r="C52" i="2"/>
  <c r="C96" i="2"/>
  <c r="C89" i="2"/>
  <c r="C105" i="2"/>
  <c r="C57" i="2"/>
  <c r="C81" i="2"/>
  <c r="C71" i="2"/>
  <c r="C53" i="2"/>
  <c r="C86" i="2"/>
  <c r="C61" i="2"/>
  <c r="C95" i="2"/>
  <c r="C45" i="2"/>
  <c r="C74" i="2"/>
  <c r="C67" i="2"/>
  <c r="C97" i="2"/>
  <c r="C80" i="2"/>
  <c r="C62" i="2"/>
  <c r="C106" i="2"/>
  <c r="C100" i="2"/>
  <c r="C56" i="2"/>
  <c r="C93" i="2"/>
  <c r="C58" i="2"/>
  <c r="C104" i="2"/>
  <c r="C77" i="2"/>
  <c r="C70" i="2"/>
  <c r="C92" i="2"/>
  <c r="C51" i="2"/>
  <c r="C59" i="2"/>
  <c r="C49" i="2"/>
  <c r="C42" i="2"/>
  <c r="C94" i="2"/>
  <c r="C64" i="2"/>
  <c r="C46" i="2"/>
  <c r="C65" i="2"/>
  <c r="C102" i="2"/>
  <c r="C60" i="2"/>
  <c r="C35" i="2"/>
  <c r="C75" i="2"/>
  <c r="C41" i="2"/>
  <c r="C103" i="2"/>
  <c r="C99" i="2"/>
  <c r="C85" i="2"/>
  <c r="C82" i="2"/>
  <c r="C68" i="2"/>
  <c r="C72" i="2"/>
  <c r="C90" i="2"/>
  <c r="C73" i="2"/>
  <c r="F83" i="2"/>
  <c r="C66" i="2"/>
  <c r="C50" i="2"/>
  <c r="C76" i="2"/>
  <c r="C39" i="2"/>
  <c r="C98" i="2"/>
  <c r="C47" i="2"/>
  <c r="F16" i="2"/>
  <c r="F9" i="2"/>
  <c r="F91" i="2"/>
  <c r="F8" i="2"/>
  <c r="F10" i="2"/>
  <c r="F84" i="2"/>
  <c r="F65" i="2"/>
  <c r="C7" i="2"/>
  <c r="C15" i="2"/>
  <c r="F7" i="2"/>
  <c r="F6" i="2"/>
  <c r="C5" i="2"/>
  <c r="C11" i="2"/>
  <c r="F79" i="2"/>
  <c r="C12" i="2"/>
  <c r="F90" i="2"/>
  <c r="F54" i="2"/>
  <c r="F52" i="2"/>
  <c r="F63" i="2"/>
  <c r="F99" i="2"/>
  <c r="F93" i="2"/>
  <c r="F80" i="2"/>
  <c r="F36" i="2"/>
  <c r="F51" i="2"/>
  <c r="C17" i="2"/>
  <c r="C9" i="2"/>
  <c r="F45" i="2"/>
  <c r="F103" i="2"/>
  <c r="F85" i="2"/>
  <c r="C6" i="2"/>
  <c r="F81" i="2"/>
  <c r="F72" i="2"/>
  <c r="F102" i="2"/>
  <c r="F26" i="2"/>
  <c r="F49" i="2"/>
  <c r="F82" i="2"/>
  <c r="F66" i="2"/>
  <c r="F53" i="2"/>
  <c r="F25" i="2"/>
  <c r="F71" i="2"/>
  <c r="F75" i="2"/>
  <c r="F74" i="2"/>
  <c r="F94" i="2"/>
  <c r="F67" i="2"/>
  <c r="F92" i="2"/>
  <c r="F77" i="2"/>
  <c r="F68" i="2"/>
  <c r="F104" i="2"/>
  <c r="F33" i="2"/>
  <c r="F98" i="2"/>
  <c r="F38" i="2"/>
  <c r="C40" i="2"/>
  <c r="F28" i="2"/>
  <c r="C22" i="2"/>
  <c r="C27" i="2"/>
  <c r="F76" i="2"/>
  <c r="F89" i="2"/>
  <c r="C31" i="2"/>
  <c r="C44" i="2"/>
  <c r="C38" i="2"/>
  <c r="C43" i="2"/>
  <c r="F19" i="2"/>
  <c r="Q19" i="31" s="1"/>
  <c r="C30" i="2"/>
  <c r="C37" i="2"/>
  <c r="F34" i="2"/>
  <c r="C21" i="2"/>
  <c r="C29" i="2"/>
  <c r="C26" i="2"/>
  <c r="C23" i="2"/>
  <c r="C24" i="2"/>
  <c r="C28" i="2"/>
  <c r="C25" i="2"/>
  <c r="F31" i="2"/>
  <c r="F23" i="2"/>
  <c r="F22" i="2"/>
  <c r="F29" i="2"/>
  <c r="F56" i="2"/>
  <c r="F24" i="2"/>
  <c r="F100" i="2"/>
  <c r="F35" i="2"/>
  <c r="F32" i="2"/>
  <c r="F62" i="2"/>
  <c r="F78" i="2"/>
  <c r="F95" i="2"/>
  <c r="F50" i="2"/>
  <c r="C10" i="2"/>
  <c r="F46" i="2"/>
  <c r="F55" i="2"/>
  <c r="F88" i="2"/>
  <c r="F70" i="2"/>
  <c r="F27" i="2"/>
  <c r="F37" i="2"/>
  <c r="F41" i="2"/>
  <c r="F61" i="2"/>
  <c r="F105" i="2"/>
  <c r="F58" i="2"/>
  <c r="F20" i="2"/>
  <c r="F57" i="2"/>
  <c r="F101" i="2"/>
  <c r="F97" i="2"/>
  <c r="F96" i="2"/>
  <c r="F47" i="2"/>
  <c r="F39" i="2"/>
  <c r="F4" i="2"/>
  <c r="F106" i="2"/>
  <c r="C13" i="2"/>
  <c r="F60" i="2"/>
  <c r="F30" i="2"/>
  <c r="F40" i="2"/>
  <c r="C16" i="2"/>
  <c r="F3" i="2"/>
  <c r="F48" i="2"/>
  <c r="F86" i="2"/>
  <c r="C18" i="2"/>
  <c r="F64" i="2"/>
  <c r="C4" i="2"/>
  <c r="F14" i="2"/>
  <c r="F44" i="2"/>
  <c r="F5" i="2"/>
  <c r="F69" i="2"/>
  <c r="F21" i="2"/>
  <c r="C14" i="2"/>
  <c r="F17" i="2"/>
  <c r="F87" i="2"/>
  <c r="F42" i="2"/>
  <c r="F73" i="2"/>
  <c r="F43" i="2"/>
  <c r="F18" i="2"/>
  <c r="F59" i="2"/>
  <c r="F15" i="2"/>
  <c r="F12" i="2"/>
  <c r="F11" i="2"/>
  <c r="C8" i="2"/>
  <c r="F13" i="2"/>
  <c r="Q20" i="31" l="1"/>
  <c r="S34" i="2"/>
  <c r="P20" i="2"/>
  <c r="P20" i="31"/>
  <c r="P13" i="2"/>
  <c r="P13" i="31"/>
  <c r="P10" i="2"/>
  <c r="P10" i="31"/>
  <c r="P21" i="2"/>
  <c r="P21" i="31"/>
  <c r="P9" i="2"/>
  <c r="P9" i="31"/>
  <c r="S33" i="2"/>
  <c r="P17" i="2"/>
  <c r="P17" i="31"/>
  <c r="Q10" i="2"/>
  <c r="Q10" i="31"/>
  <c r="P3" i="2"/>
  <c r="P3" i="31"/>
  <c r="Q8" i="2"/>
  <c r="Q8" i="31"/>
  <c r="Q4" i="2"/>
  <c r="Q4" i="31"/>
  <c r="Q17" i="2"/>
  <c r="Q17" i="31"/>
  <c r="Q9" i="2"/>
  <c r="Q9" i="31"/>
  <c r="P14" i="2"/>
  <c r="P14" i="31"/>
  <c r="Q21" i="2"/>
  <c r="Q21" i="31"/>
  <c r="Q16" i="2"/>
  <c r="Q16" i="31"/>
  <c r="Q25" i="2"/>
  <c r="Q25" i="31"/>
  <c r="Q24" i="2"/>
  <c r="Q24" i="31"/>
  <c r="Q14" i="2"/>
  <c r="Q14" i="31"/>
  <c r="S48" i="2"/>
  <c r="P12" i="2"/>
  <c r="P12" i="31"/>
  <c r="Q13" i="2"/>
  <c r="Q13" i="31"/>
  <c r="P18" i="2"/>
  <c r="P18" i="31"/>
  <c r="Q23" i="2"/>
  <c r="Q23" i="31"/>
  <c r="P22" i="2"/>
  <c r="P22" i="31"/>
  <c r="Q26" i="2"/>
  <c r="Q26" i="31"/>
  <c r="Q22" i="2"/>
  <c r="Q22" i="31"/>
  <c r="P8" i="2"/>
  <c r="P8" i="31"/>
  <c r="P11" i="2"/>
  <c r="P11" i="31"/>
  <c r="P5" i="2"/>
  <c r="P5" i="31"/>
  <c r="Q11" i="2"/>
  <c r="Q11" i="31"/>
  <c r="P25" i="2"/>
  <c r="P25" i="31"/>
  <c r="Q6" i="2"/>
  <c r="Q6" i="31"/>
  <c r="Q12" i="2"/>
  <c r="Q12" i="31"/>
  <c r="Q3" i="2"/>
  <c r="Q3" i="31"/>
  <c r="Q15" i="2"/>
  <c r="Q15" i="31"/>
  <c r="P16" i="2"/>
  <c r="P16" i="31"/>
  <c r="P24" i="2"/>
  <c r="P24" i="31"/>
  <c r="P6" i="2"/>
  <c r="P6" i="31"/>
  <c r="Q7" i="2"/>
  <c r="Q7" i="31"/>
  <c r="S20" i="2"/>
  <c r="P19" i="2"/>
  <c r="P19" i="31"/>
  <c r="P23" i="2"/>
  <c r="P23" i="31"/>
  <c r="P15" i="2"/>
  <c r="P15" i="31"/>
  <c r="Q5" i="2"/>
  <c r="Q5" i="31"/>
  <c r="P4" i="2"/>
  <c r="P4" i="31"/>
  <c r="Q18" i="2"/>
  <c r="Q18" i="31"/>
  <c r="P26" i="2"/>
  <c r="P26" i="31"/>
  <c r="P7" i="2"/>
  <c r="P7" i="31"/>
  <c r="S19" i="2"/>
  <c r="S3" i="2"/>
  <c r="S54" i="2"/>
  <c r="S83" i="2"/>
  <c r="S101" i="2"/>
  <c r="S91" i="2"/>
  <c r="Q20" i="2"/>
  <c r="S78" i="2"/>
  <c r="S84" i="2"/>
  <c r="S36" i="2"/>
  <c r="S88" i="2"/>
  <c r="Q19" i="2"/>
  <c r="S69" i="2"/>
  <c r="S63" i="2"/>
  <c r="S79" i="2"/>
  <c r="S87" i="2"/>
  <c r="S32" i="2"/>
  <c r="S4" i="2"/>
  <c r="U78" i="2"/>
  <c r="S40" i="2"/>
  <c r="U102" i="2"/>
  <c r="S11" i="2"/>
  <c r="S73" i="2"/>
  <c r="S49" i="2"/>
  <c r="S95" i="2"/>
  <c r="S52" i="2"/>
  <c r="S90" i="2"/>
  <c r="U98" i="2"/>
  <c r="U81" i="2"/>
  <c r="U6" i="2"/>
  <c r="S72" i="2"/>
  <c r="S102" i="2"/>
  <c r="S61" i="2"/>
  <c r="S55" i="2"/>
  <c r="U15" i="2"/>
  <c r="U33" i="2"/>
  <c r="S6" i="2"/>
  <c r="U7" i="2"/>
  <c r="S68" i="2"/>
  <c r="S65" i="2"/>
  <c r="S86" i="2"/>
  <c r="U64" i="2"/>
  <c r="U86" i="2"/>
  <c r="U58" i="2"/>
  <c r="U35" i="2"/>
  <c r="U34" i="2"/>
  <c r="U104" i="2"/>
  <c r="U85" i="2"/>
  <c r="S15" i="2"/>
  <c r="S82" i="2"/>
  <c r="S53" i="2"/>
  <c r="U72" i="2"/>
  <c r="U32" i="2"/>
  <c r="U48" i="2"/>
  <c r="U100" i="2"/>
  <c r="S37" i="2"/>
  <c r="U68" i="2"/>
  <c r="U103" i="2"/>
  <c r="S7" i="2"/>
  <c r="S46" i="2"/>
  <c r="S51" i="2"/>
  <c r="U105" i="2"/>
  <c r="U3" i="2"/>
  <c r="U61" i="2"/>
  <c r="U45" i="2"/>
  <c r="U65" i="2"/>
  <c r="S85" i="2"/>
  <c r="S106" i="2"/>
  <c r="S71" i="2"/>
  <c r="U43" i="2"/>
  <c r="S30" i="2"/>
  <c r="U77" i="2"/>
  <c r="S9" i="2"/>
  <c r="U84" i="2"/>
  <c r="S99" i="2"/>
  <c r="S64" i="2"/>
  <c r="S81" i="2"/>
  <c r="U62" i="2"/>
  <c r="U59" i="2"/>
  <c r="S16" i="2"/>
  <c r="U24" i="2"/>
  <c r="U73" i="2"/>
  <c r="U40" i="2"/>
  <c r="U41" i="2"/>
  <c r="U56" i="2"/>
  <c r="U92" i="2"/>
  <c r="S17" i="2"/>
  <c r="U10" i="2"/>
  <c r="S62" i="2"/>
  <c r="U37" i="2"/>
  <c r="U67" i="2"/>
  <c r="U51" i="2"/>
  <c r="U8" i="2"/>
  <c r="S94" i="2"/>
  <c r="S92" i="2"/>
  <c r="U57" i="2"/>
  <c r="U27" i="2"/>
  <c r="U94" i="2"/>
  <c r="U36" i="2"/>
  <c r="U91" i="2"/>
  <c r="S103" i="2"/>
  <c r="S70" i="2"/>
  <c r="S57" i="2"/>
  <c r="S29" i="2"/>
  <c r="S21" i="2"/>
  <c r="U19" i="2"/>
  <c r="U70" i="2"/>
  <c r="U22" i="2"/>
  <c r="S43" i="2"/>
  <c r="U74" i="2"/>
  <c r="U80" i="2"/>
  <c r="U9" i="2"/>
  <c r="S42" i="2"/>
  <c r="S77" i="2"/>
  <c r="S80" i="2"/>
  <c r="U30" i="2"/>
  <c r="U106" i="2"/>
  <c r="U88" i="2"/>
  <c r="U23" i="2"/>
  <c r="S38" i="2"/>
  <c r="U75" i="2"/>
  <c r="U93" i="2"/>
  <c r="U16" i="2"/>
  <c r="S41" i="2"/>
  <c r="S104" i="2"/>
  <c r="S5" i="2"/>
  <c r="U29" i="2"/>
  <c r="S14" i="2"/>
  <c r="U4" i="2"/>
  <c r="U31" i="2"/>
  <c r="S44" i="2"/>
  <c r="U71" i="2"/>
  <c r="U99" i="2"/>
  <c r="S47" i="2"/>
  <c r="S58" i="2"/>
  <c r="S97" i="2"/>
  <c r="U38" i="2"/>
  <c r="U87" i="2"/>
  <c r="U63" i="2"/>
  <c r="S98" i="2"/>
  <c r="S75" i="2"/>
  <c r="S93" i="2"/>
  <c r="S67" i="2"/>
  <c r="S105" i="2"/>
  <c r="U20" i="2"/>
  <c r="S31" i="2"/>
  <c r="U13" i="2"/>
  <c r="U21" i="2"/>
  <c r="U47" i="2"/>
  <c r="U46" i="2"/>
  <c r="U89" i="2"/>
  <c r="U53" i="2"/>
  <c r="U52" i="2"/>
  <c r="S39" i="2"/>
  <c r="S35" i="2"/>
  <c r="S56" i="2"/>
  <c r="U18" i="2"/>
  <c r="U39" i="2"/>
  <c r="S8" i="2"/>
  <c r="U69" i="2"/>
  <c r="S10" i="2"/>
  <c r="S28" i="2"/>
  <c r="U76" i="2"/>
  <c r="U66" i="2"/>
  <c r="U54" i="2"/>
  <c r="S76" i="2"/>
  <c r="S60" i="2"/>
  <c r="S89" i="2"/>
  <c r="S59" i="2"/>
  <c r="U60" i="2"/>
  <c r="U55" i="2"/>
  <c r="U96" i="2"/>
  <c r="S24" i="2"/>
  <c r="S27" i="2"/>
  <c r="U82" i="2"/>
  <c r="U90" i="2"/>
  <c r="S50" i="2"/>
  <c r="S74" i="2"/>
  <c r="S96" i="2"/>
  <c r="S18" i="2"/>
  <c r="U17" i="2"/>
  <c r="U25" i="2"/>
  <c r="U5" i="2"/>
  <c r="U97" i="2"/>
  <c r="U50" i="2"/>
  <c r="S23" i="2"/>
  <c r="S22" i="2"/>
  <c r="U49" i="2"/>
  <c r="S12" i="2"/>
  <c r="S66" i="2"/>
  <c r="S100" i="2"/>
  <c r="S45" i="2"/>
  <c r="U42" i="2"/>
  <c r="S13" i="2"/>
  <c r="S25" i="2"/>
  <c r="U11" i="2"/>
  <c r="U12" i="2"/>
  <c r="U44" i="2"/>
  <c r="U14" i="2"/>
  <c r="U101" i="2"/>
  <c r="U95" i="2"/>
  <c r="S26" i="2"/>
  <c r="U28" i="2"/>
  <c r="U26" i="2"/>
  <c r="U79" i="2"/>
  <c r="U83" i="2"/>
  <c r="R8" i="2" l="1"/>
  <c r="W8" i="2" s="1"/>
  <c r="AN8" i="2" s="1"/>
  <c r="R20" i="2"/>
  <c r="W20" i="2" s="1"/>
  <c r="R24" i="2"/>
  <c r="R13" i="2"/>
  <c r="W13" i="2" s="1"/>
  <c r="AN13" i="2" s="1"/>
  <c r="R22" i="2"/>
  <c r="R3" i="2"/>
  <c r="R20" i="31"/>
  <c r="R19" i="2"/>
  <c r="W19" i="2" s="1"/>
  <c r="AN19" i="2" s="1"/>
  <c r="R15" i="31"/>
  <c r="R19" i="31"/>
  <c r="R10" i="2"/>
  <c r="W10" i="2" s="1"/>
  <c r="AN10" i="2" s="1"/>
  <c r="R26" i="2"/>
  <c r="T26" i="2" s="1"/>
  <c r="R23" i="2"/>
  <c r="W23" i="2" s="1"/>
  <c r="T3" i="2"/>
  <c r="V3" i="2"/>
  <c r="W3" i="2"/>
  <c r="AN3" i="2" s="1"/>
  <c r="R17" i="2"/>
  <c r="R6" i="2"/>
  <c r="V20" i="2"/>
  <c r="T20" i="2"/>
  <c r="E40" i="1" s="1"/>
  <c r="R14" i="2"/>
  <c r="R11" i="2"/>
  <c r="V8" i="2"/>
  <c r="T8" i="2"/>
  <c r="R5" i="2"/>
  <c r="R7" i="2"/>
  <c r="R18" i="2"/>
  <c r="R4" i="2"/>
  <c r="R9" i="2"/>
  <c r="R15" i="2"/>
  <c r="R25" i="2"/>
  <c r="V24" i="2"/>
  <c r="T24" i="2"/>
  <c r="E5" i="1" s="1"/>
  <c r="P48" i="31" s="1"/>
  <c r="W24" i="2"/>
  <c r="T22" i="2"/>
  <c r="V22" i="2"/>
  <c r="W22" i="2"/>
  <c r="T19" i="2"/>
  <c r="V19" i="2"/>
  <c r="R12" i="2"/>
  <c r="T13" i="2"/>
  <c r="V13" i="2"/>
  <c r="R21" i="2"/>
  <c r="R16" i="2"/>
  <c r="E14" i="1" l="1"/>
  <c r="R10" i="31"/>
  <c r="E7" i="1"/>
  <c r="R6" i="31"/>
  <c r="R24" i="31"/>
  <c r="R23" i="31"/>
  <c r="S23" i="31" s="1"/>
  <c r="W23" i="31" s="1"/>
  <c r="R12" i="31"/>
  <c r="R5" i="31"/>
  <c r="R7" i="31"/>
  <c r="R11" i="31"/>
  <c r="S11" i="31" s="1"/>
  <c r="R17" i="31"/>
  <c r="S17" i="31" s="1"/>
  <c r="W17" i="31" s="1"/>
  <c r="R13" i="31"/>
  <c r="R9" i="31"/>
  <c r="S9" i="31" s="1"/>
  <c r="W9" i="31" s="1"/>
  <c r="R25" i="31"/>
  <c r="R14" i="31"/>
  <c r="R16" i="31"/>
  <c r="S20" i="31"/>
  <c r="W20" i="31" s="1"/>
  <c r="S19" i="31"/>
  <c r="W19" i="31" s="1"/>
  <c r="S10" i="31"/>
  <c r="R8" i="31"/>
  <c r="R22" i="31"/>
  <c r="R21" i="31"/>
  <c r="R26" i="31"/>
  <c r="R18" i="31"/>
  <c r="R3" i="31"/>
  <c r="S15" i="31"/>
  <c r="R4" i="31"/>
  <c r="V23" i="2"/>
  <c r="T23" i="2"/>
  <c r="E6" i="1" s="1"/>
  <c r="V26" i="2"/>
  <c r="E13" i="1" s="1"/>
  <c r="P50" i="31" s="1"/>
  <c r="W26" i="2"/>
  <c r="T10" i="2"/>
  <c r="V10" i="2"/>
  <c r="E21" i="1" s="1"/>
  <c r="P48" i="2"/>
  <c r="T25" i="2"/>
  <c r="V25" i="2"/>
  <c r="W25" i="2"/>
  <c r="W11" i="2"/>
  <c r="AN11" i="2" s="1"/>
  <c r="T11" i="2"/>
  <c r="V11" i="2"/>
  <c r="T16" i="2"/>
  <c r="V16" i="2"/>
  <c r="W16" i="2"/>
  <c r="AN16" i="2" s="1"/>
  <c r="T15" i="2"/>
  <c r="V15" i="2"/>
  <c r="W15" i="2"/>
  <c r="AN15" i="2" s="1"/>
  <c r="V21" i="2"/>
  <c r="E12" i="1" s="1"/>
  <c r="T21" i="2"/>
  <c r="W21" i="2"/>
  <c r="W9" i="2"/>
  <c r="AN9" i="2" s="1"/>
  <c r="V9" i="2"/>
  <c r="T9" i="2"/>
  <c r="V14" i="2"/>
  <c r="T14" i="2"/>
  <c r="W14" i="2"/>
  <c r="AN14" i="2" s="1"/>
  <c r="W4" i="2"/>
  <c r="AN4" i="2" s="1"/>
  <c r="V4" i="2"/>
  <c r="T4" i="2"/>
  <c r="E23" i="1" s="1"/>
  <c r="T12" i="2"/>
  <c r="V12" i="2"/>
  <c r="W12" i="2"/>
  <c r="AN12" i="2" s="1"/>
  <c r="T18" i="2"/>
  <c r="W18" i="2"/>
  <c r="V18" i="2"/>
  <c r="E22" i="1" s="1"/>
  <c r="T6" i="2"/>
  <c r="E15" i="1" s="1"/>
  <c r="V6" i="2"/>
  <c r="W6" i="2"/>
  <c r="AN6" i="2" s="1"/>
  <c r="W17" i="2"/>
  <c r="AN17" i="2" s="1"/>
  <c r="T17" i="2"/>
  <c r="E41" i="1" s="1"/>
  <c r="V17" i="2"/>
  <c r="X10" i="2"/>
  <c r="X13" i="2"/>
  <c r="T7" i="2"/>
  <c r="W7" i="2"/>
  <c r="AN7" i="2" s="1"/>
  <c r="V7" i="2"/>
  <c r="X19" i="2"/>
  <c r="X3" i="2"/>
  <c r="W5" i="2"/>
  <c r="AN5" i="2" s="1"/>
  <c r="V5" i="2"/>
  <c r="E43" i="1" s="1"/>
  <c r="T5" i="2"/>
  <c r="X8" i="2"/>
  <c r="E31" i="1" l="1"/>
  <c r="E29" i="1"/>
  <c r="E9" i="1"/>
  <c r="E2" i="1"/>
  <c r="E38" i="1"/>
  <c r="P33" i="2"/>
  <c r="P33" i="31"/>
  <c r="S12" i="31"/>
  <c r="W12" i="31" s="1"/>
  <c r="S24" i="31"/>
  <c r="W24" i="31" s="1"/>
  <c r="T24" i="31" s="1"/>
  <c r="V24" i="31" s="1"/>
  <c r="U24" i="31" s="1"/>
  <c r="Z24" i="31" s="1"/>
  <c r="S6" i="31"/>
  <c r="W6" i="31" s="1"/>
  <c r="T6" i="31" s="1"/>
  <c r="V6" i="31" s="1"/>
  <c r="U6" i="31" s="1"/>
  <c r="Z6" i="31" s="1"/>
  <c r="AA6" i="31" s="1"/>
  <c r="AB6" i="31" s="1"/>
  <c r="H6" i="31" s="1"/>
  <c r="S5" i="31"/>
  <c r="W5" i="31" s="1"/>
  <c r="T5" i="31" s="1"/>
  <c r="V5" i="31" s="1"/>
  <c r="U5" i="31" s="1"/>
  <c r="Z5" i="31" s="1"/>
  <c r="AA5" i="31" s="1"/>
  <c r="AC5" i="31" s="1"/>
  <c r="I5" i="31" s="1"/>
  <c r="E10" i="1"/>
  <c r="P40" i="31" s="1"/>
  <c r="E28" i="1"/>
  <c r="E18" i="1"/>
  <c r="E47" i="1"/>
  <c r="E25" i="1"/>
  <c r="E8" i="1"/>
  <c r="Q32" i="2" s="1"/>
  <c r="E44" i="1"/>
  <c r="E11" i="1"/>
  <c r="Q43" i="31" s="1"/>
  <c r="E24" i="1"/>
  <c r="E34" i="1"/>
  <c r="E20" i="1"/>
  <c r="Q40" i="2" s="1"/>
  <c r="E30" i="1"/>
  <c r="Q36" i="31" s="1"/>
  <c r="E46" i="1"/>
  <c r="E32" i="1"/>
  <c r="E39" i="1"/>
  <c r="E19" i="1"/>
  <c r="E36" i="1"/>
  <c r="E35" i="1"/>
  <c r="P32" i="31" s="1"/>
  <c r="P37" i="2"/>
  <c r="E4" i="1"/>
  <c r="E27" i="1"/>
  <c r="E42" i="1"/>
  <c r="E16" i="1"/>
  <c r="E45" i="1"/>
  <c r="Q48" i="2" s="1"/>
  <c r="R48" i="2" s="1"/>
  <c r="E48" i="1"/>
  <c r="Q27" i="2" s="1"/>
  <c r="E17" i="1"/>
  <c r="E26" i="1"/>
  <c r="E33" i="1"/>
  <c r="E49" i="1"/>
  <c r="E3" i="1"/>
  <c r="P39" i="31" s="1"/>
  <c r="E37" i="1"/>
  <c r="S7" i="31"/>
  <c r="W7" i="31" s="1"/>
  <c r="W11" i="31"/>
  <c r="T11" i="31" s="1"/>
  <c r="T9" i="31"/>
  <c r="V9" i="31" s="1"/>
  <c r="U9" i="31" s="1"/>
  <c r="Z9" i="31" s="1"/>
  <c r="W15" i="31"/>
  <c r="T15" i="31" s="1"/>
  <c r="V15" i="31" s="1"/>
  <c r="U15" i="31" s="1"/>
  <c r="Z15" i="31" s="1"/>
  <c r="T17" i="31"/>
  <c r="V17" i="31" s="1"/>
  <c r="U17" i="31" s="1"/>
  <c r="Z17" i="31" s="1"/>
  <c r="T19" i="31"/>
  <c r="V19" i="31" s="1"/>
  <c r="U19" i="31" s="1"/>
  <c r="Z19" i="31" s="1"/>
  <c r="T23" i="31"/>
  <c r="V23" i="31" s="1"/>
  <c r="U23" i="31" s="1"/>
  <c r="Z23" i="31" s="1"/>
  <c r="T20" i="31"/>
  <c r="V20" i="31" s="1"/>
  <c r="U20" i="31" s="1"/>
  <c r="Z20" i="31" s="1"/>
  <c r="W10" i="31"/>
  <c r="T10" i="31" s="1"/>
  <c r="V10" i="31" s="1"/>
  <c r="U10" i="31" s="1"/>
  <c r="Z10" i="31" s="1"/>
  <c r="S25" i="31"/>
  <c r="S16" i="31"/>
  <c r="S13" i="31"/>
  <c r="S14" i="31"/>
  <c r="S3" i="31"/>
  <c r="S18" i="31"/>
  <c r="S26" i="31"/>
  <c r="S22" i="31"/>
  <c r="S21" i="31"/>
  <c r="S8" i="31"/>
  <c r="S4" i="31"/>
  <c r="N8" i="26"/>
  <c r="N8" i="27"/>
  <c r="N24" i="26"/>
  <c r="N24" i="27"/>
  <c r="N13" i="26"/>
  <c r="N13" i="27"/>
  <c r="N18" i="26"/>
  <c r="N18" i="27"/>
  <c r="N15" i="26"/>
  <c r="N15" i="27"/>
  <c r="P50" i="2"/>
  <c r="P47" i="2"/>
  <c r="Q43" i="2"/>
  <c r="P38" i="2"/>
  <c r="AA19" i="2"/>
  <c r="Z19" i="2"/>
  <c r="AA3" i="2"/>
  <c r="Z3" i="2"/>
  <c r="Z13" i="2"/>
  <c r="AA13" i="2"/>
  <c r="X9" i="2"/>
  <c r="X17" i="2"/>
  <c r="X5" i="2"/>
  <c r="X15" i="2"/>
  <c r="X12" i="2"/>
  <c r="X16" i="2"/>
  <c r="Z8" i="2"/>
  <c r="AA8" i="2"/>
  <c r="Z10" i="2"/>
  <c r="AA10" i="2"/>
  <c r="X11" i="2"/>
  <c r="X4" i="2"/>
  <c r="X14" i="2"/>
  <c r="X7" i="2"/>
  <c r="X6" i="2"/>
  <c r="Q34" i="31" l="1"/>
  <c r="P44" i="31"/>
  <c r="Q32" i="31"/>
  <c r="P43" i="31"/>
  <c r="R43" i="31" s="1"/>
  <c r="S43" i="31" s="1"/>
  <c r="Q49" i="2"/>
  <c r="Q35" i="31"/>
  <c r="Q27" i="31"/>
  <c r="P31" i="31"/>
  <c r="Q45" i="31"/>
  <c r="Q45" i="2"/>
  <c r="P47" i="31"/>
  <c r="P41" i="31"/>
  <c r="P44" i="2"/>
  <c r="P37" i="31"/>
  <c r="Q49" i="31"/>
  <c r="P29" i="31"/>
  <c r="P45" i="2"/>
  <c r="P38" i="31"/>
  <c r="P28" i="31"/>
  <c r="Q36" i="2"/>
  <c r="Q29" i="31"/>
  <c r="Q44" i="31"/>
  <c r="R44" i="31" s="1"/>
  <c r="Q44" i="2"/>
  <c r="Q48" i="31"/>
  <c r="R48" i="31" s="1"/>
  <c r="Q50" i="31"/>
  <c r="R50" i="31" s="1"/>
  <c r="Q47" i="2"/>
  <c r="R47" i="2" s="1"/>
  <c r="W47" i="2" s="1"/>
  <c r="Q40" i="31"/>
  <c r="R40" i="31" s="1"/>
  <c r="Q39" i="31"/>
  <c r="R39" i="31" s="1"/>
  <c r="P46" i="2"/>
  <c r="P34" i="31"/>
  <c r="R34" i="31" s="1"/>
  <c r="P42" i="31"/>
  <c r="P30" i="2"/>
  <c r="P46" i="31"/>
  <c r="P30" i="31"/>
  <c r="P45" i="31"/>
  <c r="Q33" i="2"/>
  <c r="R33" i="2" s="1"/>
  <c r="W33" i="2" s="1"/>
  <c r="Q31" i="31"/>
  <c r="Q47" i="31"/>
  <c r="Q35" i="2"/>
  <c r="P29" i="2"/>
  <c r="Q29" i="2"/>
  <c r="P32" i="2"/>
  <c r="R32" i="2" s="1"/>
  <c r="W32" i="2" s="1"/>
  <c r="T12" i="31"/>
  <c r="V12" i="31" s="1"/>
  <c r="U12" i="31" s="1"/>
  <c r="Z12" i="31" s="1"/>
  <c r="AA12" i="31" s="1"/>
  <c r="AB12" i="31" s="1"/>
  <c r="H12" i="31" s="1"/>
  <c r="Q46" i="31"/>
  <c r="Q28" i="2"/>
  <c r="Q28" i="31"/>
  <c r="P35" i="2"/>
  <c r="P35" i="31"/>
  <c r="Q34" i="2"/>
  <c r="Q41" i="2"/>
  <c r="Q41" i="31"/>
  <c r="Q37" i="2"/>
  <c r="R37" i="2" s="1"/>
  <c r="W37" i="2" s="1"/>
  <c r="Q37" i="31"/>
  <c r="Q38" i="2"/>
  <c r="R38" i="2" s="1"/>
  <c r="Q38" i="31"/>
  <c r="P36" i="2"/>
  <c r="P36" i="31"/>
  <c r="R36" i="31" s="1"/>
  <c r="S36" i="31" s="1"/>
  <c r="Q42" i="2"/>
  <c r="Q42" i="31"/>
  <c r="Q33" i="31"/>
  <c r="R33" i="31" s="1"/>
  <c r="S33" i="31" s="1"/>
  <c r="P39" i="2"/>
  <c r="Q30" i="31"/>
  <c r="Q39" i="2"/>
  <c r="P27" i="2"/>
  <c r="R27" i="2" s="1"/>
  <c r="W27" i="2" s="1"/>
  <c r="P27" i="31"/>
  <c r="P49" i="2"/>
  <c r="R49" i="2" s="1"/>
  <c r="W49" i="2" s="1"/>
  <c r="P49" i="31"/>
  <c r="H10" i="27"/>
  <c r="G37" i="64" s="1"/>
  <c r="C25" i="64" s="1"/>
  <c r="F11" i="27"/>
  <c r="F37" i="62" s="1"/>
  <c r="Q50" i="2"/>
  <c r="R50" i="2" s="1"/>
  <c r="T50" i="2" s="1"/>
  <c r="P31" i="2"/>
  <c r="Q30" i="2"/>
  <c r="P42" i="2"/>
  <c r="T7" i="31"/>
  <c r="V7" i="31" s="1"/>
  <c r="U7" i="31" s="1"/>
  <c r="Z7" i="31" s="1"/>
  <c r="R32" i="31"/>
  <c r="S32" i="31" s="1"/>
  <c r="P28" i="2"/>
  <c r="V11" i="31"/>
  <c r="U11" i="31" s="1"/>
  <c r="Z11" i="31" s="1"/>
  <c r="AA11" i="31" s="1"/>
  <c r="AC11" i="31" s="1"/>
  <c r="I11" i="31" s="1"/>
  <c r="W14" i="31"/>
  <c r="T14" i="31" s="1"/>
  <c r="V14" i="31" s="1"/>
  <c r="U14" i="31" s="1"/>
  <c r="Z14" i="31" s="1"/>
  <c r="W18" i="31"/>
  <c r="T18" i="31" s="1"/>
  <c r="W8" i="31"/>
  <c r="T8" i="31" s="1"/>
  <c r="V8" i="31" s="1"/>
  <c r="U8" i="31" s="1"/>
  <c r="Z8" i="31" s="1"/>
  <c r="W21" i="31"/>
  <c r="T21" i="31" s="1"/>
  <c r="W3" i="31"/>
  <c r="T3" i="31" s="1"/>
  <c r="V3" i="31" s="1"/>
  <c r="U3" i="31" s="1"/>
  <c r="Z3" i="31" s="1"/>
  <c r="W13" i="31"/>
  <c r="T13" i="31" s="1"/>
  <c r="V13" i="31" s="1"/>
  <c r="U13" i="31" s="1"/>
  <c r="Z13" i="31" s="1"/>
  <c r="AA13" i="31" s="1"/>
  <c r="AB13" i="31" s="1"/>
  <c r="H13" i="31" s="1"/>
  <c r="W16" i="31"/>
  <c r="T16" i="31" s="1"/>
  <c r="V16" i="31" s="1"/>
  <c r="U16" i="31" s="1"/>
  <c r="Z16" i="31" s="1"/>
  <c r="AA16" i="31" s="1"/>
  <c r="AC16" i="31" s="1"/>
  <c r="I16" i="31" s="1"/>
  <c r="W25" i="31"/>
  <c r="T25" i="31" s="1"/>
  <c r="V25" i="31" s="1"/>
  <c r="U25" i="31" s="1"/>
  <c r="Z25" i="31" s="1"/>
  <c r="AA25" i="31" s="1"/>
  <c r="AC25" i="31" s="1"/>
  <c r="I25" i="31" s="1"/>
  <c r="W4" i="31"/>
  <c r="T4" i="31" s="1"/>
  <c r="V4" i="31" s="1"/>
  <c r="U4" i="31" s="1"/>
  <c r="Z4" i="31" s="1"/>
  <c r="W22" i="31"/>
  <c r="T22" i="31" s="1"/>
  <c r="V22" i="31" s="1"/>
  <c r="U22" i="31" s="1"/>
  <c r="Z22" i="31" s="1"/>
  <c r="W26" i="31"/>
  <c r="T26" i="31" s="1"/>
  <c r="V26" i="31" s="1"/>
  <c r="U26" i="31" s="1"/>
  <c r="Z26" i="31" s="1"/>
  <c r="AA26" i="31" s="1"/>
  <c r="AB26" i="31" s="1"/>
  <c r="H26" i="31" s="1"/>
  <c r="AA10" i="31"/>
  <c r="AB10" i="31" s="1"/>
  <c r="H10" i="31" s="1"/>
  <c r="AC6" i="31"/>
  <c r="I6" i="31" s="1"/>
  <c r="AA9" i="31"/>
  <c r="AB9" i="31" s="1"/>
  <c r="H9" i="31" s="1"/>
  <c r="AB5" i="31"/>
  <c r="H5" i="31" s="1"/>
  <c r="AA24" i="31"/>
  <c r="AC24" i="31" s="1"/>
  <c r="I24" i="31" s="1"/>
  <c r="AA19" i="31"/>
  <c r="AB19" i="31" s="1"/>
  <c r="H19" i="31" s="1"/>
  <c r="AA15" i="31"/>
  <c r="AC15" i="31" s="1"/>
  <c r="I15" i="31" s="1"/>
  <c r="AA23" i="31"/>
  <c r="AC23" i="31" s="1"/>
  <c r="I23" i="31" s="1"/>
  <c r="AA20" i="31"/>
  <c r="AB20" i="31" s="1"/>
  <c r="H20" i="31" s="1"/>
  <c r="AA17" i="31"/>
  <c r="AC17" i="31" s="1"/>
  <c r="I17" i="31" s="1"/>
  <c r="N16" i="26"/>
  <c r="N16" i="27"/>
  <c r="N11" i="26"/>
  <c r="N11" i="27"/>
  <c r="N12" i="26"/>
  <c r="N12" i="27"/>
  <c r="V50" i="2"/>
  <c r="N14" i="26"/>
  <c r="N14" i="27"/>
  <c r="N20" i="26"/>
  <c r="N20" i="27"/>
  <c r="N22" i="26"/>
  <c r="N22" i="27"/>
  <c r="P18" i="26"/>
  <c r="P18" i="27"/>
  <c r="P15" i="26"/>
  <c r="P15" i="27"/>
  <c r="P8" i="26"/>
  <c r="P8" i="27"/>
  <c r="P24" i="26"/>
  <c r="P24" i="27"/>
  <c r="N21" i="26"/>
  <c r="N21" i="27"/>
  <c r="N10" i="26"/>
  <c r="N10" i="27"/>
  <c r="P13" i="26"/>
  <c r="P13" i="27"/>
  <c r="N19" i="26"/>
  <c r="N19" i="27"/>
  <c r="N9" i="26"/>
  <c r="N9" i="27"/>
  <c r="N17" i="26"/>
  <c r="N17" i="27"/>
  <c r="T47" i="2"/>
  <c r="F6" i="1" s="1"/>
  <c r="V47" i="2"/>
  <c r="P34" i="2"/>
  <c r="T45" i="2"/>
  <c r="E50" i="1"/>
  <c r="P41" i="2"/>
  <c r="P40" i="2"/>
  <c r="R40" i="2" s="1"/>
  <c r="Q46" i="2"/>
  <c r="Q31" i="2"/>
  <c r="P43" i="2"/>
  <c r="R43" i="2" s="1"/>
  <c r="W43" i="2" s="1"/>
  <c r="AA12" i="2"/>
  <c r="Z12" i="2"/>
  <c r="V37" i="2"/>
  <c r="T37" i="2"/>
  <c r="AA6" i="2"/>
  <c r="Z6" i="2"/>
  <c r="Z15" i="2"/>
  <c r="AA15" i="2"/>
  <c r="Z9" i="2"/>
  <c r="AA9" i="2"/>
  <c r="Z11" i="2"/>
  <c r="AA11" i="2"/>
  <c r="T33" i="2"/>
  <c r="F7" i="1" s="1"/>
  <c r="V33" i="2"/>
  <c r="AA7" i="2"/>
  <c r="Z7" i="2"/>
  <c r="T48" i="2"/>
  <c r="F5" i="1" s="1"/>
  <c r="Q69" i="31" s="1"/>
  <c r="V48" i="2"/>
  <c r="W48" i="2"/>
  <c r="S44" i="31"/>
  <c r="Z17" i="2"/>
  <c r="AA17" i="2"/>
  <c r="V36" i="2"/>
  <c r="T36" i="2"/>
  <c r="AA14" i="2"/>
  <c r="Z14" i="2"/>
  <c r="T44" i="2"/>
  <c r="V44" i="2"/>
  <c r="V49" i="2"/>
  <c r="T49" i="2"/>
  <c r="AC8" i="2"/>
  <c r="Y8" i="2"/>
  <c r="Z16" i="2"/>
  <c r="AA16" i="2"/>
  <c r="AC3" i="2"/>
  <c r="Y3" i="2"/>
  <c r="AC10" i="2"/>
  <c r="Y10" i="2"/>
  <c r="AA4" i="2"/>
  <c r="Z4" i="2"/>
  <c r="T32" i="2"/>
  <c r="V32" i="2"/>
  <c r="Z5" i="2"/>
  <c r="AA5" i="2"/>
  <c r="Y19" i="2"/>
  <c r="AC19" i="2"/>
  <c r="AC13" i="2"/>
  <c r="Y13" i="2"/>
  <c r="R31" i="31" l="1"/>
  <c r="R27" i="31"/>
  <c r="R45" i="31"/>
  <c r="S45" i="31" s="1"/>
  <c r="R37" i="31"/>
  <c r="S37" i="31" s="1"/>
  <c r="R46" i="2"/>
  <c r="W46" i="2" s="1"/>
  <c r="R45" i="2"/>
  <c r="V45" i="2" s="1"/>
  <c r="R29" i="2"/>
  <c r="R47" i="31"/>
  <c r="S47" i="31" s="1"/>
  <c r="R38" i="31"/>
  <c r="S38" i="31" s="1"/>
  <c r="F30" i="1"/>
  <c r="R30" i="2"/>
  <c r="W30" i="2" s="1"/>
  <c r="R44" i="2"/>
  <c r="W44" i="2" s="1"/>
  <c r="Q71" i="31"/>
  <c r="F47" i="1"/>
  <c r="P57" i="31" s="1"/>
  <c r="F46" i="1"/>
  <c r="R49" i="31"/>
  <c r="S49" i="31" s="1"/>
  <c r="R28" i="31"/>
  <c r="S28" i="31" s="1"/>
  <c r="R46" i="31"/>
  <c r="S46" i="31" s="1"/>
  <c r="R30" i="31"/>
  <c r="S30" i="31" s="1"/>
  <c r="R42" i="31"/>
  <c r="S42" i="31" s="1"/>
  <c r="F40" i="1"/>
  <c r="R36" i="2"/>
  <c r="W36" i="2" s="1"/>
  <c r="F31" i="1"/>
  <c r="R35" i="2"/>
  <c r="V35" i="2" s="1"/>
  <c r="F32" i="1" s="1"/>
  <c r="T27" i="2"/>
  <c r="V27" i="2"/>
  <c r="T30" i="2"/>
  <c r="F14" i="1" s="1"/>
  <c r="V30" i="2"/>
  <c r="R34" i="2"/>
  <c r="W34" i="2" s="1"/>
  <c r="R41" i="2"/>
  <c r="W41" i="2" s="1"/>
  <c r="R28" i="2"/>
  <c r="V28" i="2" s="1"/>
  <c r="R31" i="2"/>
  <c r="W31" i="2" s="1"/>
  <c r="R42" i="2"/>
  <c r="W42" i="2" s="1"/>
  <c r="R39" i="2"/>
  <c r="W39" i="2" s="1"/>
  <c r="F18" i="27"/>
  <c r="F38" i="61" s="1"/>
  <c r="H30" i="27"/>
  <c r="G38" i="54" s="1"/>
  <c r="E27" i="54" s="1"/>
  <c r="H16" i="27"/>
  <c r="G37" i="61" s="1"/>
  <c r="C25" i="61" s="1"/>
  <c r="F24" i="27"/>
  <c r="F37" i="57" s="1"/>
  <c r="H22" i="27"/>
  <c r="G38" i="58" s="1"/>
  <c r="E27" i="58" s="1"/>
  <c r="H29" i="27"/>
  <c r="G37" i="54" s="1"/>
  <c r="F14" i="27"/>
  <c r="F38" i="63" s="1"/>
  <c r="F31" i="27"/>
  <c r="F38" i="55" s="1"/>
  <c r="H28" i="27"/>
  <c r="G37" i="55" s="1"/>
  <c r="F17" i="27"/>
  <c r="F37" i="60" s="1"/>
  <c r="H11" i="27"/>
  <c r="L11" i="27" s="1"/>
  <c r="H21" i="27"/>
  <c r="G37" i="59" s="1"/>
  <c r="F25" i="27"/>
  <c r="F38" i="57" s="1"/>
  <c r="F10" i="27"/>
  <c r="L10" i="27" s="1"/>
  <c r="F15" i="27"/>
  <c r="F38" i="62" s="1"/>
  <c r="H20" i="27"/>
  <c r="G37" i="58" s="1"/>
  <c r="D24" i="62"/>
  <c r="S50" i="31"/>
  <c r="R35" i="31"/>
  <c r="S35" i="31" s="1"/>
  <c r="S40" i="31"/>
  <c r="R29" i="31"/>
  <c r="S29" i="31" s="1"/>
  <c r="R41" i="31"/>
  <c r="S39" i="31"/>
  <c r="F37" i="1"/>
  <c r="S27" i="31"/>
  <c r="W27" i="31" s="1"/>
  <c r="T27" i="31" s="1"/>
  <c r="V27" i="31" s="1"/>
  <c r="U27" i="31" s="1"/>
  <c r="Z27" i="31" s="1"/>
  <c r="AA27" i="31" s="1"/>
  <c r="AB27" i="31" s="1"/>
  <c r="H27" i="31" s="1"/>
  <c r="S48" i="31"/>
  <c r="V18" i="31"/>
  <c r="U18" i="31" s="1"/>
  <c r="Z18" i="31" s="1"/>
  <c r="AA18" i="31" s="1"/>
  <c r="AC18" i="31" s="1"/>
  <c r="I18" i="31" s="1"/>
  <c r="V21" i="31"/>
  <c r="U21" i="31" s="1"/>
  <c r="Z21" i="31" s="1"/>
  <c r="AA21" i="31" s="1"/>
  <c r="AC21" i="31" s="1"/>
  <c r="I21" i="31" s="1"/>
  <c r="AB25" i="31"/>
  <c r="H25" i="31" s="1"/>
  <c r="W50" i="2"/>
  <c r="AC13" i="31"/>
  <c r="I13" i="31" s="1"/>
  <c r="AC20" i="31"/>
  <c r="I20" i="31" s="1"/>
  <c r="AB17" i="31"/>
  <c r="H17" i="31" s="1"/>
  <c r="AB11" i="31"/>
  <c r="H11" i="31" s="1"/>
  <c r="AC19" i="31"/>
  <c r="I19" i="31" s="1"/>
  <c r="AC26" i="31"/>
  <c r="I26" i="31" s="1"/>
  <c r="AB16" i="31"/>
  <c r="H16" i="31" s="1"/>
  <c r="AC9" i="31"/>
  <c r="I9" i="31" s="1"/>
  <c r="AB15" i="31"/>
  <c r="H15" i="31" s="1"/>
  <c r="AC12" i="31"/>
  <c r="I12" i="31" s="1"/>
  <c r="AB23" i="31"/>
  <c r="H23" i="31" s="1"/>
  <c r="AA4" i="31"/>
  <c r="AC4" i="31" s="1"/>
  <c r="I4" i="31" s="1"/>
  <c r="AA8" i="31"/>
  <c r="AB8" i="31" s="1"/>
  <c r="H8" i="31" s="1"/>
  <c r="AA22" i="31"/>
  <c r="AC22" i="31" s="1"/>
  <c r="I22" i="31" s="1"/>
  <c r="AA7" i="31"/>
  <c r="AC7" i="31" s="1"/>
  <c r="I7" i="31" s="1"/>
  <c r="AA3" i="31"/>
  <c r="AB24" i="31"/>
  <c r="H24" i="31" s="1"/>
  <c r="AC10" i="31"/>
  <c r="I10" i="31" s="1"/>
  <c r="AA14" i="31"/>
  <c r="AB14" i="31" s="1"/>
  <c r="H14" i="31" s="1"/>
  <c r="P20" i="26"/>
  <c r="P20" i="27"/>
  <c r="P9" i="26"/>
  <c r="P9" i="27"/>
  <c r="P11" i="26"/>
  <c r="P11" i="27"/>
  <c r="O15" i="26"/>
  <c r="O15" i="27"/>
  <c r="O24" i="26"/>
  <c r="O24" i="27"/>
  <c r="P19" i="26"/>
  <c r="P19" i="27"/>
  <c r="V43" i="2"/>
  <c r="F22" i="1" s="1"/>
  <c r="P58" i="31" s="1"/>
  <c r="P12" i="26"/>
  <c r="P12" i="27"/>
  <c r="O8" i="26"/>
  <c r="O8" i="27"/>
  <c r="P10" i="26"/>
  <c r="P10" i="27"/>
  <c r="P17" i="26"/>
  <c r="P17" i="27"/>
  <c r="P21" i="26"/>
  <c r="P21" i="27"/>
  <c r="O18" i="26"/>
  <c r="O18" i="27"/>
  <c r="P16" i="26"/>
  <c r="P16" i="27"/>
  <c r="O13" i="26"/>
  <c r="O13" i="27"/>
  <c r="P22" i="26"/>
  <c r="P22" i="27"/>
  <c r="P14" i="26"/>
  <c r="P14" i="27"/>
  <c r="S34" i="31"/>
  <c r="S31" i="31"/>
  <c r="T35" i="2"/>
  <c r="F29" i="1" s="1"/>
  <c r="V46" i="2"/>
  <c r="F12" i="1" s="1"/>
  <c r="T40" i="2"/>
  <c r="V40" i="2"/>
  <c r="F20" i="1" s="1"/>
  <c r="W40" i="2"/>
  <c r="T46" i="2"/>
  <c r="T43" i="2"/>
  <c r="F13" i="1" s="1"/>
  <c r="P71" i="31" s="1"/>
  <c r="T34" i="2"/>
  <c r="V34" i="2"/>
  <c r="T28" i="2"/>
  <c r="T31" i="2"/>
  <c r="V31" i="2"/>
  <c r="Y9" i="2"/>
  <c r="AC9" i="2"/>
  <c r="AB8" i="2"/>
  <c r="AJ8" i="2"/>
  <c r="AM8" i="2" s="1"/>
  <c r="AH8" i="2"/>
  <c r="AK8" i="2" s="1"/>
  <c r="AI8" i="2"/>
  <c r="AL8" i="2" s="1"/>
  <c r="AG8" i="2"/>
  <c r="Y12" i="2"/>
  <c r="AC12" i="2"/>
  <c r="AB13" i="2"/>
  <c r="AJ13" i="2"/>
  <c r="AM13" i="2" s="1"/>
  <c r="AH13" i="2"/>
  <c r="AK13" i="2" s="1"/>
  <c r="AI13" i="2"/>
  <c r="AL13" i="2" s="1"/>
  <c r="AG13" i="2"/>
  <c r="AB3" i="2"/>
  <c r="AJ3" i="2"/>
  <c r="AH3" i="2"/>
  <c r="AI3" i="2"/>
  <c r="AG3" i="2"/>
  <c r="Y11" i="2"/>
  <c r="AC11" i="2"/>
  <c r="AB10" i="2"/>
  <c r="AI10" i="2"/>
  <c r="AL10" i="2" s="1"/>
  <c r="AH10" i="2"/>
  <c r="AK10" i="2" s="1"/>
  <c r="AJ10" i="2"/>
  <c r="AM10" i="2" s="1"/>
  <c r="AG10" i="2"/>
  <c r="W29" i="2"/>
  <c r="T29" i="2"/>
  <c r="V29" i="2"/>
  <c r="F39" i="1" s="1"/>
  <c r="V42" i="2"/>
  <c r="F27" i="1" s="1"/>
  <c r="T42" i="2"/>
  <c r="F49" i="1" s="1"/>
  <c r="Y14" i="2"/>
  <c r="AC14" i="2"/>
  <c r="AC4" i="2"/>
  <c r="Y4" i="2"/>
  <c r="V41" i="2"/>
  <c r="F45" i="1" s="1"/>
  <c r="T41" i="2"/>
  <c r="AC17" i="2"/>
  <c r="Y17" i="2"/>
  <c r="AC7" i="2"/>
  <c r="Y7" i="2"/>
  <c r="AB19" i="2"/>
  <c r="AH19" i="2"/>
  <c r="AK19" i="2" s="1"/>
  <c r="AJ19" i="2"/>
  <c r="AM19" i="2" s="1"/>
  <c r="AG19" i="2"/>
  <c r="AI19" i="2"/>
  <c r="AL19" i="2" s="1"/>
  <c r="AC5" i="2"/>
  <c r="Y5" i="2"/>
  <c r="T39" i="2"/>
  <c r="F3" i="1" s="1"/>
  <c r="V39" i="2"/>
  <c r="Y16" i="2"/>
  <c r="AC16" i="2"/>
  <c r="V38" i="2"/>
  <c r="T38" i="2"/>
  <c r="F36" i="1" s="1"/>
  <c r="W38" i="2"/>
  <c r="Y15" i="2"/>
  <c r="AC15" i="2"/>
  <c r="Y6" i="2"/>
  <c r="AC6" i="2"/>
  <c r="W45" i="2" l="1"/>
  <c r="Q57" i="31"/>
  <c r="F17" i="1"/>
  <c r="Q61" i="31" s="1"/>
  <c r="F33" i="1"/>
  <c r="P55" i="31" s="1"/>
  <c r="W35" i="2"/>
  <c r="F16" i="1"/>
  <c r="P69" i="31"/>
  <c r="R69" i="31" s="1"/>
  <c r="S69" i="31" s="1"/>
  <c r="W69" i="31" s="1"/>
  <c r="T69" i="31" s="1"/>
  <c r="V69" i="31" s="1"/>
  <c r="U69" i="31" s="1"/>
  <c r="Z69" i="31" s="1"/>
  <c r="W28" i="2"/>
  <c r="F2" i="1"/>
  <c r="F9" i="1"/>
  <c r="F25" i="1"/>
  <c r="Q62" i="31" s="1"/>
  <c r="F21" i="1"/>
  <c r="Q66" i="31" s="1"/>
  <c r="F42" i="1"/>
  <c r="F11" i="1"/>
  <c r="Q58" i="31" s="1"/>
  <c r="R58" i="31" s="1"/>
  <c r="F28" i="1"/>
  <c r="Q51" i="31" s="1"/>
  <c r="F34" i="1"/>
  <c r="Q59" i="31"/>
  <c r="F24" i="1"/>
  <c r="Q56" i="2" s="1"/>
  <c r="F15" i="1"/>
  <c r="F41" i="1"/>
  <c r="P56" i="2" s="1"/>
  <c r="F35" i="1"/>
  <c r="P53" i="31" s="1"/>
  <c r="F19" i="1"/>
  <c r="P51" i="31" s="1"/>
  <c r="Q64" i="31"/>
  <c r="P63" i="31"/>
  <c r="F18" i="1"/>
  <c r="P59" i="31" s="1"/>
  <c r="Q70" i="31"/>
  <c r="F38" i="1"/>
  <c r="Q72" i="31" s="1"/>
  <c r="F44" i="1"/>
  <c r="P52" i="31" s="1"/>
  <c r="F48" i="1"/>
  <c r="Q54" i="31" s="1"/>
  <c r="AC3" i="31"/>
  <c r="I3" i="31" s="1"/>
  <c r="G37" i="62"/>
  <c r="C25" i="62" s="1"/>
  <c r="M11" i="27"/>
  <c r="P71" i="2"/>
  <c r="F37" i="64"/>
  <c r="I37" i="64" s="1"/>
  <c r="C11" i="64" s="1"/>
  <c r="M10" i="27"/>
  <c r="F30" i="27"/>
  <c r="M30" i="27" s="1"/>
  <c r="H14" i="27"/>
  <c r="M14" i="27" s="1"/>
  <c r="H31" i="27"/>
  <c r="M31" i="27" s="1"/>
  <c r="H18" i="27"/>
  <c r="G38" i="61" s="1"/>
  <c r="E27" i="61" s="1"/>
  <c r="H23" i="27"/>
  <c r="G38" i="59" s="1"/>
  <c r="E27" i="59" s="1"/>
  <c r="H15" i="27"/>
  <c r="G38" i="62" s="1"/>
  <c r="E27" i="62" s="1"/>
  <c r="H12" i="27"/>
  <c r="G38" i="64" s="1"/>
  <c r="E27" i="64" s="1"/>
  <c r="F22" i="27"/>
  <c r="L22" i="27" s="1"/>
  <c r="F19" i="27"/>
  <c r="F38" i="60" s="1"/>
  <c r="H27" i="27"/>
  <c r="G38" i="56" s="1"/>
  <c r="E27" i="56" s="1"/>
  <c r="F21" i="27"/>
  <c r="L21" i="27" s="1"/>
  <c r="F16" i="27"/>
  <c r="F37" i="61" s="1"/>
  <c r="H25" i="27"/>
  <c r="M25" i="27" s="1"/>
  <c r="F32" i="27"/>
  <c r="F40" i="53" s="1"/>
  <c r="F29" i="27"/>
  <c r="M29" i="27" s="1"/>
  <c r="H9" i="27"/>
  <c r="G38" i="53" s="1"/>
  <c r="E27" i="53" s="1"/>
  <c r="F28" i="27"/>
  <c r="F37" i="55" s="1"/>
  <c r="H24" i="27"/>
  <c r="G37" i="57" s="1"/>
  <c r="C25" i="57" s="1"/>
  <c r="H26" i="27"/>
  <c r="G37" i="56" s="1"/>
  <c r="H17" i="27"/>
  <c r="M17" i="27" s="1"/>
  <c r="F13" i="27"/>
  <c r="F37" i="63" s="1"/>
  <c r="F20" i="27"/>
  <c r="L20" i="27" s="1"/>
  <c r="C25" i="59"/>
  <c r="C25" i="54"/>
  <c r="C25" i="55"/>
  <c r="C25" i="58"/>
  <c r="D24" i="57"/>
  <c r="F26" i="61"/>
  <c r="F26" i="57"/>
  <c r="F26" i="63"/>
  <c r="F26" i="62"/>
  <c r="D24" i="60"/>
  <c r="F26" i="55"/>
  <c r="S41" i="31"/>
  <c r="F23" i="1"/>
  <c r="Q73" i="31" s="1"/>
  <c r="F4" i="1"/>
  <c r="Q74" i="31" s="1"/>
  <c r="F43" i="1"/>
  <c r="F10" i="1"/>
  <c r="Q68" i="31" s="1"/>
  <c r="F26" i="1"/>
  <c r="P67" i="31" s="1"/>
  <c r="F8" i="1"/>
  <c r="P72" i="2" s="1"/>
  <c r="AB21" i="31"/>
  <c r="H21" i="31" s="1"/>
  <c r="AB4" i="31"/>
  <c r="H4" i="31" s="1"/>
  <c r="AB22" i="31"/>
  <c r="H22" i="31" s="1"/>
  <c r="AC14" i="31"/>
  <c r="I14" i="31" s="1"/>
  <c r="AB18" i="31"/>
  <c r="H18" i="31" s="1"/>
  <c r="AB3" i="31"/>
  <c r="H3" i="31" s="1"/>
  <c r="AB7" i="31"/>
  <c r="H7" i="31" s="1"/>
  <c r="R57" i="31"/>
  <c r="AC8" i="31"/>
  <c r="I8" i="31" s="1"/>
  <c r="O17" i="26"/>
  <c r="O17" i="27"/>
  <c r="AC27" i="31"/>
  <c r="I27" i="31" s="1"/>
  <c r="O12" i="26"/>
  <c r="O12" i="27"/>
  <c r="O10" i="26"/>
  <c r="O10" i="27"/>
  <c r="O11" i="26"/>
  <c r="O11" i="27"/>
  <c r="O22" i="26"/>
  <c r="O22" i="27"/>
  <c r="O14" i="26"/>
  <c r="O14" i="27"/>
  <c r="O16" i="26"/>
  <c r="O16" i="27"/>
  <c r="O20" i="26"/>
  <c r="O20" i="27"/>
  <c r="Q71" i="2"/>
  <c r="R71" i="31"/>
  <c r="S71" i="31" s="1"/>
  <c r="O9" i="26"/>
  <c r="O9" i="27"/>
  <c r="P69" i="2"/>
  <c r="O21" i="26"/>
  <c r="O21" i="27"/>
  <c r="O19" i="26"/>
  <c r="O19" i="27"/>
  <c r="Q70" i="2"/>
  <c r="P63" i="2"/>
  <c r="Q55" i="2"/>
  <c r="Q57" i="2"/>
  <c r="P55" i="2"/>
  <c r="Q64" i="2"/>
  <c r="P57" i="2"/>
  <c r="Q69" i="2"/>
  <c r="P58" i="2"/>
  <c r="Q53" i="2"/>
  <c r="Q59" i="2"/>
  <c r="AM3" i="2"/>
  <c r="AK3" i="2"/>
  <c r="AB7" i="2"/>
  <c r="AG7" i="2"/>
  <c r="AJ7" i="2"/>
  <c r="AM7" i="2" s="1"/>
  <c r="AI7" i="2"/>
  <c r="AL7" i="2" s="1"/>
  <c r="AH7" i="2"/>
  <c r="AK7" i="2" s="1"/>
  <c r="AB5" i="2"/>
  <c r="AI5" i="2"/>
  <c r="AL5" i="2" s="1"/>
  <c r="AH5" i="2"/>
  <c r="AK5" i="2" s="1"/>
  <c r="AG5" i="2"/>
  <c r="AJ5" i="2"/>
  <c r="AM5" i="2" s="1"/>
  <c r="AB6" i="2"/>
  <c r="AJ6" i="2"/>
  <c r="AM6" i="2" s="1"/>
  <c r="AH6" i="2"/>
  <c r="AK6" i="2" s="1"/>
  <c r="AG6" i="2"/>
  <c r="AI6" i="2"/>
  <c r="AL6" i="2" s="1"/>
  <c r="AB12" i="2"/>
  <c r="AI12" i="2"/>
  <c r="AL12" i="2" s="1"/>
  <c r="AG12" i="2"/>
  <c r="AJ12" i="2"/>
  <c r="AM12" i="2" s="1"/>
  <c r="AH12" i="2"/>
  <c r="AK12" i="2" s="1"/>
  <c r="AB11" i="2"/>
  <c r="AI11" i="2"/>
  <c r="AL11" i="2" s="1"/>
  <c r="AH11" i="2"/>
  <c r="AK11" i="2" s="1"/>
  <c r="AJ11" i="2"/>
  <c r="AM11" i="2" s="1"/>
  <c r="AG11" i="2"/>
  <c r="V72" i="2"/>
  <c r="AB16" i="2"/>
  <c r="AH16" i="2"/>
  <c r="AK16" i="2" s="1"/>
  <c r="AG16" i="2"/>
  <c r="AJ16" i="2"/>
  <c r="AM16" i="2" s="1"/>
  <c r="AI16" i="2"/>
  <c r="AL16" i="2" s="1"/>
  <c r="AB17" i="2"/>
  <c r="AJ17" i="2"/>
  <c r="AM17" i="2" s="1"/>
  <c r="AI17" i="2"/>
  <c r="AL17" i="2" s="1"/>
  <c r="AG17" i="2"/>
  <c r="AH17" i="2"/>
  <c r="AK17" i="2" s="1"/>
  <c r="AB4" i="2"/>
  <c r="AI4" i="2"/>
  <c r="AL4" i="2" s="1"/>
  <c r="AG4" i="2"/>
  <c r="AH4" i="2"/>
  <c r="AK4" i="2" s="1"/>
  <c r="AJ4" i="2"/>
  <c r="AM4" i="2" s="1"/>
  <c r="AB9" i="2"/>
  <c r="AI9" i="2"/>
  <c r="AL9" i="2" s="1"/>
  <c r="AJ9" i="2"/>
  <c r="AM9" i="2" s="1"/>
  <c r="AH9" i="2"/>
  <c r="AK9" i="2" s="1"/>
  <c r="AG9" i="2"/>
  <c r="AB14" i="2"/>
  <c r="AI14" i="2"/>
  <c r="AL14" i="2" s="1"/>
  <c r="AJ14" i="2"/>
  <c r="AM14" i="2" s="1"/>
  <c r="AH14" i="2"/>
  <c r="AK14" i="2" s="1"/>
  <c r="AG14" i="2"/>
  <c r="T64" i="2"/>
  <c r="AB15" i="2"/>
  <c r="AJ15" i="2"/>
  <c r="AM15" i="2" s="1"/>
  <c r="AH15" i="2"/>
  <c r="AK15" i="2" s="1"/>
  <c r="AI15" i="2"/>
  <c r="AL15" i="2" s="1"/>
  <c r="AG15" i="2"/>
  <c r="AL3" i="2"/>
  <c r="Q58" i="2" l="1"/>
  <c r="P61" i="31"/>
  <c r="P54" i="2"/>
  <c r="Q72" i="2"/>
  <c r="R72" i="2" s="1"/>
  <c r="W72" i="2" s="1"/>
  <c r="R71" i="2"/>
  <c r="T71" i="2" s="1"/>
  <c r="Q54" i="2"/>
  <c r="R54" i="2" s="1"/>
  <c r="W54" i="2" s="1"/>
  <c r="P53" i="2"/>
  <c r="R53" i="2" s="1"/>
  <c r="W53" i="2" s="1"/>
  <c r="Q55" i="31"/>
  <c r="R55" i="31" s="1"/>
  <c r="P64" i="2"/>
  <c r="R64" i="2" s="1"/>
  <c r="V64" i="2" s="1"/>
  <c r="Q63" i="2"/>
  <c r="R63" i="2" s="1"/>
  <c r="P64" i="31"/>
  <c r="R64" i="31" s="1"/>
  <c r="Q63" i="31"/>
  <c r="R63" i="31" s="1"/>
  <c r="P62" i="31"/>
  <c r="R62" i="31" s="1"/>
  <c r="P54" i="31"/>
  <c r="R54" i="31" s="1"/>
  <c r="P70" i="2"/>
  <c r="R70" i="2" s="1"/>
  <c r="W70" i="2" s="1"/>
  <c r="P72" i="31"/>
  <c r="R72" i="31" s="1"/>
  <c r="S72" i="31" s="1"/>
  <c r="W72" i="31" s="1"/>
  <c r="T72" i="31" s="1"/>
  <c r="P56" i="31"/>
  <c r="Q53" i="31"/>
  <c r="R53" i="31" s="1"/>
  <c r="Q67" i="2"/>
  <c r="P52" i="2"/>
  <c r="P66" i="31"/>
  <c r="R66" i="31" s="1"/>
  <c r="S66" i="31" s="1"/>
  <c r="P70" i="31"/>
  <c r="R70" i="31" s="1"/>
  <c r="S70" i="31" s="1"/>
  <c r="W70" i="31" s="1"/>
  <c r="T70" i="31" s="1"/>
  <c r="V70" i="31" s="1"/>
  <c r="U70" i="31" s="1"/>
  <c r="Z70" i="31" s="1"/>
  <c r="P60" i="31"/>
  <c r="P68" i="31"/>
  <c r="R68" i="31" s="1"/>
  <c r="S68" i="31" s="1"/>
  <c r="W68" i="31" s="1"/>
  <c r="T68" i="31" s="1"/>
  <c r="P65" i="31"/>
  <c r="Q65" i="31"/>
  <c r="Q67" i="31"/>
  <c r="R67" i="31" s="1"/>
  <c r="S67" i="31" s="1"/>
  <c r="W67" i="31" s="1"/>
  <c r="T67" i="31" s="1"/>
  <c r="Q56" i="31"/>
  <c r="Q52" i="31"/>
  <c r="R52" i="31" s="1"/>
  <c r="H8" i="27"/>
  <c r="G37" i="53" s="1"/>
  <c r="C25" i="53" s="1"/>
  <c r="D17" i="62"/>
  <c r="C18" i="62"/>
  <c r="I37" i="62"/>
  <c r="C11" i="62" s="1"/>
  <c r="H37" i="62"/>
  <c r="D10" i="62" s="1"/>
  <c r="D24" i="64"/>
  <c r="D17" i="64"/>
  <c r="C18" i="64"/>
  <c r="H37" i="64"/>
  <c r="D10" i="64" s="1"/>
  <c r="F38" i="54"/>
  <c r="H38" i="54" s="1"/>
  <c r="F12" i="54" s="1"/>
  <c r="L30" i="27"/>
  <c r="M18" i="27"/>
  <c r="L14" i="27"/>
  <c r="L18" i="27"/>
  <c r="G38" i="63"/>
  <c r="E27" i="63" s="1"/>
  <c r="Q68" i="2"/>
  <c r="Q73" i="2"/>
  <c r="Q60" i="2"/>
  <c r="Q60" i="31"/>
  <c r="P73" i="2"/>
  <c r="P73" i="31"/>
  <c r="P74" i="2"/>
  <c r="P74" i="31"/>
  <c r="R74" i="31" s="1"/>
  <c r="G38" i="55"/>
  <c r="E27" i="55" s="1"/>
  <c r="L17" i="27"/>
  <c r="M16" i="27"/>
  <c r="L31" i="27"/>
  <c r="G37" i="60"/>
  <c r="C25" i="60" s="1"/>
  <c r="L16" i="27"/>
  <c r="L25" i="27"/>
  <c r="G38" i="57"/>
  <c r="E27" i="57" s="1"/>
  <c r="M21" i="27"/>
  <c r="F37" i="58"/>
  <c r="H37" i="58" s="1"/>
  <c r="D10" i="58" s="1"/>
  <c r="M20" i="27"/>
  <c r="F37" i="59"/>
  <c r="D24" i="59" s="1"/>
  <c r="L15" i="27"/>
  <c r="M15" i="27"/>
  <c r="F37" i="54"/>
  <c r="I37" i="54" s="1"/>
  <c r="C11" i="54" s="1"/>
  <c r="L29" i="27"/>
  <c r="F38" i="58"/>
  <c r="F26" i="58" s="1"/>
  <c r="M22" i="27"/>
  <c r="M28" i="27"/>
  <c r="H13" i="27"/>
  <c r="G37" i="63" s="1"/>
  <c r="C25" i="63" s="1"/>
  <c r="F23" i="27"/>
  <c r="F38" i="59" s="1"/>
  <c r="L24" i="27"/>
  <c r="L28" i="27"/>
  <c r="M24" i="27"/>
  <c r="F26" i="27"/>
  <c r="F37" i="56" s="1"/>
  <c r="F12" i="27"/>
  <c r="M12" i="27" s="1"/>
  <c r="H19" i="27"/>
  <c r="L19" i="27" s="1"/>
  <c r="H32" i="27"/>
  <c r="M32" i="27" s="1"/>
  <c r="F27" i="27"/>
  <c r="L27" i="27" s="1"/>
  <c r="F9" i="27"/>
  <c r="M9" i="27" s="1"/>
  <c r="F8" i="27"/>
  <c r="AA69" i="31"/>
  <c r="AC69" i="31" s="1"/>
  <c r="I69" i="31" s="1"/>
  <c r="W71" i="31"/>
  <c r="T71" i="31" s="1"/>
  <c r="I38" i="61"/>
  <c r="E13" i="61" s="1"/>
  <c r="E20" i="61"/>
  <c r="F19" i="61"/>
  <c r="H38" i="61"/>
  <c r="F12" i="61" s="1"/>
  <c r="C25" i="56"/>
  <c r="E20" i="62"/>
  <c r="H38" i="62"/>
  <c r="F12" i="62" s="1"/>
  <c r="C18" i="57"/>
  <c r="I37" i="57"/>
  <c r="C11" i="57" s="1"/>
  <c r="F19" i="62"/>
  <c r="D17" i="57"/>
  <c r="I38" i="62"/>
  <c r="E13" i="62" s="1"/>
  <c r="H37" i="57"/>
  <c r="D10" i="57" s="1"/>
  <c r="D27" i="53"/>
  <c r="D24" i="63"/>
  <c r="D24" i="55"/>
  <c r="H37" i="55"/>
  <c r="D10" i="55" s="1"/>
  <c r="D17" i="55"/>
  <c r="I37" i="55"/>
  <c r="C11" i="55" s="1"/>
  <c r="C18" i="55"/>
  <c r="F26" i="60"/>
  <c r="D24" i="61"/>
  <c r="H37" i="61"/>
  <c r="D10" i="61" s="1"/>
  <c r="D17" i="61"/>
  <c r="I37" i="61"/>
  <c r="C11" i="61" s="1"/>
  <c r="C18" i="61"/>
  <c r="Q74" i="2"/>
  <c r="R56" i="2"/>
  <c r="V56" i="2" s="1"/>
  <c r="R61" i="31"/>
  <c r="R51" i="31"/>
  <c r="R69" i="2"/>
  <c r="W69" i="2" s="1"/>
  <c r="R58" i="2"/>
  <c r="V58" i="2" s="1"/>
  <c r="P60" i="2"/>
  <c r="W71" i="2"/>
  <c r="P65" i="2"/>
  <c r="V71" i="2"/>
  <c r="P59" i="2"/>
  <c r="R59" i="2" s="1"/>
  <c r="W59" i="2" s="1"/>
  <c r="R59" i="31"/>
  <c r="P68" i="2"/>
  <c r="R55" i="2"/>
  <c r="W55" i="2" s="1"/>
  <c r="Q66" i="2"/>
  <c r="T72" i="2"/>
  <c r="T58" i="2"/>
  <c r="V54" i="2"/>
  <c r="T54" i="2"/>
  <c r="R57" i="2"/>
  <c r="W57" i="2" s="1"/>
  <c r="T69" i="2"/>
  <c r="V69" i="2"/>
  <c r="G5" i="1" s="1"/>
  <c r="H5" i="1" s="1"/>
  <c r="I5" i="1" s="1"/>
  <c r="J5" i="1" s="1"/>
  <c r="K5" i="1" s="1"/>
  <c r="L5" i="1" s="1"/>
  <c r="P67" i="2"/>
  <c r="T53" i="2"/>
  <c r="V53" i="2"/>
  <c r="G7" i="1" s="1"/>
  <c r="H7" i="1" s="1"/>
  <c r="I7" i="1" s="1"/>
  <c r="J7" i="1" s="1"/>
  <c r="K7" i="1" s="1"/>
  <c r="L7" i="1" s="1"/>
  <c r="P66" i="2"/>
  <c r="F50" i="1"/>
  <c r="P51" i="2"/>
  <c r="P62" i="2"/>
  <c r="Q61" i="2"/>
  <c r="Q62" i="2"/>
  <c r="Q51" i="2"/>
  <c r="Q65" i="2"/>
  <c r="T55" i="2"/>
  <c r="Q52" i="2"/>
  <c r="P61" i="2"/>
  <c r="P90" i="2"/>
  <c r="T73" i="2"/>
  <c r="T59" i="2"/>
  <c r="V59" i="2"/>
  <c r="V60" i="2"/>
  <c r="T60" i="2"/>
  <c r="V74" i="2"/>
  <c r="T74" i="2"/>
  <c r="V70" i="2"/>
  <c r="G46" i="1" s="1"/>
  <c r="H46" i="1" s="1"/>
  <c r="I46" i="1" s="1"/>
  <c r="J46" i="1" s="1"/>
  <c r="K46" i="1" s="1"/>
  <c r="L46" i="1" s="1"/>
  <c r="T70" i="2"/>
  <c r="G12" i="1" s="1"/>
  <c r="H12" i="1" s="1"/>
  <c r="I12" i="1" s="1"/>
  <c r="J12" i="1" s="1"/>
  <c r="K12" i="1" s="1"/>
  <c r="L12" i="1" s="1"/>
  <c r="T57" i="2"/>
  <c r="G47" i="1" s="1"/>
  <c r="H47" i="1" s="1"/>
  <c r="I47" i="1" s="1"/>
  <c r="J47" i="1" s="1"/>
  <c r="K47" i="1" s="1"/>
  <c r="L47" i="1" s="1"/>
  <c r="V57" i="2"/>
  <c r="R65" i="31" l="1"/>
  <c r="G9" i="1"/>
  <c r="H9" i="1" s="1"/>
  <c r="I9" i="1" s="1"/>
  <c r="J9" i="1" s="1"/>
  <c r="K9" i="1" s="1"/>
  <c r="L9" i="1" s="1"/>
  <c r="W64" i="2"/>
  <c r="R52" i="2"/>
  <c r="G31" i="1"/>
  <c r="H31" i="1" s="1"/>
  <c r="I31" i="1" s="1"/>
  <c r="J31" i="1" s="1"/>
  <c r="K31" i="1" s="1"/>
  <c r="L31" i="1" s="1"/>
  <c r="R56" i="31"/>
  <c r="R67" i="2"/>
  <c r="T67" i="2" s="1"/>
  <c r="G8" i="1"/>
  <c r="H8" i="1" s="1"/>
  <c r="I8" i="1" s="1"/>
  <c r="J8" i="1" s="1"/>
  <c r="K8" i="1" s="1"/>
  <c r="L8" i="1" s="1"/>
  <c r="G13" i="1"/>
  <c r="H13" i="1" s="1"/>
  <c r="I13" i="1" s="1"/>
  <c r="J13" i="1" s="1"/>
  <c r="K13" i="1" s="1"/>
  <c r="L13" i="1" s="1"/>
  <c r="L8" i="27"/>
  <c r="G30" i="1"/>
  <c r="H30" i="1" s="1"/>
  <c r="I30" i="1" s="1"/>
  <c r="J30" i="1" s="1"/>
  <c r="K30" i="1" s="1"/>
  <c r="L30" i="1" s="1"/>
  <c r="G26" i="1"/>
  <c r="H26" i="1" s="1"/>
  <c r="I26" i="1" s="1"/>
  <c r="J26" i="1" s="1"/>
  <c r="K26" i="1" s="1"/>
  <c r="L26" i="1" s="1"/>
  <c r="V55" i="2"/>
  <c r="T56" i="2"/>
  <c r="R68" i="2"/>
  <c r="W68" i="2" s="1"/>
  <c r="R60" i="2"/>
  <c r="W60" i="2" s="1"/>
  <c r="F26" i="54"/>
  <c r="I38" i="54"/>
  <c r="E13" i="54" s="1"/>
  <c r="F19" i="54"/>
  <c r="E20" i="54"/>
  <c r="H38" i="63"/>
  <c r="F12" i="63" s="1"/>
  <c r="F19" i="63"/>
  <c r="E20" i="63"/>
  <c r="I38" i="63"/>
  <c r="E13" i="63" s="1"/>
  <c r="R73" i="2"/>
  <c r="V73" i="2" s="1"/>
  <c r="H38" i="55"/>
  <c r="F12" i="55" s="1"/>
  <c r="H37" i="60"/>
  <c r="D10" i="60" s="1"/>
  <c r="W56" i="2"/>
  <c r="D17" i="60"/>
  <c r="E20" i="57"/>
  <c r="R74" i="2"/>
  <c r="W74" i="2" s="1"/>
  <c r="I37" i="60"/>
  <c r="C11" i="60" s="1"/>
  <c r="C18" i="60"/>
  <c r="I38" i="55"/>
  <c r="E13" i="55" s="1"/>
  <c r="E20" i="55"/>
  <c r="F19" i="55"/>
  <c r="I38" i="57"/>
  <c r="E13" i="57" s="1"/>
  <c r="I37" i="59"/>
  <c r="C11" i="59" s="1"/>
  <c r="D17" i="59"/>
  <c r="H37" i="59"/>
  <c r="D10" i="59" s="1"/>
  <c r="C18" i="59"/>
  <c r="H38" i="57"/>
  <c r="F12" i="57" s="1"/>
  <c r="F19" i="57"/>
  <c r="D17" i="58"/>
  <c r="D24" i="58"/>
  <c r="I37" i="58"/>
  <c r="C11" i="58" s="1"/>
  <c r="C18" i="58"/>
  <c r="M13" i="27"/>
  <c r="L13" i="27"/>
  <c r="F19" i="58"/>
  <c r="I38" i="58"/>
  <c r="E13" i="58" s="1"/>
  <c r="H38" i="58"/>
  <c r="F12" i="58" s="1"/>
  <c r="E20" i="58"/>
  <c r="D24" i="54"/>
  <c r="M23" i="27"/>
  <c r="L23" i="27"/>
  <c r="D17" i="54"/>
  <c r="H37" i="54"/>
  <c r="D10" i="54" s="1"/>
  <c r="F38" i="53"/>
  <c r="E20" i="53" s="1"/>
  <c r="C18" i="54"/>
  <c r="F37" i="53"/>
  <c r="I37" i="53" s="1"/>
  <c r="C11" i="53" s="1"/>
  <c r="L12" i="27"/>
  <c r="L9" i="27"/>
  <c r="G38" i="60"/>
  <c r="E27" i="60" s="1"/>
  <c r="L26" i="27"/>
  <c r="G40" i="53"/>
  <c r="F25" i="53" s="1"/>
  <c r="M27" i="27"/>
  <c r="F38" i="56"/>
  <c r="F19" i="56" s="1"/>
  <c r="M26" i="27"/>
  <c r="M8" i="27"/>
  <c r="L32" i="27"/>
  <c r="F38" i="64"/>
  <c r="H38" i="64" s="1"/>
  <c r="F12" i="64" s="1"/>
  <c r="M19" i="27"/>
  <c r="H74" i="27"/>
  <c r="G42" i="54" s="1"/>
  <c r="F24" i="54" s="1"/>
  <c r="AB69" i="31"/>
  <c r="H69" i="31" s="1"/>
  <c r="V71" i="31"/>
  <c r="U71" i="31" s="1"/>
  <c r="Z71" i="31" s="1"/>
  <c r="V72" i="31"/>
  <c r="U72" i="31" s="1"/>
  <c r="Z72" i="31" s="1"/>
  <c r="S74" i="31"/>
  <c r="W74" i="31" s="1"/>
  <c r="T74" i="31" s="1"/>
  <c r="AA70" i="31"/>
  <c r="AC70" i="31" s="1"/>
  <c r="I70" i="31" s="1"/>
  <c r="V68" i="31"/>
  <c r="U68" i="31" s="1"/>
  <c r="Z68" i="31" s="1"/>
  <c r="V67" i="31"/>
  <c r="U67" i="31" s="1"/>
  <c r="Z67" i="31" s="1"/>
  <c r="W66" i="31"/>
  <c r="T66" i="31" s="1"/>
  <c r="D17" i="63"/>
  <c r="I37" i="63"/>
  <c r="C11" i="63" s="1"/>
  <c r="H37" i="63"/>
  <c r="D10" i="63" s="1"/>
  <c r="C18" i="63"/>
  <c r="F19" i="59"/>
  <c r="F26" i="59"/>
  <c r="H38" i="59"/>
  <c r="F12" i="59" s="1"/>
  <c r="I38" i="59"/>
  <c r="E13" i="59" s="1"/>
  <c r="E20" i="59"/>
  <c r="C18" i="56"/>
  <c r="D24" i="56"/>
  <c r="H37" i="56"/>
  <c r="D10" i="56" s="1"/>
  <c r="D17" i="56"/>
  <c r="I37" i="56"/>
  <c r="C11" i="56" s="1"/>
  <c r="R60" i="31"/>
  <c r="G6" i="1"/>
  <c r="H6" i="1" s="1"/>
  <c r="I6" i="1" s="1"/>
  <c r="J6" i="1" s="1"/>
  <c r="K6" i="1" s="1"/>
  <c r="L6" i="1" s="1"/>
  <c r="R73" i="31"/>
  <c r="S73" i="31" s="1"/>
  <c r="W39" i="31"/>
  <c r="T39" i="31" s="1"/>
  <c r="V39" i="31" s="1"/>
  <c r="W41" i="31"/>
  <c r="T41" i="31" s="1"/>
  <c r="V41" i="31" s="1"/>
  <c r="W37" i="31"/>
  <c r="T37" i="31" s="1"/>
  <c r="V37" i="31" s="1"/>
  <c r="W33" i="31"/>
  <c r="T33" i="31" s="1"/>
  <c r="V33" i="31" s="1"/>
  <c r="W29" i="31"/>
  <c r="T29" i="31" s="1"/>
  <c r="V29" i="31" s="1"/>
  <c r="W28" i="31"/>
  <c r="T28" i="31" s="1"/>
  <c r="V28" i="31" s="1"/>
  <c r="W32" i="31"/>
  <c r="T32" i="31" s="1"/>
  <c r="V32" i="31" s="1"/>
  <c r="W58" i="2"/>
  <c r="R65" i="2"/>
  <c r="W65" i="2" s="1"/>
  <c r="R66" i="2"/>
  <c r="V66" i="2" s="1"/>
  <c r="T68" i="2"/>
  <c r="G49" i="1" s="1"/>
  <c r="H49" i="1" s="1"/>
  <c r="I49" i="1" s="1"/>
  <c r="J49" i="1" s="1"/>
  <c r="K49" i="1" s="1"/>
  <c r="L49" i="1" s="1"/>
  <c r="V68" i="2"/>
  <c r="G10" i="1" s="1"/>
  <c r="H10" i="1" s="1"/>
  <c r="I10" i="1" s="1"/>
  <c r="J10" i="1" s="1"/>
  <c r="K10" i="1" s="1"/>
  <c r="L10" i="1" s="1"/>
  <c r="P82" i="2"/>
  <c r="Q78" i="2"/>
  <c r="V67" i="2"/>
  <c r="W67" i="2"/>
  <c r="AN23" i="2"/>
  <c r="X23" i="2" s="1"/>
  <c r="AN21" i="2"/>
  <c r="X21" i="2" s="1"/>
  <c r="AN22" i="2"/>
  <c r="X22" i="2" s="1"/>
  <c r="AN20" i="2"/>
  <c r="X20" i="2" s="1"/>
  <c r="AN18" i="2"/>
  <c r="X18" i="2" s="1"/>
  <c r="AN26" i="2"/>
  <c r="X26" i="2" s="1"/>
  <c r="AN24" i="2"/>
  <c r="X24" i="2" s="1"/>
  <c r="AN25" i="2"/>
  <c r="X25" i="2" s="1"/>
  <c r="AN27" i="2"/>
  <c r="X27" i="2" s="1"/>
  <c r="N32" i="27" s="1"/>
  <c r="R62" i="2"/>
  <c r="T62" i="2" s="1"/>
  <c r="G32" i="1" s="1"/>
  <c r="H32" i="1" s="1"/>
  <c r="I32" i="1" s="1"/>
  <c r="J32" i="1" s="1"/>
  <c r="K32" i="1" s="1"/>
  <c r="L32" i="1" s="1"/>
  <c r="R51" i="2"/>
  <c r="T66" i="2"/>
  <c r="T52" i="2"/>
  <c r="V52" i="2"/>
  <c r="W52" i="2"/>
  <c r="T65" i="2"/>
  <c r="V65" i="2"/>
  <c r="P86" i="2"/>
  <c r="W63" i="2"/>
  <c r="V63" i="2"/>
  <c r="G2" i="1" s="1"/>
  <c r="H2" i="1" s="1"/>
  <c r="I2" i="1" s="1"/>
  <c r="J2" i="1" s="1"/>
  <c r="K2" i="1" s="1"/>
  <c r="L2" i="1" s="1"/>
  <c r="T63" i="2"/>
  <c r="R61" i="2"/>
  <c r="Q87" i="2"/>
  <c r="Q88" i="2"/>
  <c r="Q82" i="2"/>
  <c r="G4" i="1" l="1"/>
  <c r="H4" i="1" s="1"/>
  <c r="I4" i="1" s="1"/>
  <c r="J4" i="1" s="1"/>
  <c r="K4" i="1" s="1"/>
  <c r="L4" i="1" s="1"/>
  <c r="G29" i="1"/>
  <c r="H29" i="1" s="1"/>
  <c r="I29" i="1" s="1"/>
  <c r="J29" i="1" s="1"/>
  <c r="K29" i="1" s="1"/>
  <c r="L29" i="1" s="1"/>
  <c r="G14" i="1"/>
  <c r="H14" i="1" s="1"/>
  <c r="I14" i="1" s="1"/>
  <c r="J14" i="1" s="1"/>
  <c r="K14" i="1" s="1"/>
  <c r="L14" i="1" s="1"/>
  <c r="G22" i="1"/>
  <c r="H22" i="1" s="1"/>
  <c r="I22" i="1" s="1"/>
  <c r="J22" i="1" s="1"/>
  <c r="K22" i="1" s="1"/>
  <c r="L22" i="1" s="1"/>
  <c r="G36" i="1"/>
  <c r="H36" i="1" s="1"/>
  <c r="I36" i="1" s="1"/>
  <c r="J36" i="1" s="1"/>
  <c r="K36" i="1" s="1"/>
  <c r="L36" i="1" s="1"/>
  <c r="G23" i="1"/>
  <c r="H23" i="1" s="1"/>
  <c r="I23" i="1" s="1"/>
  <c r="J23" i="1" s="1"/>
  <c r="K23" i="1" s="1"/>
  <c r="L23" i="1" s="1"/>
  <c r="G11" i="1"/>
  <c r="H11" i="1" s="1"/>
  <c r="I11" i="1" s="1"/>
  <c r="J11" i="1" s="1"/>
  <c r="K11" i="1" s="1"/>
  <c r="L11" i="1" s="1"/>
  <c r="G48" i="1"/>
  <c r="H48" i="1" s="1"/>
  <c r="I48" i="1" s="1"/>
  <c r="J48" i="1" s="1"/>
  <c r="K48" i="1" s="1"/>
  <c r="L48" i="1" s="1"/>
  <c r="G41" i="1"/>
  <c r="H41" i="1" s="1"/>
  <c r="I41" i="1" s="1"/>
  <c r="J41" i="1" s="1"/>
  <c r="K41" i="1" s="1"/>
  <c r="L41" i="1" s="1"/>
  <c r="G40" i="1"/>
  <c r="H40" i="1" s="1"/>
  <c r="I40" i="1" s="1"/>
  <c r="J40" i="1" s="1"/>
  <c r="K40" i="1" s="1"/>
  <c r="L40" i="1" s="1"/>
  <c r="G39" i="1"/>
  <c r="H39" i="1" s="1"/>
  <c r="I39" i="1" s="1"/>
  <c r="J39" i="1" s="1"/>
  <c r="K39" i="1" s="1"/>
  <c r="L39" i="1" s="1"/>
  <c r="G38" i="1"/>
  <c r="H38" i="1" s="1"/>
  <c r="I38" i="1" s="1"/>
  <c r="J38" i="1" s="1"/>
  <c r="K38" i="1" s="1"/>
  <c r="L38" i="1" s="1"/>
  <c r="G44" i="1"/>
  <c r="H44" i="1" s="1"/>
  <c r="I44" i="1" s="1"/>
  <c r="J44" i="1" s="1"/>
  <c r="K44" i="1" s="1"/>
  <c r="L44" i="1" s="1"/>
  <c r="G43" i="1"/>
  <c r="H43" i="1" s="1"/>
  <c r="I43" i="1" s="1"/>
  <c r="J43" i="1" s="1"/>
  <c r="K43" i="1" s="1"/>
  <c r="L43" i="1" s="1"/>
  <c r="W73" i="2"/>
  <c r="F19" i="64"/>
  <c r="H38" i="53"/>
  <c r="F12" i="53" s="1"/>
  <c r="F26" i="53"/>
  <c r="F19" i="53"/>
  <c r="I38" i="53"/>
  <c r="E13" i="53" s="1"/>
  <c r="C18" i="53"/>
  <c r="F19" i="60"/>
  <c r="E20" i="60"/>
  <c r="D24" i="53"/>
  <c r="I38" i="60"/>
  <c r="E13" i="60" s="1"/>
  <c r="D17" i="53"/>
  <c r="I38" i="56"/>
  <c r="E13" i="56" s="1"/>
  <c r="E20" i="56"/>
  <c r="F26" i="56"/>
  <c r="H38" i="56"/>
  <c r="F12" i="56" s="1"/>
  <c r="H37" i="53"/>
  <c r="D10" i="53" s="1"/>
  <c r="I40" i="53"/>
  <c r="F11" i="53" s="1"/>
  <c r="H40" i="53"/>
  <c r="D13" i="53" s="1"/>
  <c r="F18" i="53"/>
  <c r="F26" i="64"/>
  <c r="I38" i="64"/>
  <c r="E13" i="64" s="1"/>
  <c r="D20" i="53"/>
  <c r="E20" i="64"/>
  <c r="H38" i="60"/>
  <c r="F12" i="60" s="1"/>
  <c r="H75" i="27"/>
  <c r="G41" i="54" s="1"/>
  <c r="D26" i="54" s="1"/>
  <c r="F74" i="27"/>
  <c r="AB70" i="31"/>
  <c r="H70" i="31" s="1"/>
  <c r="V66" i="31"/>
  <c r="U66" i="31" s="1"/>
  <c r="Z66" i="31" s="1"/>
  <c r="AA67" i="31"/>
  <c r="AC67" i="31" s="1"/>
  <c r="I67" i="31" s="1"/>
  <c r="AA68" i="31"/>
  <c r="AC68" i="31" s="1"/>
  <c r="I68" i="31" s="1"/>
  <c r="V74" i="31"/>
  <c r="U74" i="31" s="1"/>
  <c r="Z74" i="31" s="1"/>
  <c r="W73" i="31"/>
  <c r="T73" i="31" s="1"/>
  <c r="AA72" i="31"/>
  <c r="AC72" i="31" s="1"/>
  <c r="I72" i="31" s="1"/>
  <c r="AA71" i="31"/>
  <c r="AC71" i="31" s="1"/>
  <c r="I71" i="31" s="1"/>
  <c r="G3" i="1"/>
  <c r="H3" i="1" s="1"/>
  <c r="I3" i="1" s="1"/>
  <c r="J3" i="1" s="1"/>
  <c r="K3" i="1" s="1"/>
  <c r="L3" i="1" s="1"/>
  <c r="G33" i="1"/>
  <c r="H33" i="1" s="1"/>
  <c r="I33" i="1" s="1"/>
  <c r="J33" i="1" s="1"/>
  <c r="K33" i="1" s="1"/>
  <c r="L33" i="1" s="1"/>
  <c r="R82" i="2"/>
  <c r="T82" i="2" s="1"/>
  <c r="W34" i="31"/>
  <c r="T34" i="31" s="1"/>
  <c r="V34" i="31" s="1"/>
  <c r="W31" i="31"/>
  <c r="T31" i="31" s="1"/>
  <c r="V31" i="31" s="1"/>
  <c r="W36" i="31"/>
  <c r="T36" i="31" s="1"/>
  <c r="V36" i="31" s="1"/>
  <c r="W42" i="31"/>
  <c r="T42" i="31" s="1"/>
  <c r="V42" i="31" s="1"/>
  <c r="W38" i="31"/>
  <c r="T38" i="31" s="1"/>
  <c r="V38" i="31" s="1"/>
  <c r="W35" i="31"/>
  <c r="T35" i="31" s="1"/>
  <c r="V35" i="31" s="1"/>
  <c r="W44" i="31"/>
  <c r="T44" i="31" s="1"/>
  <c r="V44" i="31" s="1"/>
  <c r="W30" i="31"/>
  <c r="T30" i="31" s="1"/>
  <c r="V30" i="31" s="1"/>
  <c r="W66" i="2"/>
  <c r="Q83" i="2"/>
  <c r="N30" i="26"/>
  <c r="N30" i="27"/>
  <c r="N31" i="26"/>
  <c r="N31" i="27"/>
  <c r="N29" i="26"/>
  <c r="N29" i="27"/>
  <c r="P85" i="2"/>
  <c r="N23" i="26"/>
  <c r="N23" i="27"/>
  <c r="N25" i="26"/>
  <c r="N25" i="27"/>
  <c r="N27" i="26"/>
  <c r="N27" i="27"/>
  <c r="N26" i="26"/>
  <c r="N26" i="27"/>
  <c r="N28" i="26"/>
  <c r="N28" i="27"/>
  <c r="Q77" i="2"/>
  <c r="P79" i="2"/>
  <c r="P78" i="2"/>
  <c r="R78" i="2" s="1"/>
  <c r="W78" i="2" s="1"/>
  <c r="P83" i="2"/>
  <c r="Q89" i="2"/>
  <c r="Q90" i="2"/>
  <c r="R90" i="2" s="1"/>
  <c r="W90" i="2" s="1"/>
  <c r="AA27" i="2"/>
  <c r="N32" i="26"/>
  <c r="V62" i="2"/>
  <c r="G35" i="1" s="1"/>
  <c r="H35" i="1" s="1"/>
  <c r="I35" i="1" s="1"/>
  <c r="J35" i="1" s="1"/>
  <c r="K35" i="1" s="1"/>
  <c r="L35" i="1" s="1"/>
  <c r="W62" i="2"/>
  <c r="AA18" i="2"/>
  <c r="Z18" i="2"/>
  <c r="P23" i="27" s="1"/>
  <c r="AA20" i="2"/>
  <c r="Z20" i="2"/>
  <c r="Y20" i="2" s="1"/>
  <c r="AA26" i="2"/>
  <c r="Z26" i="2"/>
  <c r="AA22" i="2"/>
  <c r="Z22" i="2"/>
  <c r="P27" i="27" s="1"/>
  <c r="AA25" i="2"/>
  <c r="Z25" i="2"/>
  <c r="P30" i="27" s="1"/>
  <c r="Z24" i="2"/>
  <c r="P29" i="27" s="1"/>
  <c r="AA24" i="2"/>
  <c r="Z21" i="2"/>
  <c r="P26" i="27" s="1"/>
  <c r="AA21" i="2"/>
  <c r="Z23" i="2"/>
  <c r="AA23" i="2"/>
  <c r="AN32" i="2"/>
  <c r="X32" i="2" s="1"/>
  <c r="AN30" i="2"/>
  <c r="X30" i="2" s="1"/>
  <c r="AN28" i="2"/>
  <c r="X28" i="2" s="1"/>
  <c r="AN33" i="2"/>
  <c r="X33" i="2" s="1"/>
  <c r="AN34" i="2"/>
  <c r="X34" i="2" s="1"/>
  <c r="N39" i="27" s="1"/>
  <c r="AN31" i="2"/>
  <c r="X31" i="2" s="1"/>
  <c r="Z27" i="2"/>
  <c r="P32" i="27" s="1"/>
  <c r="AN29" i="2"/>
  <c r="X29" i="2" s="1"/>
  <c r="W51" i="2"/>
  <c r="T51" i="2"/>
  <c r="G18" i="1" s="1"/>
  <c r="H18" i="1" s="1"/>
  <c r="I18" i="1" s="1"/>
  <c r="J18" i="1" s="1"/>
  <c r="K18" i="1" s="1"/>
  <c r="L18" i="1" s="1"/>
  <c r="V51" i="2"/>
  <c r="G27" i="1" s="1"/>
  <c r="H27" i="1" s="1"/>
  <c r="I27" i="1" s="1"/>
  <c r="J27" i="1" s="1"/>
  <c r="K27" i="1" s="1"/>
  <c r="L27" i="1" s="1"/>
  <c r="P77" i="2"/>
  <c r="Q85" i="2"/>
  <c r="V82" i="2"/>
  <c r="P76" i="2"/>
  <c r="Q76" i="2"/>
  <c r="P89" i="2"/>
  <c r="T61" i="2"/>
  <c r="V61" i="2"/>
  <c r="G17" i="1" s="1"/>
  <c r="H17" i="1" s="1"/>
  <c r="I17" i="1" s="1"/>
  <c r="J17" i="1" s="1"/>
  <c r="K17" i="1" s="1"/>
  <c r="L17" i="1" s="1"/>
  <c r="W61" i="2"/>
  <c r="P75" i="2"/>
  <c r="Q86" i="2"/>
  <c r="R86" i="2" s="1"/>
  <c r="T86" i="2" s="1"/>
  <c r="P81" i="2"/>
  <c r="P88" i="2"/>
  <c r="R88" i="2" s="1"/>
  <c r="T90" i="2"/>
  <c r="V90" i="2"/>
  <c r="U28" i="31"/>
  <c r="Z28" i="31" s="1"/>
  <c r="V78" i="2"/>
  <c r="T78" i="2"/>
  <c r="U33" i="31"/>
  <c r="Z33" i="31" s="1"/>
  <c r="AA33" i="31" s="1"/>
  <c r="AC33" i="31" s="1"/>
  <c r="I33" i="31" s="1"/>
  <c r="U29" i="31"/>
  <c r="Z29" i="31" s="1"/>
  <c r="AA29" i="31" s="1"/>
  <c r="AC29" i="31" s="1"/>
  <c r="I29" i="31" s="1"/>
  <c r="U39" i="31"/>
  <c r="Z39" i="31" s="1"/>
  <c r="AA39" i="31" s="1"/>
  <c r="AC39" i="31" s="1"/>
  <c r="I39" i="31" s="1"/>
  <c r="U32" i="31"/>
  <c r="Z32" i="31" s="1"/>
  <c r="AA32" i="31" s="1"/>
  <c r="AB32" i="31" s="1"/>
  <c r="H32" i="31" s="1"/>
  <c r="U37" i="31"/>
  <c r="Z37" i="31" s="1"/>
  <c r="AA37" i="31" s="1"/>
  <c r="AC37" i="31" s="1"/>
  <c r="I37" i="31" s="1"/>
  <c r="U41" i="31"/>
  <c r="Z41" i="31" s="1"/>
  <c r="AA41" i="31" s="1"/>
  <c r="AB41" i="31" s="1"/>
  <c r="H41" i="31" s="1"/>
  <c r="G16" i="1" l="1"/>
  <c r="H16" i="1" s="1"/>
  <c r="I16" i="1" s="1"/>
  <c r="J16" i="1" s="1"/>
  <c r="K16" i="1" s="1"/>
  <c r="L16" i="1" s="1"/>
  <c r="G37" i="1"/>
  <c r="H37" i="1" s="1"/>
  <c r="I37" i="1" s="1"/>
  <c r="J37" i="1" s="1"/>
  <c r="K37" i="1" s="1"/>
  <c r="L37" i="1" s="1"/>
  <c r="G21" i="1"/>
  <c r="H21" i="1" s="1"/>
  <c r="I21" i="1" s="1"/>
  <c r="J21" i="1" s="1"/>
  <c r="K21" i="1" s="1"/>
  <c r="L21" i="1" s="1"/>
  <c r="G34" i="1"/>
  <c r="G45" i="1"/>
  <c r="H45" i="1" s="1"/>
  <c r="I45" i="1" s="1"/>
  <c r="J45" i="1" s="1"/>
  <c r="K45" i="1" s="1"/>
  <c r="L45" i="1" s="1"/>
  <c r="G42" i="1"/>
  <c r="H42" i="1" s="1"/>
  <c r="I42" i="1" s="1"/>
  <c r="J42" i="1" s="1"/>
  <c r="K42" i="1" s="1"/>
  <c r="L42" i="1" s="1"/>
  <c r="G25" i="1"/>
  <c r="H25" i="1" s="1"/>
  <c r="I25" i="1" s="1"/>
  <c r="J25" i="1" s="1"/>
  <c r="K25" i="1" s="1"/>
  <c r="L25" i="1" s="1"/>
  <c r="G24" i="1"/>
  <c r="H24" i="1" s="1"/>
  <c r="I24" i="1" s="1"/>
  <c r="J24" i="1" s="1"/>
  <c r="K24" i="1" s="1"/>
  <c r="L24" i="1" s="1"/>
  <c r="G20" i="1"/>
  <c r="H20" i="1" s="1"/>
  <c r="I20" i="1" s="1"/>
  <c r="J20" i="1" s="1"/>
  <c r="K20" i="1" s="1"/>
  <c r="L20" i="1" s="1"/>
  <c r="G15" i="1"/>
  <c r="AA28" i="31"/>
  <c r="AC28" i="31" s="1"/>
  <c r="I28" i="31" s="1"/>
  <c r="W82" i="2"/>
  <c r="F37" i="27"/>
  <c r="F40" i="63" s="1"/>
  <c r="H42" i="27"/>
  <c r="G40" i="61" s="1"/>
  <c r="H73" i="27"/>
  <c r="G42" i="59" s="1"/>
  <c r="F24" i="59" s="1"/>
  <c r="H34" i="27"/>
  <c r="G39" i="64" s="1"/>
  <c r="F75" i="27"/>
  <c r="H72" i="27"/>
  <c r="G41" i="59" s="1"/>
  <c r="D26" i="59" s="1"/>
  <c r="H44" i="27"/>
  <c r="M74" i="27"/>
  <c r="F42" i="54"/>
  <c r="L74" i="27"/>
  <c r="F46" i="27"/>
  <c r="H38" i="27"/>
  <c r="G39" i="63" s="1"/>
  <c r="H76" i="27"/>
  <c r="G42" i="55" s="1"/>
  <c r="F24" i="55" s="1"/>
  <c r="H77" i="27"/>
  <c r="G41" i="55" s="1"/>
  <c r="D26" i="55" s="1"/>
  <c r="AB68" i="31"/>
  <c r="H68" i="31" s="1"/>
  <c r="AB71" i="31"/>
  <c r="H71" i="31" s="1"/>
  <c r="V73" i="31"/>
  <c r="U73" i="31" s="1"/>
  <c r="Z73" i="31" s="1"/>
  <c r="AB67" i="31"/>
  <c r="H67" i="31" s="1"/>
  <c r="AA74" i="31"/>
  <c r="AC74" i="31" s="1"/>
  <c r="I74" i="31" s="1"/>
  <c r="AA66" i="31"/>
  <c r="AC66" i="31" s="1"/>
  <c r="I66" i="31" s="1"/>
  <c r="AB72" i="31"/>
  <c r="H72" i="31" s="1"/>
  <c r="G28" i="1"/>
  <c r="H28" i="1" s="1"/>
  <c r="I28" i="1" s="1"/>
  <c r="J28" i="1" s="1"/>
  <c r="K28" i="1" s="1"/>
  <c r="L28" i="1" s="1"/>
  <c r="G19" i="1"/>
  <c r="H19" i="1" s="1"/>
  <c r="I19" i="1" s="1"/>
  <c r="J19" i="1" s="1"/>
  <c r="K19" i="1" s="1"/>
  <c r="L19" i="1" s="1"/>
  <c r="R77" i="2"/>
  <c r="V77" i="2" s="1"/>
  <c r="R83" i="2"/>
  <c r="V83" i="2" s="1"/>
  <c r="R85" i="2"/>
  <c r="V85" i="2" s="1"/>
  <c r="AC20" i="2"/>
  <c r="R89" i="2"/>
  <c r="W89" i="2" s="1"/>
  <c r="Q81" i="2"/>
  <c r="R81" i="2" s="1"/>
  <c r="P31" i="26"/>
  <c r="P31" i="27"/>
  <c r="N34" i="26"/>
  <c r="N34" i="27"/>
  <c r="P25" i="26"/>
  <c r="P25" i="27"/>
  <c r="N36" i="26"/>
  <c r="N36" i="27"/>
  <c r="O25" i="26"/>
  <c r="O25" i="27"/>
  <c r="N33" i="26"/>
  <c r="N33" i="27"/>
  <c r="N37" i="26"/>
  <c r="N37" i="27"/>
  <c r="N38" i="26"/>
  <c r="N38" i="27"/>
  <c r="N35" i="26"/>
  <c r="N35" i="27"/>
  <c r="P28" i="26"/>
  <c r="P28" i="27"/>
  <c r="Y26" i="2"/>
  <c r="AB26" i="2" s="1"/>
  <c r="AC26" i="2"/>
  <c r="Y27" i="2"/>
  <c r="AC23" i="2"/>
  <c r="Y23" i="2"/>
  <c r="Y25" i="2"/>
  <c r="P30" i="26"/>
  <c r="T85" i="2"/>
  <c r="AC27" i="2"/>
  <c r="P32" i="26"/>
  <c r="AC22" i="2"/>
  <c r="P27" i="26"/>
  <c r="AA34" i="2"/>
  <c r="N39" i="26"/>
  <c r="Y18" i="2"/>
  <c r="P23" i="26"/>
  <c r="AC21" i="2"/>
  <c r="P26" i="26"/>
  <c r="Y24" i="2"/>
  <c r="P29" i="26"/>
  <c r="AC18" i="2"/>
  <c r="Y21" i="2"/>
  <c r="AG21" i="2" s="1"/>
  <c r="AC24" i="2"/>
  <c r="Y22" i="2"/>
  <c r="Z34" i="2"/>
  <c r="Z31" i="2"/>
  <c r="AA31" i="2"/>
  <c r="AA33" i="2"/>
  <c r="Z33" i="2"/>
  <c r="AA28" i="2"/>
  <c r="AA32" i="2"/>
  <c r="Z32" i="2"/>
  <c r="P37" i="27" s="1"/>
  <c r="AC25" i="2"/>
  <c r="T83" i="2"/>
  <c r="AA30" i="2"/>
  <c r="Z30" i="2"/>
  <c r="Z29" i="2"/>
  <c r="AA29" i="2"/>
  <c r="Z28" i="2"/>
  <c r="Q75" i="2"/>
  <c r="W86" i="2"/>
  <c r="P87" i="2"/>
  <c r="R87" i="2" s="1"/>
  <c r="R76" i="2"/>
  <c r="Q84" i="2"/>
  <c r="V86" i="2"/>
  <c r="P80" i="2"/>
  <c r="Q94" i="2"/>
  <c r="Q79" i="2"/>
  <c r="R79" i="2" s="1"/>
  <c r="AB37" i="31"/>
  <c r="H37" i="31" s="1"/>
  <c r="AB33" i="31"/>
  <c r="H33" i="31" s="1"/>
  <c r="AB39" i="31"/>
  <c r="H39" i="31" s="1"/>
  <c r="AC41" i="31"/>
  <c r="I41" i="31" s="1"/>
  <c r="AB29" i="31"/>
  <c r="H29" i="31" s="1"/>
  <c r="T88" i="2"/>
  <c r="V88" i="2"/>
  <c r="W88" i="2"/>
  <c r="U31" i="31"/>
  <c r="Z31" i="31" s="1"/>
  <c r="AA31" i="31" s="1"/>
  <c r="AC31" i="31" s="1"/>
  <c r="I31" i="31" s="1"/>
  <c r="U34" i="31"/>
  <c r="Z34" i="31" s="1"/>
  <c r="AA34" i="31" s="1"/>
  <c r="AC34" i="31" s="1"/>
  <c r="I34" i="31" s="1"/>
  <c r="U42" i="31"/>
  <c r="Z42" i="31" s="1"/>
  <c r="AA42" i="31" s="1"/>
  <c r="AB42" i="31" s="1"/>
  <c r="H42" i="31" s="1"/>
  <c r="U36" i="31"/>
  <c r="Z36" i="31" s="1"/>
  <c r="AA36" i="31" s="1"/>
  <c r="AC36" i="31" s="1"/>
  <c r="I36" i="31" s="1"/>
  <c r="U38" i="31"/>
  <c r="Z38" i="31" s="1"/>
  <c r="AA38" i="31" s="1"/>
  <c r="AB38" i="31" s="1"/>
  <c r="H38" i="31" s="1"/>
  <c r="U35" i="31"/>
  <c r="Z35" i="31" s="1"/>
  <c r="AA35" i="31" s="1"/>
  <c r="AC35" i="31" s="1"/>
  <c r="I35" i="31" s="1"/>
  <c r="AC32" i="31"/>
  <c r="I32" i="31" s="1"/>
  <c r="AB20" i="2"/>
  <c r="AG20" i="2"/>
  <c r="AH20" i="2"/>
  <c r="AK20" i="2" s="1"/>
  <c r="AJ20" i="2"/>
  <c r="AM20" i="2" s="1"/>
  <c r="AI20" i="2"/>
  <c r="AL20" i="2" s="1"/>
  <c r="U30" i="31"/>
  <c r="Z30" i="31" s="1"/>
  <c r="AA30" i="31" s="1"/>
  <c r="AB30" i="31" s="1"/>
  <c r="H30" i="31" s="1"/>
  <c r="V89" i="2"/>
  <c r="T89" i="2"/>
  <c r="U44" i="31"/>
  <c r="Z44" i="31" s="1"/>
  <c r="AA44" i="31" s="1"/>
  <c r="AB44" i="31" s="1"/>
  <c r="H44" i="31" s="1"/>
  <c r="T77" i="2" l="1"/>
  <c r="AB28" i="31"/>
  <c r="W85" i="2"/>
  <c r="W83" i="2"/>
  <c r="R75" i="2"/>
  <c r="W75" i="2" s="1"/>
  <c r="F40" i="58"/>
  <c r="D27" i="58" s="1"/>
  <c r="F17" i="54"/>
  <c r="C27" i="54"/>
  <c r="H42" i="54"/>
  <c r="C13" i="54" s="1"/>
  <c r="I42" i="54"/>
  <c r="F10" i="54" s="1"/>
  <c r="C20" i="54"/>
  <c r="L75" i="27"/>
  <c r="F41" i="54"/>
  <c r="M75" i="27"/>
  <c r="F43" i="27"/>
  <c r="F40" i="60" s="1"/>
  <c r="F73" i="27"/>
  <c r="L73" i="27" s="1"/>
  <c r="H36" i="27"/>
  <c r="G39" i="62" s="1"/>
  <c r="G39" i="58"/>
  <c r="C26" i="58" s="1"/>
  <c r="F76" i="27"/>
  <c r="F42" i="55" s="1"/>
  <c r="F49" i="27"/>
  <c r="F77" i="27"/>
  <c r="L77" i="27" s="1"/>
  <c r="F47" i="27"/>
  <c r="F40" i="59" s="1"/>
  <c r="H39" i="27"/>
  <c r="G40" i="62" s="1"/>
  <c r="F34" i="27"/>
  <c r="L34" i="27" s="1"/>
  <c r="H71" i="27"/>
  <c r="G42" i="58" s="1"/>
  <c r="F24" i="58" s="1"/>
  <c r="H41" i="27"/>
  <c r="F35" i="27"/>
  <c r="F39" i="53" s="1"/>
  <c r="H40" i="27"/>
  <c r="G39" i="60" s="1"/>
  <c r="F44" i="27"/>
  <c r="F39" i="58" s="1"/>
  <c r="F38" i="27"/>
  <c r="L38" i="27" s="1"/>
  <c r="H33" i="27"/>
  <c r="H79" i="27"/>
  <c r="G42" i="56" s="1"/>
  <c r="F24" i="56" s="1"/>
  <c r="H37" i="27"/>
  <c r="M37" i="27" s="1"/>
  <c r="H46" i="27"/>
  <c r="M46" i="27" s="1"/>
  <c r="F42" i="27"/>
  <c r="M42" i="27" s="1"/>
  <c r="F72" i="27"/>
  <c r="L72" i="27" s="1"/>
  <c r="AB74" i="31"/>
  <c r="H74" i="31" s="1"/>
  <c r="AB66" i="31"/>
  <c r="H66" i="31" s="1"/>
  <c r="AA73" i="31"/>
  <c r="AB73" i="31" s="1"/>
  <c r="H73" i="31" s="1"/>
  <c r="F25" i="61"/>
  <c r="C26" i="63"/>
  <c r="C26" i="64"/>
  <c r="D27" i="63"/>
  <c r="W77" i="2"/>
  <c r="AG26" i="2"/>
  <c r="P38" i="26"/>
  <c r="P38" i="27"/>
  <c r="P36" i="26"/>
  <c r="P36" i="27"/>
  <c r="P92" i="2"/>
  <c r="P39" i="26"/>
  <c r="P39" i="27"/>
  <c r="O30" i="26"/>
  <c r="O30" i="27"/>
  <c r="O28" i="26"/>
  <c r="O28" i="27"/>
  <c r="O23" i="26"/>
  <c r="O23" i="27"/>
  <c r="Y28" i="2"/>
  <c r="AH28" i="2" s="1"/>
  <c r="AK28" i="2" s="1"/>
  <c r="P33" i="27"/>
  <c r="O32" i="26"/>
  <c r="O32" i="27"/>
  <c r="AI26" i="2"/>
  <c r="AL26" i="2" s="1"/>
  <c r="O26" i="26"/>
  <c r="O26" i="27"/>
  <c r="P34" i="26"/>
  <c r="P34" i="27"/>
  <c r="O29" i="26"/>
  <c r="O29" i="27"/>
  <c r="O27" i="26"/>
  <c r="O27" i="27"/>
  <c r="O31" i="26"/>
  <c r="O31" i="27"/>
  <c r="P35" i="26"/>
  <c r="P35" i="27"/>
  <c r="Q96" i="2"/>
  <c r="AG24" i="2"/>
  <c r="AH24" i="2"/>
  <c r="AK24" i="2" s="1"/>
  <c r="AB24" i="2"/>
  <c r="AI24" i="2"/>
  <c r="AL24" i="2" s="1"/>
  <c r="AJ27" i="2"/>
  <c r="AM27" i="2" s="1"/>
  <c r="AG27" i="2"/>
  <c r="AI27" i="2"/>
  <c r="AL27" i="2" s="1"/>
  <c r="AH27" i="2"/>
  <c r="AK27" i="2" s="1"/>
  <c r="AB27" i="2"/>
  <c r="AC31" i="2"/>
  <c r="AI21" i="2"/>
  <c r="AL21" i="2" s="1"/>
  <c r="AB21" i="2"/>
  <c r="AH21" i="2"/>
  <c r="AK21" i="2" s="1"/>
  <c r="Y31" i="2"/>
  <c r="AH31" i="2" s="1"/>
  <c r="AK31" i="2" s="1"/>
  <c r="AJ21" i="2"/>
  <c r="AM21" i="2" s="1"/>
  <c r="AI22" i="2"/>
  <c r="AL22" i="2" s="1"/>
  <c r="AJ22" i="2"/>
  <c r="AM22" i="2" s="1"/>
  <c r="AH22" i="2"/>
  <c r="AK22" i="2" s="1"/>
  <c r="AG22" i="2"/>
  <c r="AB22" i="2"/>
  <c r="AJ26" i="2"/>
  <c r="AM26" i="2" s="1"/>
  <c r="AH26" i="2"/>
  <c r="AK26" i="2" s="1"/>
  <c r="AJ24" i="2"/>
  <c r="AM24" i="2" s="1"/>
  <c r="AH25" i="2"/>
  <c r="AK25" i="2" s="1"/>
  <c r="AB25" i="2"/>
  <c r="Y34" i="2"/>
  <c r="AJ18" i="2"/>
  <c r="AM18" i="2" s="1"/>
  <c r="AI18" i="2"/>
  <c r="AL18" i="2" s="1"/>
  <c r="AH18" i="2"/>
  <c r="AK18" i="2" s="1"/>
  <c r="AB18" i="2"/>
  <c r="AG18" i="2"/>
  <c r="AJ25" i="2"/>
  <c r="AM25" i="2" s="1"/>
  <c r="AI25" i="2"/>
  <c r="AL25" i="2" s="1"/>
  <c r="AG25" i="2"/>
  <c r="AJ23" i="2"/>
  <c r="AM23" i="2" s="1"/>
  <c r="AG23" i="2"/>
  <c r="AI23" i="2"/>
  <c r="AL23" i="2" s="1"/>
  <c r="AB23" i="2"/>
  <c r="AH23" i="2"/>
  <c r="AK23" i="2" s="1"/>
  <c r="AC34" i="2"/>
  <c r="Y30" i="2"/>
  <c r="AC30" i="2"/>
  <c r="Y33" i="2"/>
  <c r="Y32" i="2"/>
  <c r="P37" i="26"/>
  <c r="AC28" i="2"/>
  <c r="P33" i="26"/>
  <c r="AC33" i="2"/>
  <c r="AC32" i="2"/>
  <c r="G50" i="1"/>
  <c r="AC29" i="2"/>
  <c r="Y29" i="2"/>
  <c r="V75" i="2"/>
  <c r="T75" i="2"/>
  <c r="H34" i="1" s="1"/>
  <c r="I34" i="1" s="1"/>
  <c r="J34" i="1" s="1"/>
  <c r="K34" i="1" s="1"/>
  <c r="L34" i="1" s="1"/>
  <c r="P84" i="2"/>
  <c r="R84" i="2" s="1"/>
  <c r="V79" i="2"/>
  <c r="T79" i="2"/>
  <c r="W79" i="2"/>
  <c r="Q80" i="2"/>
  <c r="R80" i="2" s="1"/>
  <c r="W81" i="2"/>
  <c r="T81" i="2"/>
  <c r="H15" i="1" s="1"/>
  <c r="I15" i="1" s="1"/>
  <c r="J15" i="1" s="1"/>
  <c r="K15" i="1" s="1"/>
  <c r="L15" i="1" s="1"/>
  <c r="V81" i="2"/>
  <c r="W76" i="2"/>
  <c r="T76" i="2"/>
  <c r="V76" i="2"/>
  <c r="Q98" i="2"/>
  <c r="V87" i="2"/>
  <c r="T87" i="2"/>
  <c r="W87" i="2"/>
  <c r="Q91" i="2"/>
  <c r="P95" i="2"/>
  <c r="AB35" i="31"/>
  <c r="H35" i="31" s="1"/>
  <c r="AC44" i="31"/>
  <c r="I44" i="31" s="1"/>
  <c r="AB36" i="31"/>
  <c r="H36" i="31" s="1"/>
  <c r="AB34" i="31"/>
  <c r="H34" i="31" s="1"/>
  <c r="AC30" i="31"/>
  <c r="I30" i="31" s="1"/>
  <c r="AC42" i="31"/>
  <c r="I42" i="31" s="1"/>
  <c r="AC38" i="31"/>
  <c r="I38" i="31" s="1"/>
  <c r="AB31" i="31"/>
  <c r="H31" i="31" s="1"/>
  <c r="H28" i="31" l="1"/>
  <c r="F33" i="27"/>
  <c r="F40" i="64" s="1"/>
  <c r="D27" i="64" s="1"/>
  <c r="M44" i="27"/>
  <c r="L44" i="27"/>
  <c r="F39" i="57"/>
  <c r="E24" i="57" s="1"/>
  <c r="F39" i="64"/>
  <c r="E24" i="64" s="1"/>
  <c r="M38" i="27"/>
  <c r="F39" i="63"/>
  <c r="I39" i="63" s="1"/>
  <c r="C12" i="63" s="1"/>
  <c r="G40" i="64"/>
  <c r="M77" i="27"/>
  <c r="F41" i="55"/>
  <c r="H41" i="55" s="1"/>
  <c r="E11" i="55" s="1"/>
  <c r="G40" i="63"/>
  <c r="H40" i="63" s="1"/>
  <c r="D13" i="63" s="1"/>
  <c r="L76" i="27"/>
  <c r="M76" i="27"/>
  <c r="F41" i="59"/>
  <c r="H41" i="59" s="1"/>
  <c r="E11" i="59" s="1"/>
  <c r="G40" i="58"/>
  <c r="D20" i="58" s="1"/>
  <c r="L46" i="27"/>
  <c r="M34" i="27"/>
  <c r="C27" i="55"/>
  <c r="H42" i="55"/>
  <c r="C13" i="55" s="1"/>
  <c r="C20" i="55"/>
  <c r="G39" i="61"/>
  <c r="C26" i="61" s="1"/>
  <c r="M72" i="27"/>
  <c r="L37" i="27"/>
  <c r="F79" i="27"/>
  <c r="L79" i="27" s="1"/>
  <c r="M73" i="27"/>
  <c r="F42" i="59"/>
  <c r="G33" i="59" s="1"/>
  <c r="F71" i="27"/>
  <c r="L71" i="27" s="1"/>
  <c r="H43" i="27"/>
  <c r="M43" i="27" s="1"/>
  <c r="H35" i="27"/>
  <c r="L35" i="27" s="1"/>
  <c r="F40" i="61"/>
  <c r="D27" i="61" s="1"/>
  <c r="F39" i="27"/>
  <c r="L39" i="27" s="1"/>
  <c r="I41" i="54"/>
  <c r="D12" i="54" s="1"/>
  <c r="H41" i="54"/>
  <c r="E11" i="54" s="1"/>
  <c r="D19" i="54"/>
  <c r="E18" i="54"/>
  <c r="E25" i="54"/>
  <c r="F36" i="27"/>
  <c r="M36" i="27" s="1"/>
  <c r="H47" i="27"/>
  <c r="L42" i="27"/>
  <c r="F41" i="27"/>
  <c r="H49" i="27"/>
  <c r="M49" i="27" s="1"/>
  <c r="F17" i="55"/>
  <c r="F40" i="27"/>
  <c r="F78" i="27"/>
  <c r="F41" i="56" s="1"/>
  <c r="I42" i="55"/>
  <c r="F10" i="55" s="1"/>
  <c r="AC73" i="31"/>
  <c r="I73" i="31" s="1"/>
  <c r="F25" i="62"/>
  <c r="C26" i="62"/>
  <c r="C26" i="60"/>
  <c r="E24" i="53"/>
  <c r="E17" i="58"/>
  <c r="I39" i="58"/>
  <c r="C12" i="58" s="1"/>
  <c r="C19" i="58"/>
  <c r="E24" i="58"/>
  <c r="H39" i="58"/>
  <c r="E10" i="58" s="1"/>
  <c r="G30" i="58"/>
  <c r="D27" i="59"/>
  <c r="H31" i="59"/>
  <c r="D27" i="60"/>
  <c r="W50" i="31"/>
  <c r="T50" i="31" s="1"/>
  <c r="V50" i="31" s="1"/>
  <c r="W45" i="31"/>
  <c r="T45" i="31" s="1"/>
  <c r="V45" i="31" s="1"/>
  <c r="W47" i="31"/>
  <c r="T47" i="31" s="1"/>
  <c r="V47" i="31" s="1"/>
  <c r="AJ28" i="2"/>
  <c r="AM28" i="2" s="1"/>
  <c r="AI28" i="2"/>
  <c r="AL28" i="2" s="1"/>
  <c r="AB28" i="2"/>
  <c r="AG28" i="2"/>
  <c r="AG31" i="2"/>
  <c r="AI31" i="2"/>
  <c r="AL31" i="2" s="1"/>
  <c r="AJ31" i="2"/>
  <c r="AM31" i="2" s="1"/>
  <c r="O38" i="26"/>
  <c r="O38" i="27"/>
  <c r="O37" i="26"/>
  <c r="O37" i="27"/>
  <c r="O35" i="26"/>
  <c r="O35" i="27"/>
  <c r="O36" i="26"/>
  <c r="O36" i="27"/>
  <c r="AB31" i="2"/>
  <c r="O34" i="26"/>
  <c r="O34" i="27"/>
  <c r="O33" i="26"/>
  <c r="O33" i="27"/>
  <c r="O39" i="26"/>
  <c r="O39" i="27"/>
  <c r="AJ30" i="2"/>
  <c r="AM30" i="2" s="1"/>
  <c r="AH30" i="2"/>
  <c r="AK30" i="2" s="1"/>
  <c r="AI32" i="2"/>
  <c r="AL32" i="2" s="1"/>
  <c r="AI33" i="2"/>
  <c r="AL33" i="2" s="1"/>
  <c r="AB33" i="2"/>
  <c r="AG33" i="2"/>
  <c r="AJ33" i="2"/>
  <c r="AM33" i="2" s="1"/>
  <c r="AH33" i="2"/>
  <c r="AK33" i="2" s="1"/>
  <c r="AG32" i="2"/>
  <c r="AJ32" i="2"/>
  <c r="AM32" i="2" s="1"/>
  <c r="AH32" i="2"/>
  <c r="AK32" i="2" s="1"/>
  <c r="AB32" i="2"/>
  <c r="AG34" i="2"/>
  <c r="AH34" i="2"/>
  <c r="AK34" i="2" s="1"/>
  <c r="AI34" i="2"/>
  <c r="AL34" i="2" s="1"/>
  <c r="AJ34" i="2"/>
  <c r="AM34" i="2" s="1"/>
  <c r="AB34" i="2"/>
  <c r="AI30" i="2"/>
  <c r="AL30" i="2" s="1"/>
  <c r="AG30" i="2"/>
  <c r="AB30" i="2"/>
  <c r="P91" i="2"/>
  <c r="R91" i="2" s="1"/>
  <c r="AI29" i="2"/>
  <c r="AL29" i="2" s="1"/>
  <c r="AH29" i="2"/>
  <c r="AK29" i="2" s="1"/>
  <c r="AB29" i="2"/>
  <c r="AG29" i="2"/>
  <c r="AJ29" i="2"/>
  <c r="AM29" i="2" s="1"/>
  <c r="W80" i="2"/>
  <c r="T80" i="2"/>
  <c r="V80" i="2"/>
  <c r="V84" i="2"/>
  <c r="T84" i="2"/>
  <c r="W84" i="2"/>
  <c r="P97" i="2"/>
  <c r="Q97" i="2"/>
  <c r="L33" i="27" l="1"/>
  <c r="H40" i="64"/>
  <c r="D13" i="64" s="1"/>
  <c r="M33" i="27"/>
  <c r="H39" i="64"/>
  <c r="E10" i="64" s="1"/>
  <c r="I39" i="64"/>
  <c r="C12" i="64" s="1"/>
  <c r="E17" i="64"/>
  <c r="C19" i="64"/>
  <c r="E17" i="63"/>
  <c r="H39" i="63"/>
  <c r="E10" i="63" s="1"/>
  <c r="F18" i="63"/>
  <c r="I40" i="63"/>
  <c r="F11" i="63" s="1"/>
  <c r="F18" i="64"/>
  <c r="D20" i="64"/>
  <c r="F25" i="64"/>
  <c r="I40" i="64"/>
  <c r="F11" i="64" s="1"/>
  <c r="D19" i="55"/>
  <c r="I41" i="55"/>
  <c r="D12" i="55" s="1"/>
  <c r="E25" i="55"/>
  <c r="E18" i="55"/>
  <c r="E24" i="63"/>
  <c r="C19" i="63"/>
  <c r="D20" i="63"/>
  <c r="F25" i="63"/>
  <c r="H33" i="58"/>
  <c r="D19" i="59"/>
  <c r="I41" i="59"/>
  <c r="D12" i="59" s="1"/>
  <c r="E18" i="59"/>
  <c r="E25" i="59"/>
  <c r="L36" i="27"/>
  <c r="F39" i="62"/>
  <c r="H39" i="62" s="1"/>
  <c r="E10" i="62" s="1"/>
  <c r="L49" i="27"/>
  <c r="L43" i="27"/>
  <c r="G39" i="57"/>
  <c r="I39" i="57" s="1"/>
  <c r="C12" i="57" s="1"/>
  <c r="G40" i="60"/>
  <c r="F18" i="60" s="1"/>
  <c r="F42" i="58"/>
  <c r="H30" i="58" s="1"/>
  <c r="I30" i="58" s="1"/>
  <c r="H40" i="58"/>
  <c r="D13" i="58" s="1"/>
  <c r="M71" i="27"/>
  <c r="M35" i="27"/>
  <c r="I40" i="58"/>
  <c r="F11" i="58" s="1"/>
  <c r="F40" i="62"/>
  <c r="H40" i="62" s="1"/>
  <c r="D13" i="62" s="1"/>
  <c r="G40" i="59"/>
  <c r="F25" i="59" s="1"/>
  <c r="F18" i="58"/>
  <c r="G39" i="53"/>
  <c r="I39" i="53" s="1"/>
  <c r="C12" i="53" s="1"/>
  <c r="F25" i="58"/>
  <c r="M39" i="27"/>
  <c r="M79" i="27"/>
  <c r="F42" i="56"/>
  <c r="I42" i="56" s="1"/>
  <c r="F10" i="56" s="1"/>
  <c r="L47" i="27"/>
  <c r="M47" i="27"/>
  <c r="F39" i="60"/>
  <c r="H39" i="60" s="1"/>
  <c r="E10" i="60" s="1"/>
  <c r="L40" i="27"/>
  <c r="M40" i="27"/>
  <c r="M41" i="27"/>
  <c r="I40" i="61"/>
  <c r="F11" i="61" s="1"/>
  <c r="H78" i="27"/>
  <c r="M78" i="27" s="1"/>
  <c r="H40" i="61"/>
  <c r="D13" i="61" s="1"/>
  <c r="F17" i="59"/>
  <c r="C20" i="59"/>
  <c r="C27" i="59"/>
  <c r="G27" i="59" s="1"/>
  <c r="I42" i="59"/>
  <c r="F10" i="59" s="1"/>
  <c r="H42" i="59"/>
  <c r="C13" i="59" s="1"/>
  <c r="F39" i="61"/>
  <c r="I39" i="61" s="1"/>
  <c r="C12" i="61" s="1"/>
  <c r="D20" i="61"/>
  <c r="L41" i="27"/>
  <c r="F18" i="61"/>
  <c r="E25" i="56"/>
  <c r="G24" i="58"/>
  <c r="W49" i="31"/>
  <c r="T49" i="31" s="1"/>
  <c r="V49" i="31" s="1"/>
  <c r="W48" i="31"/>
  <c r="T48" i="31" s="1"/>
  <c r="W46" i="31"/>
  <c r="T46" i="31" s="1"/>
  <c r="V46" i="31" s="1"/>
  <c r="R97" i="2"/>
  <c r="W97" i="2" s="1"/>
  <c r="Q95" i="2"/>
  <c r="R95" i="2" s="1"/>
  <c r="AN44" i="2"/>
  <c r="X44" i="2" s="1"/>
  <c r="AN41" i="2"/>
  <c r="X41" i="2" s="1"/>
  <c r="AN36" i="2"/>
  <c r="X36" i="2" s="1"/>
  <c r="AN50" i="2"/>
  <c r="X50" i="2" s="1"/>
  <c r="AN47" i="2"/>
  <c r="X47" i="2" s="1"/>
  <c r="AN35" i="2"/>
  <c r="X35" i="2" s="1"/>
  <c r="T91" i="2"/>
  <c r="V91" i="2"/>
  <c r="W91" i="2"/>
  <c r="AN45" i="2"/>
  <c r="X45" i="2" s="1"/>
  <c r="AN42" i="2"/>
  <c r="X42" i="2" s="1"/>
  <c r="AN38" i="2"/>
  <c r="X38" i="2" s="1"/>
  <c r="AN39" i="2"/>
  <c r="X39" i="2" s="1"/>
  <c r="N44" i="27" s="1"/>
  <c r="AN37" i="2"/>
  <c r="X37" i="2" s="1"/>
  <c r="P93" i="2"/>
  <c r="Q93" i="2"/>
  <c r="P94" i="2"/>
  <c r="R94" i="2" s="1"/>
  <c r="P98" i="2"/>
  <c r="R98" i="2" s="1"/>
  <c r="U50" i="31"/>
  <c r="Z50" i="31" s="1"/>
  <c r="AA50" i="31" s="1"/>
  <c r="AC50" i="31" s="1"/>
  <c r="I50" i="31" s="1"/>
  <c r="V97" i="2"/>
  <c r="T97" i="2"/>
  <c r="U47" i="31"/>
  <c r="Z47" i="31" s="1"/>
  <c r="AA47" i="31" s="1"/>
  <c r="AB47" i="31" s="1"/>
  <c r="H47" i="31" s="1"/>
  <c r="U45" i="31"/>
  <c r="Z45" i="31" s="1"/>
  <c r="AA45" i="31" s="1"/>
  <c r="AB45" i="31" s="1"/>
  <c r="H45" i="31" s="1"/>
  <c r="G25" i="59" l="1"/>
  <c r="E17" i="62"/>
  <c r="C26" i="53"/>
  <c r="D20" i="60"/>
  <c r="E24" i="62"/>
  <c r="C19" i="62"/>
  <c r="I39" i="62"/>
  <c r="C12" i="62" s="1"/>
  <c r="F17" i="56"/>
  <c r="F17" i="58"/>
  <c r="G17" i="58" s="1"/>
  <c r="I42" i="58"/>
  <c r="F10" i="58" s="1"/>
  <c r="G10" i="58" s="1"/>
  <c r="H42" i="58"/>
  <c r="C13" i="58" s="1"/>
  <c r="G13" i="58" s="1"/>
  <c r="C20" i="58"/>
  <c r="G20" i="58" s="1"/>
  <c r="G33" i="58"/>
  <c r="I33" i="58" s="1"/>
  <c r="C27" i="58"/>
  <c r="G27" i="58" s="1"/>
  <c r="G41" i="56"/>
  <c r="D26" i="56" s="1"/>
  <c r="C26" i="57"/>
  <c r="C19" i="57"/>
  <c r="D27" i="62"/>
  <c r="I40" i="62"/>
  <c r="F11" i="62" s="1"/>
  <c r="H40" i="59"/>
  <c r="D13" i="59" s="1"/>
  <c r="G13" i="59" s="1"/>
  <c r="H39" i="57"/>
  <c r="E10" i="57" s="1"/>
  <c r="F25" i="60"/>
  <c r="D20" i="59"/>
  <c r="G20" i="59" s="1"/>
  <c r="I40" i="59"/>
  <c r="F11" i="59" s="1"/>
  <c r="G11" i="59" s="1"/>
  <c r="F18" i="59"/>
  <c r="G18" i="59" s="1"/>
  <c r="E17" i="57"/>
  <c r="E17" i="60"/>
  <c r="H40" i="60"/>
  <c r="D13" i="60" s="1"/>
  <c r="D20" i="62"/>
  <c r="C19" i="60"/>
  <c r="I39" i="60"/>
  <c r="C12" i="60" s="1"/>
  <c r="E24" i="60"/>
  <c r="H39" i="53"/>
  <c r="E10" i="53" s="1"/>
  <c r="F18" i="62"/>
  <c r="E17" i="53"/>
  <c r="C19" i="53"/>
  <c r="I40" i="60"/>
  <c r="F11" i="60" s="1"/>
  <c r="H33" i="59"/>
  <c r="I33" i="59" s="1"/>
  <c r="H39" i="61"/>
  <c r="E10" i="61" s="1"/>
  <c r="G31" i="59"/>
  <c r="I31" i="59" s="1"/>
  <c r="L78" i="27"/>
  <c r="E24" i="61"/>
  <c r="E17" i="61"/>
  <c r="C20" i="56"/>
  <c r="H42" i="56"/>
  <c r="C13" i="56" s="1"/>
  <c r="C27" i="56"/>
  <c r="H55" i="27"/>
  <c r="C19" i="61"/>
  <c r="F50" i="27"/>
  <c r="F52" i="27"/>
  <c r="V48" i="31"/>
  <c r="U48" i="31" s="1"/>
  <c r="Z48" i="31" s="1"/>
  <c r="AA48" i="31" s="1"/>
  <c r="AB48" i="31" s="1"/>
  <c r="H48" i="31" s="1"/>
  <c r="W40" i="31"/>
  <c r="T40" i="31" s="1"/>
  <c r="V40" i="31" s="1"/>
  <c r="W43" i="31"/>
  <c r="T43" i="31" s="1"/>
  <c r="V43" i="31" s="1"/>
  <c r="Q99" i="2"/>
  <c r="N52" i="26"/>
  <c r="N52" i="27"/>
  <c r="N55" i="26"/>
  <c r="N55" i="27"/>
  <c r="N41" i="26"/>
  <c r="N41" i="27"/>
  <c r="N49" i="26"/>
  <c r="N49" i="27"/>
  <c r="N42" i="26"/>
  <c r="N42" i="27"/>
  <c r="N43" i="26"/>
  <c r="N43" i="27"/>
  <c r="N50" i="26"/>
  <c r="N50" i="27"/>
  <c r="N46" i="26"/>
  <c r="N46" i="27"/>
  <c r="N47" i="26"/>
  <c r="N47" i="27"/>
  <c r="N40" i="26"/>
  <c r="N40" i="27"/>
  <c r="V95" i="2"/>
  <c r="T95" i="2"/>
  <c r="W95" i="2"/>
  <c r="N44" i="26"/>
  <c r="AA47" i="2"/>
  <c r="Z47" i="2"/>
  <c r="Y47" i="2" s="1"/>
  <c r="Z36" i="2"/>
  <c r="AC36" i="2" s="1"/>
  <c r="AA36" i="2"/>
  <c r="Z41" i="2"/>
  <c r="AA41" i="2"/>
  <c r="AA44" i="2"/>
  <c r="Z44" i="2"/>
  <c r="P49" i="27" s="1"/>
  <c r="AA38" i="2"/>
  <c r="Z38" i="2"/>
  <c r="AA42" i="2"/>
  <c r="Z42" i="2"/>
  <c r="P47" i="27" s="1"/>
  <c r="Z37" i="2"/>
  <c r="P42" i="27" s="1"/>
  <c r="AA37" i="2"/>
  <c r="AA50" i="2"/>
  <c r="Z50" i="2"/>
  <c r="AA35" i="2"/>
  <c r="Z35" i="2"/>
  <c r="Z45" i="2"/>
  <c r="AA45" i="2"/>
  <c r="AN48" i="2"/>
  <c r="X48" i="2" s="1"/>
  <c r="AN43" i="2"/>
  <c r="X43" i="2" s="1"/>
  <c r="AN40" i="2"/>
  <c r="X40" i="2" s="1"/>
  <c r="AN49" i="2"/>
  <c r="X49" i="2" s="1"/>
  <c r="AA39" i="2"/>
  <c r="Z39" i="2"/>
  <c r="P44" i="27" s="1"/>
  <c r="AN46" i="2"/>
  <c r="X46" i="2" s="1"/>
  <c r="N51" i="27" s="1"/>
  <c r="R93" i="2"/>
  <c r="V93" i="2" s="1"/>
  <c r="W98" i="2"/>
  <c r="T98" i="2"/>
  <c r="V98" i="2"/>
  <c r="H50" i="1"/>
  <c r="Q92" i="2"/>
  <c r="R92" i="2" s="1"/>
  <c r="T94" i="2"/>
  <c r="V94" i="2"/>
  <c r="W94" i="2"/>
  <c r="P96" i="2"/>
  <c r="R96" i="2" s="1"/>
  <c r="AC45" i="31"/>
  <c r="I45" i="31" s="1"/>
  <c r="AC47" i="31"/>
  <c r="I47" i="31" s="1"/>
  <c r="AB50" i="31"/>
  <c r="H50" i="31" s="1"/>
  <c r="U46" i="31"/>
  <c r="Z46" i="31" s="1"/>
  <c r="AA46" i="31" s="1"/>
  <c r="AB46" i="31" s="1"/>
  <c r="H46" i="31" s="1"/>
  <c r="U49" i="31"/>
  <c r="Z49" i="31" s="1"/>
  <c r="AA49" i="31" s="1"/>
  <c r="AB49" i="31" s="1"/>
  <c r="H49" i="31" s="1"/>
  <c r="I6" i="58" l="1"/>
  <c r="I27" i="58" s="1"/>
  <c r="L3" i="58"/>
  <c r="L24" i="58" s="1"/>
  <c r="D19" i="56"/>
  <c r="E18" i="56"/>
  <c r="H41" i="56"/>
  <c r="E11" i="56" s="1"/>
  <c r="I41" i="56"/>
  <c r="D12" i="56" s="1"/>
  <c r="J6" i="59"/>
  <c r="J27" i="59" s="1"/>
  <c r="G40" i="55"/>
  <c r="F25" i="55" s="1"/>
  <c r="G25" i="55" s="1"/>
  <c r="F39" i="55"/>
  <c r="G30" i="55" s="1"/>
  <c r="L4" i="59"/>
  <c r="L25" i="59" s="1"/>
  <c r="F51" i="27"/>
  <c r="F55" i="27"/>
  <c r="F53" i="27"/>
  <c r="F39" i="54" s="1"/>
  <c r="H52" i="27"/>
  <c r="F40" i="57"/>
  <c r="D27" i="57" s="1"/>
  <c r="F54" i="27"/>
  <c r="H50" i="27"/>
  <c r="L50" i="27" s="1"/>
  <c r="Y36" i="2"/>
  <c r="O41" i="26" s="1"/>
  <c r="AC47" i="2"/>
  <c r="AC38" i="2"/>
  <c r="P43" i="27"/>
  <c r="N54" i="26"/>
  <c r="N54" i="27"/>
  <c r="N45" i="26"/>
  <c r="N45" i="27"/>
  <c r="P41" i="26"/>
  <c r="P41" i="27"/>
  <c r="O52" i="26"/>
  <c r="O52" i="27"/>
  <c r="N48" i="26"/>
  <c r="N48" i="27"/>
  <c r="P52" i="26"/>
  <c r="P52" i="27"/>
  <c r="N53" i="26"/>
  <c r="N53" i="27"/>
  <c r="P46" i="26"/>
  <c r="P46" i="27"/>
  <c r="P50" i="26"/>
  <c r="P50" i="27"/>
  <c r="P40" i="26"/>
  <c r="P40" i="27"/>
  <c r="Y50" i="2"/>
  <c r="AI50" i="2" s="1"/>
  <c r="AL50" i="2" s="1"/>
  <c r="P55" i="27"/>
  <c r="AC50" i="2"/>
  <c r="AC41" i="2"/>
  <c r="Y41" i="2"/>
  <c r="AB41" i="2" s="1"/>
  <c r="Y45" i="2"/>
  <c r="AC45" i="2"/>
  <c r="AC37" i="2"/>
  <c r="P42" i="26"/>
  <c r="AA46" i="2"/>
  <c r="N51" i="26"/>
  <c r="P47" i="26"/>
  <c r="P44" i="26"/>
  <c r="Y38" i="2"/>
  <c r="P43" i="26"/>
  <c r="AC44" i="2"/>
  <c r="P49" i="26"/>
  <c r="P55" i="26"/>
  <c r="Y37" i="2"/>
  <c r="AJ37" i="2" s="1"/>
  <c r="AM37" i="2" s="1"/>
  <c r="Y44" i="2"/>
  <c r="Y39" i="2"/>
  <c r="AC39" i="2"/>
  <c r="Y42" i="2"/>
  <c r="AC35" i="2"/>
  <c r="Y35" i="2"/>
  <c r="AA43" i="2"/>
  <c r="AA49" i="2"/>
  <c r="Z49" i="2"/>
  <c r="Z40" i="2"/>
  <c r="P45" i="27" s="1"/>
  <c r="AA40" i="2"/>
  <c r="AA48" i="2"/>
  <c r="Z43" i="2"/>
  <c r="P48" i="27" s="1"/>
  <c r="W93" i="2"/>
  <c r="T93" i="2"/>
  <c r="AC42" i="2"/>
  <c r="Z46" i="2"/>
  <c r="Z48" i="2"/>
  <c r="V96" i="2"/>
  <c r="W96" i="2"/>
  <c r="T96" i="2"/>
  <c r="P102" i="2"/>
  <c r="V92" i="2"/>
  <c r="W92" i="2"/>
  <c r="T92" i="2"/>
  <c r="AC49" i="31"/>
  <c r="I49" i="31" s="1"/>
  <c r="AC48" i="31"/>
  <c r="I48" i="31" s="1"/>
  <c r="AB47" i="2"/>
  <c r="AH47" i="2"/>
  <c r="AK47" i="2" s="1"/>
  <c r="AI47" i="2"/>
  <c r="AL47" i="2" s="1"/>
  <c r="AJ47" i="2"/>
  <c r="AM47" i="2" s="1"/>
  <c r="AG47" i="2"/>
  <c r="AC46" i="31"/>
  <c r="I46" i="31" s="1"/>
  <c r="U43" i="31"/>
  <c r="Z43" i="31" s="1"/>
  <c r="AA43" i="31" s="1"/>
  <c r="AC43" i="31" s="1"/>
  <c r="I43" i="31" s="1"/>
  <c r="AG36" i="2"/>
  <c r="AG50" i="2"/>
  <c r="U40" i="31"/>
  <c r="Z40" i="31" s="1"/>
  <c r="AA40" i="31" l="1"/>
  <c r="AC40" i="31" s="1"/>
  <c r="L17" i="58"/>
  <c r="L10" i="58" s="1"/>
  <c r="I20" i="58"/>
  <c r="I13" i="58" s="1"/>
  <c r="J20" i="59"/>
  <c r="J13" i="59" s="1"/>
  <c r="AI36" i="2"/>
  <c r="AL36" i="2" s="1"/>
  <c r="AH36" i="2"/>
  <c r="AK36" i="2" s="1"/>
  <c r="AJ36" i="2"/>
  <c r="AM36" i="2" s="1"/>
  <c r="AB36" i="2"/>
  <c r="O41" i="27"/>
  <c r="L18" i="59"/>
  <c r="L11" i="59" s="1"/>
  <c r="G31" i="55"/>
  <c r="F40" i="56"/>
  <c r="D27" i="56" s="1"/>
  <c r="H33" i="55"/>
  <c r="E24" i="55"/>
  <c r="G24" i="55" s="1"/>
  <c r="H32" i="55"/>
  <c r="M55" i="27"/>
  <c r="L55" i="27"/>
  <c r="F40" i="55"/>
  <c r="D27" i="55" s="1"/>
  <c r="M50" i="27"/>
  <c r="G39" i="55"/>
  <c r="E17" i="55" s="1"/>
  <c r="G17" i="55" s="1"/>
  <c r="G40" i="57"/>
  <c r="D20" i="57" s="1"/>
  <c r="F40" i="54"/>
  <c r="G33" i="54" s="1"/>
  <c r="H53" i="27"/>
  <c r="M52" i="27"/>
  <c r="L52" i="27"/>
  <c r="H54" i="27"/>
  <c r="H48" i="27"/>
  <c r="H51" i="27"/>
  <c r="G30" i="54"/>
  <c r="H32" i="54"/>
  <c r="E24" i="54"/>
  <c r="G24" i="54" s="1"/>
  <c r="AI37" i="2"/>
  <c r="AL37" i="2" s="1"/>
  <c r="AH37" i="2"/>
  <c r="AK37" i="2" s="1"/>
  <c r="AB50" i="2"/>
  <c r="AJ50" i="2"/>
  <c r="AM50" i="2" s="1"/>
  <c r="AI41" i="2"/>
  <c r="AL41" i="2" s="1"/>
  <c r="AG41" i="2"/>
  <c r="AH41" i="2"/>
  <c r="AK41" i="2" s="1"/>
  <c r="AJ41" i="2"/>
  <c r="AM41" i="2" s="1"/>
  <c r="O43" i="26"/>
  <c r="O43" i="27"/>
  <c r="O55" i="26"/>
  <c r="O55" i="27"/>
  <c r="P54" i="26"/>
  <c r="P54" i="27"/>
  <c r="O50" i="26"/>
  <c r="O50" i="27"/>
  <c r="O40" i="26"/>
  <c r="O40" i="27"/>
  <c r="O46" i="26"/>
  <c r="O46" i="27"/>
  <c r="O47" i="26"/>
  <c r="O47" i="27"/>
  <c r="O44" i="26"/>
  <c r="O44" i="27"/>
  <c r="O49" i="26"/>
  <c r="O49" i="27"/>
  <c r="O42" i="26"/>
  <c r="O42" i="27"/>
  <c r="Y48" i="2"/>
  <c r="AB48" i="2" s="1"/>
  <c r="P53" i="27"/>
  <c r="AH50" i="2"/>
  <c r="AK50" i="2" s="1"/>
  <c r="P51" i="26"/>
  <c r="P51" i="27"/>
  <c r="AJ35" i="2"/>
  <c r="AM35" i="2" s="1"/>
  <c r="AI39" i="2"/>
  <c r="AL39" i="2" s="1"/>
  <c r="AG35" i="2"/>
  <c r="AI35" i="2"/>
  <c r="AL35" i="2" s="1"/>
  <c r="AB35" i="2"/>
  <c r="AJ39" i="2"/>
  <c r="AM39" i="2" s="1"/>
  <c r="AH45" i="2"/>
  <c r="AK45" i="2" s="1"/>
  <c r="AI45" i="2"/>
  <c r="AL45" i="2" s="1"/>
  <c r="AG45" i="2"/>
  <c r="AJ45" i="2"/>
  <c r="AM45" i="2" s="1"/>
  <c r="AB45" i="2"/>
  <c r="AG39" i="2"/>
  <c r="AH39" i="2"/>
  <c r="AK39" i="2" s="1"/>
  <c r="AI42" i="2"/>
  <c r="AL42" i="2" s="1"/>
  <c r="AC49" i="2"/>
  <c r="AB44" i="2"/>
  <c r="AH35" i="2"/>
  <c r="AK35" i="2" s="1"/>
  <c r="AJ44" i="2"/>
  <c r="AM44" i="2" s="1"/>
  <c r="AB39" i="2"/>
  <c r="AG44" i="2"/>
  <c r="AI44" i="2"/>
  <c r="AL44" i="2" s="1"/>
  <c r="AG38" i="2"/>
  <c r="AJ38" i="2"/>
  <c r="AM38" i="2" s="1"/>
  <c r="AH38" i="2"/>
  <c r="AK38" i="2" s="1"/>
  <c r="AB38" i="2"/>
  <c r="AI38" i="2"/>
  <c r="AL38" i="2" s="1"/>
  <c r="AH42" i="2"/>
  <c r="AK42" i="2" s="1"/>
  <c r="AG42" i="2"/>
  <c r="Y46" i="2"/>
  <c r="AJ42" i="2"/>
  <c r="AM42" i="2" s="1"/>
  <c r="AB42" i="2"/>
  <c r="AG37" i="2"/>
  <c r="AB37" i="2"/>
  <c r="AC46" i="2"/>
  <c r="AH44" i="2"/>
  <c r="AK44" i="2" s="1"/>
  <c r="Y49" i="2"/>
  <c r="AB49" i="2" s="1"/>
  <c r="P48" i="26"/>
  <c r="P45" i="26"/>
  <c r="AC48" i="2"/>
  <c r="P53" i="26"/>
  <c r="AC43" i="2"/>
  <c r="Y40" i="2"/>
  <c r="Y43" i="2"/>
  <c r="AC40" i="2"/>
  <c r="Q101" i="2"/>
  <c r="Q102" i="2"/>
  <c r="R102" i="2" s="1"/>
  <c r="P101" i="2"/>
  <c r="AB43" i="31"/>
  <c r="H43" i="31" s="1"/>
  <c r="AB40" i="31" l="1"/>
  <c r="H40" i="31" s="1"/>
  <c r="I40" i="31"/>
  <c r="H45" i="27"/>
  <c r="G39" i="59" s="1"/>
  <c r="H30" i="59" s="1"/>
  <c r="H31" i="56"/>
  <c r="G33" i="56"/>
  <c r="G39" i="56"/>
  <c r="G32" i="56" s="1"/>
  <c r="F18" i="55"/>
  <c r="G18" i="55" s="1"/>
  <c r="H31" i="55"/>
  <c r="I31" i="55" s="1"/>
  <c r="I40" i="55"/>
  <c r="F11" i="55" s="1"/>
  <c r="G11" i="55" s="1"/>
  <c r="D20" i="55"/>
  <c r="G20" i="55" s="1"/>
  <c r="G33" i="55"/>
  <c r="I33" i="55" s="1"/>
  <c r="H40" i="55"/>
  <c r="D13" i="55" s="1"/>
  <c r="G13" i="55" s="1"/>
  <c r="H40" i="57"/>
  <c r="D13" i="57" s="1"/>
  <c r="F25" i="57"/>
  <c r="F18" i="57"/>
  <c r="I40" i="57"/>
  <c r="F11" i="57" s="1"/>
  <c r="I39" i="55"/>
  <c r="C12" i="55" s="1"/>
  <c r="G12" i="55" s="1"/>
  <c r="C19" i="55"/>
  <c r="G19" i="55" s="1"/>
  <c r="H30" i="55"/>
  <c r="I30" i="55" s="1"/>
  <c r="G32" i="55"/>
  <c r="I32" i="55" s="1"/>
  <c r="C26" i="55"/>
  <c r="G26" i="55" s="1"/>
  <c r="H39" i="55"/>
  <c r="E10" i="55" s="1"/>
  <c r="G10" i="55" s="1"/>
  <c r="L53" i="27"/>
  <c r="L54" i="27"/>
  <c r="G39" i="54"/>
  <c r="E17" i="54" s="1"/>
  <c r="G17" i="54" s="1"/>
  <c r="G40" i="54"/>
  <c r="D20" i="54" s="1"/>
  <c r="G20" i="54" s="1"/>
  <c r="M54" i="27"/>
  <c r="M53" i="27"/>
  <c r="D27" i="54"/>
  <c r="G27" i="54" s="1"/>
  <c r="H31" i="54"/>
  <c r="M51" i="27"/>
  <c r="F48" i="27"/>
  <c r="L48" i="27" s="1"/>
  <c r="L51" i="27"/>
  <c r="G40" i="56"/>
  <c r="F18" i="56" s="1"/>
  <c r="G18" i="56" s="1"/>
  <c r="G27" i="55"/>
  <c r="G27" i="56"/>
  <c r="AJ48" i="2"/>
  <c r="AM48" i="2" s="1"/>
  <c r="AH48" i="2"/>
  <c r="AK48" i="2" s="1"/>
  <c r="AG48" i="2"/>
  <c r="AI48" i="2"/>
  <c r="AL48" i="2" s="1"/>
  <c r="O48" i="26"/>
  <c r="O48" i="27"/>
  <c r="O45" i="26"/>
  <c r="O45" i="27"/>
  <c r="O53" i="26"/>
  <c r="O53" i="27"/>
  <c r="O54" i="26"/>
  <c r="O54" i="27"/>
  <c r="O51" i="26"/>
  <c r="O51" i="27"/>
  <c r="AG49" i="2"/>
  <c r="AJ46" i="2"/>
  <c r="AM46" i="2" s="1"/>
  <c r="AG46" i="2"/>
  <c r="AI46" i="2"/>
  <c r="AL46" i="2" s="1"/>
  <c r="AB46" i="2"/>
  <c r="AH46" i="2"/>
  <c r="AK46" i="2" s="1"/>
  <c r="AG43" i="2"/>
  <c r="AH43" i="2"/>
  <c r="AK43" i="2" s="1"/>
  <c r="AI43" i="2"/>
  <c r="AL43" i="2" s="1"/>
  <c r="AG40" i="2"/>
  <c r="AH49" i="2"/>
  <c r="AK49" i="2" s="1"/>
  <c r="AJ43" i="2"/>
  <c r="AM43" i="2" s="1"/>
  <c r="AI49" i="2"/>
  <c r="AL49" i="2" s="1"/>
  <c r="AJ49" i="2"/>
  <c r="AM49" i="2" s="1"/>
  <c r="AB43" i="2"/>
  <c r="AI40" i="2"/>
  <c r="AL40" i="2" s="1"/>
  <c r="AH40" i="2"/>
  <c r="AK40" i="2" s="1"/>
  <c r="AB40" i="2"/>
  <c r="AJ40" i="2"/>
  <c r="AM40" i="2" s="1"/>
  <c r="T102" i="2"/>
  <c r="V102" i="2"/>
  <c r="W102" i="2"/>
  <c r="P99" i="2"/>
  <c r="R99" i="2" s="1"/>
  <c r="Q100" i="2"/>
  <c r="R101" i="2"/>
  <c r="F45" i="27" l="1"/>
  <c r="M45" i="27" s="1"/>
  <c r="G32" i="59"/>
  <c r="C26" i="59"/>
  <c r="G26" i="59" s="1"/>
  <c r="C26" i="56"/>
  <c r="G26" i="56" s="1"/>
  <c r="H30" i="56"/>
  <c r="I5" i="55"/>
  <c r="I26" i="55" s="1"/>
  <c r="G31" i="54"/>
  <c r="I31" i="54" s="1"/>
  <c r="K6" i="55"/>
  <c r="K27" i="55" s="1"/>
  <c r="J3" i="55"/>
  <c r="J24" i="55" s="1"/>
  <c r="H33" i="54"/>
  <c r="I33" i="54" s="1"/>
  <c r="K3" i="55"/>
  <c r="K17" i="55" s="1"/>
  <c r="G32" i="54"/>
  <c r="I32" i="54" s="1"/>
  <c r="F25" i="54"/>
  <c r="G25" i="54" s="1"/>
  <c r="H30" i="54"/>
  <c r="I30" i="54" s="1"/>
  <c r="H39" i="54"/>
  <c r="E10" i="54" s="1"/>
  <c r="G10" i="54" s="1"/>
  <c r="C26" i="54"/>
  <c r="G26" i="54" s="1"/>
  <c r="F18" i="54"/>
  <c r="G18" i="54" s="1"/>
  <c r="M48" i="27"/>
  <c r="C19" i="54"/>
  <c r="G19" i="54" s="1"/>
  <c r="F39" i="56"/>
  <c r="E17" i="56" s="1"/>
  <c r="H40" i="56"/>
  <c r="D13" i="56" s="1"/>
  <c r="G13" i="56" s="1"/>
  <c r="H33" i="56"/>
  <c r="I33" i="56" s="1"/>
  <c r="F25" i="56"/>
  <c r="G25" i="56" s="1"/>
  <c r="G31" i="56"/>
  <c r="I31" i="56" s="1"/>
  <c r="D20" i="56"/>
  <c r="G20" i="56" s="1"/>
  <c r="I40" i="54"/>
  <c r="F11" i="54" s="1"/>
  <c r="G11" i="54" s="1"/>
  <c r="I39" i="54"/>
  <c r="C12" i="54" s="1"/>
  <c r="G12" i="54" s="1"/>
  <c r="H40" i="54"/>
  <c r="D13" i="54" s="1"/>
  <c r="G13" i="54" s="1"/>
  <c r="I40" i="56"/>
  <c r="F11" i="56" s="1"/>
  <c r="G11" i="56" s="1"/>
  <c r="J6" i="55"/>
  <c r="L4" i="55"/>
  <c r="K4" i="55"/>
  <c r="I4" i="55"/>
  <c r="L3" i="55"/>
  <c r="I6" i="55"/>
  <c r="J5" i="55"/>
  <c r="L5" i="55"/>
  <c r="AN53" i="2"/>
  <c r="X53" i="2" s="1"/>
  <c r="AN56" i="2"/>
  <c r="X56" i="2" s="1"/>
  <c r="AN54" i="2"/>
  <c r="X54" i="2" s="1"/>
  <c r="AN51" i="2"/>
  <c r="X51" i="2" s="1"/>
  <c r="AN55" i="2"/>
  <c r="X55" i="2" s="1"/>
  <c r="AN52" i="2"/>
  <c r="X52" i="2" s="1"/>
  <c r="AN58" i="2"/>
  <c r="X58" i="2" s="1"/>
  <c r="T101" i="2"/>
  <c r="W101" i="2"/>
  <c r="V101" i="2"/>
  <c r="V99" i="2"/>
  <c r="T99" i="2"/>
  <c r="W99" i="2"/>
  <c r="L45" i="27" l="1"/>
  <c r="F39" i="59"/>
  <c r="H32" i="59" s="1"/>
  <c r="I32" i="59" s="1"/>
  <c r="I19" i="55"/>
  <c r="I12" i="55" s="1"/>
  <c r="K20" i="55"/>
  <c r="K13" i="55" s="1"/>
  <c r="J17" i="55"/>
  <c r="J10" i="55" s="1"/>
  <c r="J6" i="54"/>
  <c r="J20" i="54" s="1"/>
  <c r="L4" i="56"/>
  <c r="L25" i="56" s="1"/>
  <c r="K3" i="54"/>
  <c r="K24" i="54" s="1"/>
  <c r="K24" i="55"/>
  <c r="K10" i="55" s="1"/>
  <c r="L4" i="54"/>
  <c r="L18" i="54" s="1"/>
  <c r="I6" i="54"/>
  <c r="I20" i="54" s="1"/>
  <c r="K6" i="54"/>
  <c r="K20" i="54" s="1"/>
  <c r="L3" i="54"/>
  <c r="L24" i="54" s="1"/>
  <c r="I5" i="54"/>
  <c r="I26" i="54" s="1"/>
  <c r="L5" i="54"/>
  <c r="L19" i="54" s="1"/>
  <c r="G30" i="56"/>
  <c r="I30" i="56" s="1"/>
  <c r="H32" i="56"/>
  <c r="I32" i="56" s="1"/>
  <c r="E24" i="56"/>
  <c r="G24" i="56" s="1"/>
  <c r="I39" i="56"/>
  <c r="C12" i="56" s="1"/>
  <c r="G12" i="56" s="1"/>
  <c r="G30" i="59"/>
  <c r="I30" i="59" s="1"/>
  <c r="C19" i="56"/>
  <c r="G19" i="56" s="1"/>
  <c r="H39" i="56"/>
  <c r="E10" i="56" s="1"/>
  <c r="G10" i="56" s="1"/>
  <c r="I4" i="54"/>
  <c r="I25" i="54" s="1"/>
  <c r="K4" i="54"/>
  <c r="K18" i="54" s="1"/>
  <c r="J3" i="54"/>
  <c r="J6" i="56"/>
  <c r="J20" i="56" s="1"/>
  <c r="J5" i="54"/>
  <c r="J19" i="54" s="1"/>
  <c r="M5" i="55"/>
  <c r="L17" i="55"/>
  <c r="L24" i="55"/>
  <c r="M4" i="55"/>
  <c r="I25" i="55"/>
  <c r="I18" i="55"/>
  <c r="L26" i="55"/>
  <c r="L19" i="55"/>
  <c r="K18" i="55"/>
  <c r="K25" i="55"/>
  <c r="G17" i="56"/>
  <c r="L25" i="55"/>
  <c r="L18" i="55"/>
  <c r="J27" i="55"/>
  <c r="J20" i="55"/>
  <c r="M3" i="55"/>
  <c r="J26" i="55"/>
  <c r="J19" i="55"/>
  <c r="M6" i="55"/>
  <c r="I20" i="55"/>
  <c r="I27" i="55"/>
  <c r="N59" i="26"/>
  <c r="N59" i="27"/>
  <c r="N58" i="26"/>
  <c r="N58" i="27"/>
  <c r="N60" i="26"/>
  <c r="N60" i="27"/>
  <c r="N61" i="26"/>
  <c r="N61" i="27"/>
  <c r="N56" i="26"/>
  <c r="N56" i="27"/>
  <c r="Q104" i="2"/>
  <c r="N57" i="26"/>
  <c r="N57" i="27"/>
  <c r="N63" i="26"/>
  <c r="N63" i="27"/>
  <c r="AA54" i="2"/>
  <c r="Z54" i="2"/>
  <c r="Y54" i="2" s="1"/>
  <c r="Z55" i="2"/>
  <c r="P60" i="27" s="1"/>
  <c r="AA55" i="2"/>
  <c r="Z56" i="2"/>
  <c r="P61" i="27" s="1"/>
  <c r="AA56" i="2"/>
  <c r="Z52" i="2"/>
  <c r="AA52" i="2"/>
  <c r="Z51" i="2"/>
  <c r="P56" i="27" s="1"/>
  <c r="AA51" i="2"/>
  <c r="Z58" i="2"/>
  <c r="P63" i="27" s="1"/>
  <c r="AA58" i="2"/>
  <c r="Z53" i="2"/>
  <c r="P58" i="27" s="1"/>
  <c r="AA53" i="2"/>
  <c r="AN57" i="2"/>
  <c r="X57" i="2" s="1"/>
  <c r="N62" i="27" s="1"/>
  <c r="H39" i="59" l="1"/>
  <c r="E10" i="59" s="1"/>
  <c r="G10" i="59" s="1"/>
  <c r="I39" i="59"/>
  <c r="C12" i="59" s="1"/>
  <c r="G12" i="59" s="1"/>
  <c r="K6" i="59" s="1"/>
  <c r="E17" i="59"/>
  <c r="G17" i="59" s="1"/>
  <c r="C19" i="59"/>
  <c r="G19" i="59" s="1"/>
  <c r="E24" i="59"/>
  <c r="G24" i="59" s="1"/>
  <c r="M17" i="55"/>
  <c r="M24" i="55"/>
  <c r="J27" i="54"/>
  <c r="J13" i="54" s="1"/>
  <c r="K27" i="54"/>
  <c r="K13" i="54" s="1"/>
  <c r="M6" i="54"/>
  <c r="I27" i="54"/>
  <c r="I13" i="54" s="1"/>
  <c r="L26" i="54"/>
  <c r="L12" i="54" s="1"/>
  <c r="L25" i="54"/>
  <c r="L11" i="54" s="1"/>
  <c r="L18" i="56"/>
  <c r="L11" i="56" s="1"/>
  <c r="L17" i="54"/>
  <c r="L10" i="54" s="1"/>
  <c r="K17" i="54"/>
  <c r="K10" i="54" s="1"/>
  <c r="I19" i="54"/>
  <c r="M19" i="54" s="1"/>
  <c r="J27" i="56"/>
  <c r="J13" i="56" s="1"/>
  <c r="K25" i="54"/>
  <c r="M5" i="54"/>
  <c r="I18" i="54"/>
  <c r="I11" i="54" s="1"/>
  <c r="J26" i="54"/>
  <c r="J12" i="54" s="1"/>
  <c r="M4" i="54"/>
  <c r="J17" i="54"/>
  <c r="M3" i="54"/>
  <c r="J24" i="54"/>
  <c r="M24" i="54" s="1"/>
  <c r="M19" i="55"/>
  <c r="I5" i="56"/>
  <c r="J5" i="56"/>
  <c r="L5" i="56"/>
  <c r="K4" i="56"/>
  <c r="K6" i="56"/>
  <c r="K11" i="55"/>
  <c r="I6" i="59"/>
  <c r="K3" i="59"/>
  <c r="L3" i="59"/>
  <c r="J3" i="59"/>
  <c r="I4" i="59"/>
  <c r="J13" i="55"/>
  <c r="M20" i="54"/>
  <c r="L10" i="55"/>
  <c r="M18" i="55"/>
  <c r="I11" i="55"/>
  <c r="M27" i="55"/>
  <c r="I13" i="55"/>
  <c r="M20" i="55"/>
  <c r="M25" i="55"/>
  <c r="J3" i="56"/>
  <c r="L3" i="56"/>
  <c r="K3" i="56"/>
  <c r="I4" i="56"/>
  <c r="I6" i="56"/>
  <c r="L11" i="55"/>
  <c r="L12" i="55"/>
  <c r="J12" i="55"/>
  <c r="M26" i="55"/>
  <c r="AC54" i="2"/>
  <c r="P100" i="2"/>
  <c r="R100" i="2" s="1"/>
  <c r="W100" i="2" s="1"/>
  <c r="P57" i="26"/>
  <c r="P57" i="27"/>
  <c r="O59" i="26"/>
  <c r="O59" i="27"/>
  <c r="P59" i="26"/>
  <c r="P59" i="27"/>
  <c r="T100" i="2"/>
  <c r="V100" i="2"/>
  <c r="P58" i="26"/>
  <c r="P63" i="26"/>
  <c r="AC51" i="2"/>
  <c r="P56" i="26"/>
  <c r="Y56" i="2"/>
  <c r="P61" i="26"/>
  <c r="AC55" i="2"/>
  <c r="P60" i="26"/>
  <c r="N62" i="26"/>
  <c r="AC53" i="2"/>
  <c r="Y58" i="2"/>
  <c r="AC58" i="2"/>
  <c r="Y53" i="2"/>
  <c r="Y55" i="2"/>
  <c r="Y51" i="2"/>
  <c r="AA57" i="2"/>
  <c r="Z57" i="2"/>
  <c r="Y52" i="2"/>
  <c r="O57" i="27" s="1"/>
  <c r="AC52" i="2"/>
  <c r="AC56" i="2"/>
  <c r="I50" i="1"/>
  <c r="P104" i="2"/>
  <c r="R104" i="2" s="1"/>
  <c r="P103" i="2"/>
  <c r="AB54" i="2"/>
  <c r="AG54" i="2"/>
  <c r="AI54" i="2"/>
  <c r="AL54" i="2" s="1"/>
  <c r="AH54" i="2"/>
  <c r="AK54" i="2" s="1"/>
  <c r="AJ54" i="2"/>
  <c r="AM54" i="2" s="1"/>
  <c r="K4" i="59" l="1"/>
  <c r="L5" i="59"/>
  <c r="I5" i="59"/>
  <c r="I26" i="59" s="1"/>
  <c r="J5" i="59"/>
  <c r="J26" i="59" s="1"/>
  <c r="M27" i="54"/>
  <c r="M25" i="54"/>
  <c r="M17" i="54"/>
  <c r="I12" i="54"/>
  <c r="M12" i="54" s="1"/>
  <c r="K11" i="54"/>
  <c r="M11" i="54" s="1"/>
  <c r="M26" i="54"/>
  <c r="M18" i="54"/>
  <c r="J10" i="54"/>
  <c r="M10" i="54" s="1"/>
  <c r="L17" i="59"/>
  <c r="L24" i="59"/>
  <c r="M13" i="54"/>
  <c r="M6" i="59"/>
  <c r="I20" i="59"/>
  <c r="I27" i="59"/>
  <c r="M3" i="59"/>
  <c r="J24" i="59"/>
  <c r="J17" i="59"/>
  <c r="K27" i="56"/>
  <c r="K20" i="56"/>
  <c r="K18" i="56"/>
  <c r="K25" i="56"/>
  <c r="M4" i="56"/>
  <c r="I25" i="56"/>
  <c r="I18" i="56"/>
  <c r="K24" i="59"/>
  <c r="K17" i="59"/>
  <c r="L19" i="56"/>
  <c r="L26" i="56"/>
  <c r="M13" i="55"/>
  <c r="J19" i="56"/>
  <c r="J26" i="56"/>
  <c r="M5" i="56"/>
  <c r="I26" i="56"/>
  <c r="I19" i="56"/>
  <c r="M6" i="56"/>
  <c r="I27" i="56"/>
  <c r="I20" i="56"/>
  <c r="K24" i="56"/>
  <c r="K17" i="56"/>
  <c r="K18" i="59"/>
  <c r="K25" i="59"/>
  <c r="M12" i="55"/>
  <c r="M11" i="55"/>
  <c r="I19" i="59"/>
  <c r="M3" i="56"/>
  <c r="J24" i="56"/>
  <c r="J17" i="56"/>
  <c r="L24" i="56"/>
  <c r="L17" i="56"/>
  <c r="L19" i="59"/>
  <c r="L26" i="59"/>
  <c r="M10" i="55"/>
  <c r="K27" i="59"/>
  <c r="K20" i="59"/>
  <c r="I25" i="59"/>
  <c r="M4" i="59"/>
  <c r="I18" i="59"/>
  <c r="P62" i="26"/>
  <c r="P62" i="27"/>
  <c r="O63" i="26"/>
  <c r="O63" i="27"/>
  <c r="AC57" i="2"/>
  <c r="O60" i="26"/>
  <c r="O60" i="27"/>
  <c r="O56" i="26"/>
  <c r="O56" i="27"/>
  <c r="O58" i="26"/>
  <c r="O58" i="27"/>
  <c r="Y57" i="2"/>
  <c r="AJ57" i="2" s="1"/>
  <c r="AM57" i="2" s="1"/>
  <c r="AI52" i="2"/>
  <c r="AL52" i="2" s="1"/>
  <c r="O61" i="26"/>
  <c r="O61" i="27"/>
  <c r="S51" i="31"/>
  <c r="AH56" i="2"/>
  <c r="AK56" i="2" s="1"/>
  <c r="AG56" i="2"/>
  <c r="AJ56" i="2"/>
  <c r="AM56" i="2" s="1"/>
  <c r="AB56" i="2"/>
  <c r="AB58" i="2"/>
  <c r="AG58" i="2"/>
  <c r="AJ58" i="2"/>
  <c r="AM58" i="2" s="1"/>
  <c r="AI58" i="2"/>
  <c r="AL58" i="2" s="1"/>
  <c r="AH58" i="2"/>
  <c r="AK58" i="2" s="1"/>
  <c r="AG53" i="2"/>
  <c r="AB51" i="2"/>
  <c r="AH53" i="2"/>
  <c r="AK53" i="2" s="1"/>
  <c r="AI55" i="2"/>
  <c r="AL55" i="2" s="1"/>
  <c r="AG55" i="2"/>
  <c r="AJ53" i="2"/>
  <c r="AM53" i="2" s="1"/>
  <c r="AJ55" i="2"/>
  <c r="AM55" i="2" s="1"/>
  <c r="AI53" i="2"/>
  <c r="AL53" i="2" s="1"/>
  <c r="AH55" i="2"/>
  <c r="AK55" i="2" s="1"/>
  <c r="AB53" i="2"/>
  <c r="AB55" i="2"/>
  <c r="AG51" i="2"/>
  <c r="AB52" i="2"/>
  <c r="O57" i="26"/>
  <c r="AI51" i="2"/>
  <c r="AL51" i="2" s="1"/>
  <c r="AH51" i="2"/>
  <c r="AK51" i="2" s="1"/>
  <c r="AI56" i="2"/>
  <c r="AL56" i="2" s="1"/>
  <c r="AJ51" i="2"/>
  <c r="AM51" i="2" s="1"/>
  <c r="AG52" i="2"/>
  <c r="AH52" i="2"/>
  <c r="AK52" i="2" s="1"/>
  <c r="AJ52" i="2"/>
  <c r="AM52" i="2" s="1"/>
  <c r="V104" i="2"/>
  <c r="T104" i="2"/>
  <c r="W104" i="2"/>
  <c r="AG57" i="2"/>
  <c r="J19" i="59" l="1"/>
  <c r="M5" i="59"/>
  <c r="Q3" i="54"/>
  <c r="R5" i="54"/>
  <c r="P5" i="54"/>
  <c r="O5" i="54"/>
  <c r="L12" i="56"/>
  <c r="J12" i="59"/>
  <c r="K11" i="59"/>
  <c r="K10" i="59"/>
  <c r="M27" i="59"/>
  <c r="M20" i="59"/>
  <c r="I13" i="59"/>
  <c r="M18" i="59"/>
  <c r="I11" i="59"/>
  <c r="L10" i="56"/>
  <c r="K10" i="56"/>
  <c r="M18" i="56"/>
  <c r="I11" i="56"/>
  <c r="M25" i="56"/>
  <c r="R3" i="54"/>
  <c r="Q6" i="54"/>
  <c r="P6" i="54"/>
  <c r="O6" i="54"/>
  <c r="M19" i="56"/>
  <c r="I12" i="56"/>
  <c r="M25" i="59"/>
  <c r="O4" i="54"/>
  <c r="R4" i="54"/>
  <c r="Q4" i="54"/>
  <c r="M17" i="56"/>
  <c r="J10" i="56"/>
  <c r="M24" i="56"/>
  <c r="M20" i="56"/>
  <c r="I13" i="56"/>
  <c r="M26" i="56"/>
  <c r="K11" i="56"/>
  <c r="K13" i="59"/>
  <c r="M27" i="56"/>
  <c r="K13" i="56"/>
  <c r="L10" i="59"/>
  <c r="M17" i="59"/>
  <c r="J10" i="59"/>
  <c r="M26" i="59"/>
  <c r="M24" i="59"/>
  <c r="R3" i="55"/>
  <c r="Q3" i="55"/>
  <c r="P3" i="55"/>
  <c r="J12" i="56"/>
  <c r="M19" i="59"/>
  <c r="I12" i="59"/>
  <c r="L12" i="59"/>
  <c r="R5" i="55"/>
  <c r="P5" i="55"/>
  <c r="O5" i="55"/>
  <c r="Q4" i="55"/>
  <c r="R4" i="55"/>
  <c r="O4" i="55"/>
  <c r="O6" i="55"/>
  <c r="P6" i="55"/>
  <c r="Q6" i="55"/>
  <c r="P3" i="54"/>
  <c r="W51" i="31"/>
  <c r="T51" i="31" s="1"/>
  <c r="AB57" i="2"/>
  <c r="AI57" i="2"/>
  <c r="AL57" i="2" s="1"/>
  <c r="AH57" i="2"/>
  <c r="AK57" i="2" s="1"/>
  <c r="O62" i="26"/>
  <c r="O62" i="27"/>
  <c r="S52" i="31"/>
  <c r="S61" i="31"/>
  <c r="S54" i="31"/>
  <c r="S55" i="31"/>
  <c r="S56" i="31"/>
  <c r="S4" i="54" l="1"/>
  <c r="O18" i="54"/>
  <c r="O25" i="54"/>
  <c r="M11" i="56"/>
  <c r="R25" i="54"/>
  <c r="R18" i="54"/>
  <c r="M12" i="59"/>
  <c r="M12" i="56"/>
  <c r="R17" i="55"/>
  <c r="R24" i="55"/>
  <c r="Q27" i="55"/>
  <c r="Q20" i="55"/>
  <c r="P27" i="55"/>
  <c r="P20" i="55"/>
  <c r="P19" i="55"/>
  <c r="P26" i="55"/>
  <c r="S3" i="54"/>
  <c r="P17" i="54"/>
  <c r="P24" i="54"/>
  <c r="S6" i="55"/>
  <c r="O20" i="55"/>
  <c r="O27" i="55"/>
  <c r="M10" i="59"/>
  <c r="S6" i="54"/>
  <c r="O20" i="54"/>
  <c r="O27" i="54"/>
  <c r="P20" i="54"/>
  <c r="P27" i="54"/>
  <c r="M11" i="59"/>
  <c r="Q27" i="54"/>
  <c r="Q20" i="54"/>
  <c r="Q18" i="55"/>
  <c r="Q25" i="55"/>
  <c r="R24" i="54"/>
  <c r="R17" i="54"/>
  <c r="M13" i="56"/>
  <c r="M13" i="59"/>
  <c r="S5" i="54"/>
  <c r="O26" i="54"/>
  <c r="O19" i="54"/>
  <c r="S4" i="55"/>
  <c r="O18" i="55"/>
  <c r="O25" i="55"/>
  <c r="R18" i="55"/>
  <c r="R25" i="55"/>
  <c r="M10" i="56"/>
  <c r="P26" i="54"/>
  <c r="P19" i="54"/>
  <c r="S5" i="55"/>
  <c r="O26" i="55"/>
  <c r="O19" i="55"/>
  <c r="R26" i="54"/>
  <c r="R19" i="54"/>
  <c r="Q17" i="54"/>
  <c r="Q24" i="54"/>
  <c r="S3" i="55"/>
  <c r="P17" i="55"/>
  <c r="P24" i="55"/>
  <c r="R26" i="55"/>
  <c r="R19" i="55"/>
  <c r="Q24" i="55"/>
  <c r="Q17" i="55"/>
  <c r="Q25" i="54"/>
  <c r="Q18" i="54"/>
  <c r="V51" i="31"/>
  <c r="U51" i="31" s="1"/>
  <c r="Z51" i="31" s="1"/>
  <c r="AA51" i="31" s="1"/>
  <c r="W55" i="31"/>
  <c r="T55" i="31" s="1"/>
  <c r="AN61" i="2"/>
  <c r="X61" i="2" s="1"/>
  <c r="W54" i="31"/>
  <c r="T54" i="31" s="1"/>
  <c r="W56" i="31"/>
  <c r="T56" i="31" s="1"/>
  <c r="AN62" i="2"/>
  <c r="X62" i="2" s="1"/>
  <c r="W52" i="31"/>
  <c r="T52" i="31" s="1"/>
  <c r="S53" i="31"/>
  <c r="S58" i="31"/>
  <c r="S57" i="31"/>
  <c r="S62" i="31"/>
  <c r="S64" i="31"/>
  <c r="S60" i="31"/>
  <c r="S59" i="31"/>
  <c r="Q103" i="2"/>
  <c r="R103" i="2" s="1"/>
  <c r="AN59" i="2"/>
  <c r="X59" i="2" s="1"/>
  <c r="AN60" i="2"/>
  <c r="X60" i="2" s="1"/>
  <c r="J50" i="1"/>
  <c r="Q105" i="2"/>
  <c r="Q106" i="2"/>
  <c r="AB51" i="31" l="1"/>
  <c r="H51" i="31" s="1"/>
  <c r="P13" i="55"/>
  <c r="Q6" i="56"/>
  <c r="P6" i="56"/>
  <c r="O6" i="56"/>
  <c r="R12" i="54"/>
  <c r="R11" i="54"/>
  <c r="R10" i="54"/>
  <c r="Q13" i="55"/>
  <c r="R11" i="55"/>
  <c r="S18" i="55"/>
  <c r="O11" i="55"/>
  <c r="S19" i="54"/>
  <c r="O12" i="54"/>
  <c r="O6" i="59"/>
  <c r="R3" i="59"/>
  <c r="Q3" i="59"/>
  <c r="P3" i="59"/>
  <c r="R10" i="55"/>
  <c r="Q11" i="54"/>
  <c r="S19" i="55"/>
  <c r="O12" i="55"/>
  <c r="S26" i="55"/>
  <c r="Q10" i="55"/>
  <c r="R12" i="55"/>
  <c r="S26" i="54"/>
  <c r="S27" i="55"/>
  <c r="Q11" i="55"/>
  <c r="S20" i="55"/>
  <c r="O13" i="55"/>
  <c r="R4" i="56"/>
  <c r="Q4" i="56"/>
  <c r="O4" i="56"/>
  <c r="S25" i="55"/>
  <c r="Q13" i="54"/>
  <c r="S24" i="54"/>
  <c r="P12" i="54"/>
  <c r="S17" i="54"/>
  <c r="P10" i="54"/>
  <c r="S25" i="54"/>
  <c r="S24" i="55"/>
  <c r="P6" i="59"/>
  <c r="R4" i="59"/>
  <c r="Q4" i="59"/>
  <c r="O4" i="59"/>
  <c r="S18" i="54"/>
  <c r="O11" i="54"/>
  <c r="P13" i="54"/>
  <c r="P12" i="55"/>
  <c r="R5" i="56"/>
  <c r="P5" i="56"/>
  <c r="O5" i="56"/>
  <c r="S27" i="54"/>
  <c r="S17" i="55"/>
  <c r="P10" i="55"/>
  <c r="R3" i="56"/>
  <c r="Q3" i="56"/>
  <c r="P3" i="56"/>
  <c r="Q10" i="54"/>
  <c r="S20" i="54"/>
  <c r="O13" i="54"/>
  <c r="Q6" i="59"/>
  <c r="R5" i="59"/>
  <c r="P5" i="59"/>
  <c r="O5" i="59"/>
  <c r="V52" i="31"/>
  <c r="U52" i="31" s="1"/>
  <c r="Z52" i="31" s="1"/>
  <c r="AA52" i="31" s="1"/>
  <c r="AC52" i="31" s="1"/>
  <c r="I52" i="31" s="1"/>
  <c r="V54" i="31"/>
  <c r="U54" i="31" s="1"/>
  <c r="Z54" i="31" s="1"/>
  <c r="AA54" i="31" s="1"/>
  <c r="AB54" i="31" s="1"/>
  <c r="H54" i="31" s="1"/>
  <c r="V56" i="31"/>
  <c r="U56" i="31" s="1"/>
  <c r="Z56" i="31" s="1"/>
  <c r="AA56" i="31" s="1"/>
  <c r="AC56" i="31" s="1"/>
  <c r="I56" i="31" s="1"/>
  <c r="V55" i="31"/>
  <c r="U55" i="31" s="1"/>
  <c r="Z55" i="31" s="1"/>
  <c r="AA55" i="31" s="1"/>
  <c r="AB55" i="31" s="1"/>
  <c r="H55" i="31" s="1"/>
  <c r="W53" i="31"/>
  <c r="T53" i="31" s="1"/>
  <c r="W57" i="31"/>
  <c r="T57" i="31" s="1"/>
  <c r="V57" i="31" s="1"/>
  <c r="U57" i="31" s="1"/>
  <c r="W58" i="31"/>
  <c r="T58" i="31" s="1"/>
  <c r="N65" i="26"/>
  <c r="N65" i="27"/>
  <c r="N67" i="26"/>
  <c r="N67" i="27"/>
  <c r="N66" i="26"/>
  <c r="N66" i="27"/>
  <c r="N64" i="26"/>
  <c r="N64" i="27"/>
  <c r="S65" i="31"/>
  <c r="S63" i="31"/>
  <c r="AC51" i="31"/>
  <c r="I51" i="31" s="1"/>
  <c r="W103" i="2"/>
  <c r="V103" i="2"/>
  <c r="T103" i="2"/>
  <c r="AA60" i="2"/>
  <c r="Z60" i="2"/>
  <c r="P65" i="27" s="1"/>
  <c r="Z62" i="2"/>
  <c r="AA62" i="2"/>
  <c r="AA61" i="2"/>
  <c r="Z61" i="2"/>
  <c r="P66" i="27" s="1"/>
  <c r="Z59" i="2"/>
  <c r="P64" i="27" s="1"/>
  <c r="AA59" i="2"/>
  <c r="F56" i="27" l="1"/>
  <c r="F42" i="64" s="1"/>
  <c r="H30" i="64" s="1"/>
  <c r="F60" i="27"/>
  <c r="F42" i="53" s="1"/>
  <c r="H61" i="27"/>
  <c r="G41" i="53" s="1"/>
  <c r="F59" i="27"/>
  <c r="F41" i="63" s="1"/>
  <c r="H57" i="27"/>
  <c r="G41" i="64" s="1"/>
  <c r="H56" i="27"/>
  <c r="G42" i="64" s="1"/>
  <c r="S4" i="56"/>
  <c r="O25" i="56"/>
  <c r="O18" i="56"/>
  <c r="S11" i="54"/>
  <c r="Q18" i="56"/>
  <c r="Q25" i="56"/>
  <c r="S12" i="55"/>
  <c r="Q20" i="59"/>
  <c r="Q27" i="59"/>
  <c r="R25" i="56"/>
  <c r="R18" i="56"/>
  <c r="S13" i="55"/>
  <c r="S5" i="59"/>
  <c r="O19" i="59"/>
  <c r="O26" i="59"/>
  <c r="S11" i="55"/>
  <c r="S4" i="59"/>
  <c r="O18" i="59"/>
  <c r="O25" i="59"/>
  <c r="S5" i="56"/>
  <c r="O26" i="56"/>
  <c r="O19" i="56"/>
  <c r="Q25" i="59"/>
  <c r="Q18" i="59"/>
  <c r="S6" i="56"/>
  <c r="O20" i="56"/>
  <c r="O27" i="56"/>
  <c r="P27" i="56"/>
  <c r="P20" i="56"/>
  <c r="P27" i="59"/>
  <c r="P20" i="59"/>
  <c r="Q20" i="56"/>
  <c r="Q27" i="56"/>
  <c r="S3" i="59"/>
  <c r="P17" i="59"/>
  <c r="P24" i="59"/>
  <c r="Q24" i="59"/>
  <c r="Q17" i="59"/>
  <c r="P26" i="59"/>
  <c r="P19" i="59"/>
  <c r="R18" i="59"/>
  <c r="R25" i="59"/>
  <c r="S13" i="54"/>
  <c r="R24" i="59"/>
  <c r="R17" i="59"/>
  <c r="S6" i="59"/>
  <c r="O20" i="59"/>
  <c r="O27" i="59"/>
  <c r="S12" i="54"/>
  <c r="R19" i="59"/>
  <c r="R26" i="59"/>
  <c r="R26" i="56"/>
  <c r="R19" i="56"/>
  <c r="Q17" i="56"/>
  <c r="Q24" i="56"/>
  <c r="S10" i="54"/>
  <c r="P19" i="56"/>
  <c r="P26" i="56"/>
  <c r="S3" i="56"/>
  <c r="P17" i="56"/>
  <c r="P24" i="56"/>
  <c r="R17" i="56"/>
  <c r="R24" i="56"/>
  <c r="S10" i="55"/>
  <c r="AB52" i="31"/>
  <c r="H52" i="31" s="1"/>
  <c r="V58" i="31"/>
  <c r="U58" i="31" s="1"/>
  <c r="Z58" i="31" s="1"/>
  <c r="AA58" i="31" s="1"/>
  <c r="AC58" i="31" s="1"/>
  <c r="I58" i="31" s="1"/>
  <c r="V53" i="31"/>
  <c r="U53" i="31" s="1"/>
  <c r="Z53" i="31" s="1"/>
  <c r="AA53" i="31" s="1"/>
  <c r="AC53" i="31" s="1"/>
  <c r="I53" i="31" s="1"/>
  <c r="Z57" i="31"/>
  <c r="AA57" i="31" s="1"/>
  <c r="AB57" i="31" s="1"/>
  <c r="H57" i="31" s="1"/>
  <c r="P67" i="26"/>
  <c r="P67" i="27"/>
  <c r="AC55" i="31"/>
  <c r="I55" i="31" s="1"/>
  <c r="AB56" i="31"/>
  <c r="H56" i="31" s="1"/>
  <c r="AC54" i="31"/>
  <c r="I54" i="31" s="1"/>
  <c r="P105" i="2"/>
  <c r="R105" i="2" s="1"/>
  <c r="T105" i="2" s="1"/>
  <c r="AC60" i="2"/>
  <c r="AC62" i="2"/>
  <c r="Y62" i="2"/>
  <c r="AB62" i="2" s="1"/>
  <c r="AC59" i="2"/>
  <c r="P64" i="26"/>
  <c r="P66" i="26"/>
  <c r="Y60" i="2"/>
  <c r="O65" i="27" s="1"/>
  <c r="P65" i="26"/>
  <c r="AC61" i="2"/>
  <c r="Y61" i="2"/>
  <c r="Y59" i="2"/>
  <c r="O64" i="27" s="1"/>
  <c r="AG62" i="2"/>
  <c r="G33" i="64" l="1"/>
  <c r="C27" i="64"/>
  <c r="G27" i="64" s="1"/>
  <c r="L56" i="27"/>
  <c r="H42" i="64"/>
  <c r="C13" i="64" s="1"/>
  <c r="G13" i="64" s="1"/>
  <c r="C20" i="64"/>
  <c r="G20" i="64" s="1"/>
  <c r="M56" i="27"/>
  <c r="F62" i="27"/>
  <c r="F41" i="61" s="1"/>
  <c r="H63" i="27"/>
  <c r="G42" i="61" s="1"/>
  <c r="H58" i="27"/>
  <c r="G42" i="63" s="1"/>
  <c r="F57" i="27"/>
  <c r="F41" i="64" s="1"/>
  <c r="H59" i="27"/>
  <c r="L59" i="27" s="1"/>
  <c r="F17" i="64"/>
  <c r="G17" i="64" s="1"/>
  <c r="F61" i="27"/>
  <c r="M61" i="27" s="1"/>
  <c r="I42" i="64"/>
  <c r="F10" i="64" s="1"/>
  <c r="G10" i="64" s="1"/>
  <c r="H60" i="27"/>
  <c r="M60" i="27" s="1"/>
  <c r="F24" i="64"/>
  <c r="G24" i="64" s="1"/>
  <c r="H33" i="64"/>
  <c r="I33" i="64" s="1"/>
  <c r="G30" i="64"/>
  <c r="I30" i="64" s="1"/>
  <c r="D26" i="64"/>
  <c r="G26" i="64" s="1"/>
  <c r="G32" i="64"/>
  <c r="H31" i="64"/>
  <c r="D26" i="53"/>
  <c r="G26" i="53" s="1"/>
  <c r="H31" i="53"/>
  <c r="G32" i="53"/>
  <c r="R12" i="59"/>
  <c r="G31" i="63"/>
  <c r="E25" i="63"/>
  <c r="H32" i="63"/>
  <c r="Q13" i="56"/>
  <c r="W6" i="55"/>
  <c r="V6" i="55"/>
  <c r="U6" i="55"/>
  <c r="S25" i="56"/>
  <c r="R10" i="56"/>
  <c r="V6" i="54"/>
  <c r="U6" i="54"/>
  <c r="W6" i="54"/>
  <c r="S25" i="59"/>
  <c r="W3" i="55"/>
  <c r="X3" i="55"/>
  <c r="V3" i="55"/>
  <c r="S18" i="56"/>
  <c r="O11" i="56"/>
  <c r="S24" i="56"/>
  <c r="P13" i="59"/>
  <c r="S18" i="59"/>
  <c r="O11" i="59"/>
  <c r="R11" i="56"/>
  <c r="S17" i="56"/>
  <c r="P10" i="56"/>
  <c r="R11" i="59"/>
  <c r="H30" i="53"/>
  <c r="C27" i="53"/>
  <c r="G33" i="53"/>
  <c r="U5" i="54"/>
  <c r="X5" i="54"/>
  <c r="V5" i="54"/>
  <c r="P12" i="59"/>
  <c r="P13" i="56"/>
  <c r="Q13" i="59"/>
  <c r="S27" i="56"/>
  <c r="P12" i="56"/>
  <c r="S27" i="59"/>
  <c r="S20" i="56"/>
  <c r="O13" i="56"/>
  <c r="X5" i="55"/>
  <c r="U5" i="55"/>
  <c r="V5" i="55"/>
  <c r="S20" i="59"/>
  <c r="O13" i="59"/>
  <c r="Q11" i="56"/>
  <c r="X3" i="54"/>
  <c r="W3" i="54"/>
  <c r="Q11" i="59"/>
  <c r="Q10" i="59"/>
  <c r="X4" i="55"/>
  <c r="U4" i="55"/>
  <c r="W4" i="55"/>
  <c r="Q10" i="56"/>
  <c r="S24" i="59"/>
  <c r="S19" i="56"/>
  <c r="O12" i="56"/>
  <c r="V3" i="54"/>
  <c r="U4" i="54"/>
  <c r="W4" i="54"/>
  <c r="X4" i="54"/>
  <c r="R12" i="56"/>
  <c r="S17" i="59"/>
  <c r="P10" i="59"/>
  <c r="S26" i="56"/>
  <c r="S26" i="59"/>
  <c r="R10" i="59"/>
  <c r="S19" i="59"/>
  <c r="O12" i="59"/>
  <c r="AB58" i="31"/>
  <c r="H58" i="31" s="1"/>
  <c r="AB53" i="31"/>
  <c r="H53" i="31" s="1"/>
  <c r="AC57" i="31"/>
  <c r="I57" i="31" s="1"/>
  <c r="AH62" i="2"/>
  <c r="AK62" i="2" s="1"/>
  <c r="AI62" i="2"/>
  <c r="AL62" i="2" s="1"/>
  <c r="AJ62" i="2"/>
  <c r="AM62" i="2" s="1"/>
  <c r="V105" i="2"/>
  <c r="W105" i="2"/>
  <c r="O67" i="26"/>
  <c r="O67" i="27"/>
  <c r="AG61" i="2"/>
  <c r="O66" i="27"/>
  <c r="AJ61" i="2"/>
  <c r="AM61" i="2" s="1"/>
  <c r="AB61" i="2"/>
  <c r="AH61" i="2"/>
  <c r="AK61" i="2" s="1"/>
  <c r="AB59" i="2"/>
  <c r="O64" i="26"/>
  <c r="AI61" i="2"/>
  <c r="AL61" i="2" s="1"/>
  <c r="O66" i="26"/>
  <c r="O65" i="26"/>
  <c r="AJ60" i="2"/>
  <c r="AM60" i="2" s="1"/>
  <c r="AH60" i="2"/>
  <c r="AK60" i="2" s="1"/>
  <c r="AI60" i="2"/>
  <c r="AL60" i="2" s="1"/>
  <c r="AG60" i="2"/>
  <c r="AB60" i="2"/>
  <c r="AJ59" i="2"/>
  <c r="AM59" i="2" s="1"/>
  <c r="AI59" i="2"/>
  <c r="AL59" i="2" s="1"/>
  <c r="AH59" i="2"/>
  <c r="AK59" i="2" s="1"/>
  <c r="AG59" i="2"/>
  <c r="L57" i="27" l="1"/>
  <c r="M57" i="27"/>
  <c r="G41" i="63"/>
  <c r="I41" i="63" s="1"/>
  <c r="D12" i="63" s="1"/>
  <c r="G12" i="63" s="1"/>
  <c r="G42" i="53"/>
  <c r="I42" i="53" s="1"/>
  <c r="F10" i="53" s="1"/>
  <c r="G10" i="53" s="1"/>
  <c r="F41" i="53"/>
  <c r="I41" i="53" s="1"/>
  <c r="D12" i="53" s="1"/>
  <c r="L61" i="27"/>
  <c r="L60" i="27"/>
  <c r="M59" i="27"/>
  <c r="H62" i="27"/>
  <c r="L62" i="27" s="1"/>
  <c r="F58" i="27"/>
  <c r="L58" i="27" s="1"/>
  <c r="F63" i="27"/>
  <c r="L63" i="27" s="1"/>
  <c r="F24" i="61"/>
  <c r="G24" i="61" s="1"/>
  <c r="H33" i="61"/>
  <c r="G30" i="61"/>
  <c r="F24" i="63"/>
  <c r="G24" i="63" s="1"/>
  <c r="G30" i="63"/>
  <c r="H33" i="63"/>
  <c r="V20" i="54"/>
  <c r="V27" i="54"/>
  <c r="Y4" i="54"/>
  <c r="U25" i="54"/>
  <c r="U18" i="54"/>
  <c r="S13" i="56"/>
  <c r="Y6" i="54"/>
  <c r="U20" i="54"/>
  <c r="U27" i="54"/>
  <c r="Y3" i="54"/>
  <c r="V17" i="54"/>
  <c r="V24" i="54"/>
  <c r="S11" i="56"/>
  <c r="X25" i="54"/>
  <c r="X18" i="54"/>
  <c r="W18" i="54"/>
  <c r="W25" i="54"/>
  <c r="S13" i="59"/>
  <c r="Y6" i="55"/>
  <c r="U27" i="55"/>
  <c r="U20" i="55"/>
  <c r="L3" i="64"/>
  <c r="S12" i="56"/>
  <c r="V19" i="54"/>
  <c r="V26" i="54"/>
  <c r="S10" i="56"/>
  <c r="V20" i="55"/>
  <c r="V27" i="55"/>
  <c r="X26" i="54"/>
  <c r="X19" i="54"/>
  <c r="W20" i="55"/>
  <c r="W27" i="55"/>
  <c r="Y5" i="54"/>
  <c r="U19" i="54"/>
  <c r="U26" i="54"/>
  <c r="W17" i="54"/>
  <c r="W24" i="54"/>
  <c r="H32" i="61"/>
  <c r="G31" i="61"/>
  <c r="E25" i="61"/>
  <c r="X24" i="54"/>
  <c r="X17" i="54"/>
  <c r="Y3" i="55"/>
  <c r="V24" i="55"/>
  <c r="V17" i="55"/>
  <c r="G25" i="63"/>
  <c r="S10" i="59"/>
  <c r="S11" i="59"/>
  <c r="Y4" i="55"/>
  <c r="U25" i="55"/>
  <c r="U18" i="55"/>
  <c r="W17" i="55"/>
  <c r="W24" i="55"/>
  <c r="G31" i="64"/>
  <c r="H41" i="64"/>
  <c r="E11" i="64" s="1"/>
  <c r="E25" i="64"/>
  <c r="E18" i="64"/>
  <c r="I41" i="64"/>
  <c r="D12" i="64" s="1"/>
  <c r="D19" i="64"/>
  <c r="H32" i="64"/>
  <c r="I32" i="64" s="1"/>
  <c r="W25" i="55"/>
  <c r="W18" i="55"/>
  <c r="S12" i="59"/>
  <c r="X18" i="55"/>
  <c r="X25" i="55"/>
  <c r="V19" i="55"/>
  <c r="V26" i="55"/>
  <c r="I6" i="64"/>
  <c r="G27" i="53"/>
  <c r="X17" i="55"/>
  <c r="X24" i="55"/>
  <c r="Y5" i="55"/>
  <c r="U19" i="55"/>
  <c r="U26" i="55"/>
  <c r="X19" i="55"/>
  <c r="X26" i="55"/>
  <c r="W20" i="54"/>
  <c r="W27" i="54"/>
  <c r="W62" i="31"/>
  <c r="T62" i="31" s="1"/>
  <c r="W60" i="31"/>
  <c r="T60" i="31" s="1"/>
  <c r="AN63" i="2"/>
  <c r="X63" i="2" s="1"/>
  <c r="AN64" i="2"/>
  <c r="X64" i="2" s="1"/>
  <c r="E18" i="63" l="1"/>
  <c r="G18" i="63" s="1"/>
  <c r="D19" i="63"/>
  <c r="G19" i="63" s="1"/>
  <c r="E18" i="53"/>
  <c r="G18" i="53" s="1"/>
  <c r="D19" i="53"/>
  <c r="G19" i="53" s="1"/>
  <c r="E25" i="53"/>
  <c r="G25" i="53" s="1"/>
  <c r="H32" i="53"/>
  <c r="I32" i="53" s="1"/>
  <c r="H41" i="53"/>
  <c r="E11" i="53" s="1"/>
  <c r="G11" i="53" s="1"/>
  <c r="J3" i="53" s="1"/>
  <c r="G31" i="53"/>
  <c r="I31" i="53" s="1"/>
  <c r="M63" i="27"/>
  <c r="F42" i="61"/>
  <c r="F17" i="61" s="1"/>
  <c r="H41" i="63"/>
  <c r="E11" i="63" s="1"/>
  <c r="G11" i="63" s="1"/>
  <c r="K4" i="63" s="1"/>
  <c r="D26" i="63"/>
  <c r="G26" i="63" s="1"/>
  <c r="H31" i="63"/>
  <c r="I31" i="63" s="1"/>
  <c r="G32" i="63"/>
  <c r="I32" i="63" s="1"/>
  <c r="M58" i="27"/>
  <c r="F42" i="63"/>
  <c r="C27" i="63" s="1"/>
  <c r="M62" i="27"/>
  <c r="G41" i="61"/>
  <c r="E18" i="61" s="1"/>
  <c r="G18" i="61" s="1"/>
  <c r="G30" i="53"/>
  <c r="I30" i="53" s="1"/>
  <c r="H33" i="53"/>
  <c r="I33" i="53" s="1"/>
  <c r="F24" i="53"/>
  <c r="G24" i="53" s="1"/>
  <c r="C20" i="53"/>
  <c r="G20" i="53" s="1"/>
  <c r="F17" i="53"/>
  <c r="G17" i="53" s="1"/>
  <c r="H42" i="53"/>
  <c r="C13" i="53" s="1"/>
  <c r="G13" i="53" s="1"/>
  <c r="L3" i="53" s="1"/>
  <c r="X10" i="54"/>
  <c r="W13" i="55"/>
  <c r="X12" i="54"/>
  <c r="W10" i="55"/>
  <c r="X10" i="55"/>
  <c r="Y26" i="55"/>
  <c r="W11" i="55"/>
  <c r="X11" i="55"/>
  <c r="Y25" i="54"/>
  <c r="Y24" i="55"/>
  <c r="X12" i="55"/>
  <c r="V12" i="54"/>
  <c r="G12" i="64"/>
  <c r="I31" i="64"/>
  <c r="X11" i="54"/>
  <c r="Y17" i="54"/>
  <c r="V10" i="54"/>
  <c r="Y27" i="54"/>
  <c r="Y20" i="54"/>
  <c r="U13" i="54"/>
  <c r="U6" i="59"/>
  <c r="W3" i="59"/>
  <c r="V3" i="59"/>
  <c r="X3" i="59"/>
  <c r="Y26" i="54"/>
  <c r="G25" i="61"/>
  <c r="Y19" i="54"/>
  <c r="U12" i="54"/>
  <c r="U5" i="56"/>
  <c r="X5" i="56"/>
  <c r="V5" i="56"/>
  <c r="Y18" i="55"/>
  <c r="U11" i="55"/>
  <c r="I27" i="64"/>
  <c r="I20" i="64"/>
  <c r="G12" i="53"/>
  <c r="K3" i="53" s="1"/>
  <c r="Y25" i="55"/>
  <c r="Y17" i="55"/>
  <c r="V10" i="55"/>
  <c r="W6" i="56"/>
  <c r="V6" i="56"/>
  <c r="U6" i="56"/>
  <c r="L24" i="64"/>
  <c r="L17" i="64"/>
  <c r="Y18" i="54"/>
  <c r="U11" i="54"/>
  <c r="V12" i="55"/>
  <c r="V6" i="59"/>
  <c r="X4" i="59"/>
  <c r="W4" i="59"/>
  <c r="U4" i="59"/>
  <c r="Y20" i="55"/>
  <c r="U13" i="55"/>
  <c r="X4" i="56"/>
  <c r="W4" i="56"/>
  <c r="U4" i="56"/>
  <c r="W13" i="54"/>
  <c r="W10" i="54"/>
  <c r="Y27" i="55"/>
  <c r="G19" i="64"/>
  <c r="Y19" i="55"/>
  <c r="U12" i="55"/>
  <c r="G18" i="64"/>
  <c r="V13" i="55"/>
  <c r="W6" i="59"/>
  <c r="V5" i="59"/>
  <c r="X5" i="59"/>
  <c r="U5" i="59"/>
  <c r="G25" i="64"/>
  <c r="V13" i="54"/>
  <c r="G11" i="64"/>
  <c r="X3" i="56"/>
  <c r="V3" i="56"/>
  <c r="W3" i="56"/>
  <c r="W11" i="54"/>
  <c r="Y24" i="54"/>
  <c r="V60" i="31"/>
  <c r="U60" i="31" s="1"/>
  <c r="Z60" i="31" s="1"/>
  <c r="AA60" i="31" s="1"/>
  <c r="AB60" i="31" s="1"/>
  <c r="H60" i="31" s="1"/>
  <c r="V62" i="31"/>
  <c r="U62" i="31" s="1"/>
  <c r="Z62" i="31" s="1"/>
  <c r="AA62" i="31" s="1"/>
  <c r="AB62" i="31" s="1"/>
  <c r="H62" i="31" s="1"/>
  <c r="N68" i="26"/>
  <c r="N68" i="27"/>
  <c r="N69" i="26"/>
  <c r="N69" i="27"/>
  <c r="Z63" i="2"/>
  <c r="Y63" i="2" s="1"/>
  <c r="AA63" i="2"/>
  <c r="Z64" i="2"/>
  <c r="Y64" i="2" s="1"/>
  <c r="AA64" i="2"/>
  <c r="H30" i="63" l="1"/>
  <c r="I30" i="63" s="1"/>
  <c r="G33" i="63"/>
  <c r="I33" i="63" s="1"/>
  <c r="C20" i="63"/>
  <c r="G20" i="63" s="1"/>
  <c r="F17" i="63"/>
  <c r="G17" i="63" s="1"/>
  <c r="I42" i="63"/>
  <c r="F10" i="63" s="1"/>
  <c r="G10" i="63" s="1"/>
  <c r="H42" i="63"/>
  <c r="C13" i="63" s="1"/>
  <c r="G13" i="63" s="1"/>
  <c r="C27" i="61"/>
  <c r="G27" i="61" s="1"/>
  <c r="C20" i="61"/>
  <c r="G20" i="61" s="1"/>
  <c r="H42" i="61"/>
  <c r="C13" i="61" s="1"/>
  <c r="G13" i="61" s="1"/>
  <c r="I42" i="61"/>
  <c r="F10" i="61" s="1"/>
  <c r="G10" i="61" s="1"/>
  <c r="H30" i="61"/>
  <c r="I30" i="61" s="1"/>
  <c r="G33" i="61"/>
  <c r="I33" i="61" s="1"/>
  <c r="J5" i="63"/>
  <c r="J19" i="63" s="1"/>
  <c r="H31" i="61"/>
  <c r="I31" i="61" s="1"/>
  <c r="G32" i="61"/>
  <c r="I32" i="61" s="1"/>
  <c r="D26" i="61"/>
  <c r="G26" i="61" s="1"/>
  <c r="H41" i="61"/>
  <c r="E11" i="61" s="1"/>
  <c r="G11" i="61" s="1"/>
  <c r="D19" i="61"/>
  <c r="G19" i="61" s="1"/>
  <c r="I41" i="61"/>
  <c r="D12" i="61" s="1"/>
  <c r="G12" i="61" s="1"/>
  <c r="I6" i="53"/>
  <c r="I20" i="53" s="1"/>
  <c r="F67" i="27"/>
  <c r="F41" i="62" s="1"/>
  <c r="F65" i="27"/>
  <c r="F42" i="60" s="1"/>
  <c r="Y11" i="55"/>
  <c r="Y10" i="55"/>
  <c r="Y12" i="54"/>
  <c r="K6" i="53"/>
  <c r="K27" i="53" s="1"/>
  <c r="Y11" i="54"/>
  <c r="V20" i="59"/>
  <c r="V27" i="59"/>
  <c r="L5" i="53"/>
  <c r="J5" i="53"/>
  <c r="I5" i="53"/>
  <c r="I13" i="64"/>
  <c r="Y13" i="54"/>
  <c r="K25" i="63"/>
  <c r="K18" i="63"/>
  <c r="Y10" i="54"/>
  <c r="I4" i="53"/>
  <c r="L4" i="53"/>
  <c r="K4" i="53"/>
  <c r="L10" i="64"/>
  <c r="X24" i="56"/>
  <c r="X17" i="56"/>
  <c r="Y5" i="59"/>
  <c r="U19" i="59"/>
  <c r="U26" i="59"/>
  <c r="K24" i="53"/>
  <c r="K17" i="53"/>
  <c r="Y4" i="56"/>
  <c r="U18" i="56"/>
  <c r="U25" i="56"/>
  <c r="J6" i="53"/>
  <c r="W17" i="56"/>
  <c r="W24" i="56"/>
  <c r="X26" i="59"/>
  <c r="X19" i="59"/>
  <c r="L24" i="53"/>
  <c r="L17" i="53"/>
  <c r="W18" i="56"/>
  <c r="W25" i="56"/>
  <c r="Y6" i="56"/>
  <c r="U27" i="56"/>
  <c r="U20" i="56"/>
  <c r="V26" i="59"/>
  <c r="V19" i="59"/>
  <c r="M3" i="53"/>
  <c r="J17" i="53"/>
  <c r="J24" i="53"/>
  <c r="X18" i="56"/>
  <c r="X25" i="56"/>
  <c r="V27" i="56"/>
  <c r="V20" i="56"/>
  <c r="W20" i="59"/>
  <c r="W27" i="59"/>
  <c r="Y13" i="55"/>
  <c r="W20" i="56"/>
  <c r="W27" i="56"/>
  <c r="Y3" i="56"/>
  <c r="V17" i="56"/>
  <c r="V24" i="56"/>
  <c r="V26" i="56"/>
  <c r="V19" i="56"/>
  <c r="X24" i="59"/>
  <c r="X17" i="59"/>
  <c r="G27" i="63"/>
  <c r="G17" i="61"/>
  <c r="Y12" i="55"/>
  <c r="X19" i="56"/>
  <c r="X26" i="56"/>
  <c r="Y3" i="59"/>
  <c r="V17" i="59"/>
  <c r="V24" i="59"/>
  <c r="Y5" i="56"/>
  <c r="U26" i="56"/>
  <c r="U19" i="56"/>
  <c r="W17" i="59"/>
  <c r="W24" i="59"/>
  <c r="I5" i="64"/>
  <c r="J5" i="64"/>
  <c r="L5" i="64"/>
  <c r="K6" i="64"/>
  <c r="K3" i="64"/>
  <c r="Y4" i="59"/>
  <c r="U25" i="59"/>
  <c r="U18" i="59"/>
  <c r="Y6" i="59"/>
  <c r="U20" i="59"/>
  <c r="U27" i="59"/>
  <c r="L4" i="64"/>
  <c r="K4" i="64"/>
  <c r="I4" i="64"/>
  <c r="J3" i="64"/>
  <c r="J6" i="64"/>
  <c r="W18" i="59"/>
  <c r="W25" i="59"/>
  <c r="X25" i="59"/>
  <c r="X18" i="59"/>
  <c r="AC63" i="2"/>
  <c r="O69" i="26"/>
  <c r="O69" i="27"/>
  <c r="P69" i="26"/>
  <c r="P69" i="27"/>
  <c r="O68" i="26"/>
  <c r="O68" i="27"/>
  <c r="P68" i="26"/>
  <c r="P68" i="27"/>
  <c r="AC64" i="2"/>
  <c r="AC62" i="31"/>
  <c r="I62" i="31" s="1"/>
  <c r="AB63" i="2"/>
  <c r="AG63" i="2"/>
  <c r="AJ63" i="2"/>
  <c r="AM63" i="2" s="1"/>
  <c r="AH63" i="2"/>
  <c r="AK63" i="2" s="1"/>
  <c r="AI63" i="2"/>
  <c r="AL63" i="2" s="1"/>
  <c r="AC60" i="31"/>
  <c r="I60" i="31" s="1"/>
  <c r="AB64" i="2"/>
  <c r="AI64" i="2"/>
  <c r="AL64" i="2" s="1"/>
  <c r="AJ64" i="2"/>
  <c r="AM64" i="2" s="1"/>
  <c r="AG64" i="2"/>
  <c r="AH64" i="2"/>
  <c r="AK64" i="2" s="1"/>
  <c r="J26" i="63" l="1"/>
  <c r="J12" i="63" s="1"/>
  <c r="K6" i="61"/>
  <c r="K27" i="61" s="1"/>
  <c r="I5" i="61"/>
  <c r="I26" i="61" s="1"/>
  <c r="J5" i="61"/>
  <c r="J26" i="61" s="1"/>
  <c r="I27" i="53"/>
  <c r="I13" i="53" s="1"/>
  <c r="K4" i="61"/>
  <c r="K18" i="61" s="1"/>
  <c r="H67" i="27"/>
  <c r="G41" i="62" s="1"/>
  <c r="H41" i="62" s="1"/>
  <c r="E11" i="62" s="1"/>
  <c r="H65" i="27"/>
  <c r="M65" i="27" s="1"/>
  <c r="X12" i="59"/>
  <c r="K20" i="53"/>
  <c r="K13" i="53" s="1"/>
  <c r="V13" i="56"/>
  <c r="Z11" i="54"/>
  <c r="J31" i="54" s="1"/>
  <c r="M31" i="54" s="1"/>
  <c r="Y24" i="56"/>
  <c r="W11" i="56"/>
  <c r="Z11" i="55"/>
  <c r="J31" i="55" s="1"/>
  <c r="M31" i="55" s="1"/>
  <c r="I4" i="61"/>
  <c r="I25" i="61" s="1"/>
  <c r="Y25" i="56"/>
  <c r="Z12" i="55"/>
  <c r="J32" i="55" s="1"/>
  <c r="M32" i="55" s="1"/>
  <c r="X11" i="56"/>
  <c r="X12" i="56"/>
  <c r="W10" i="56"/>
  <c r="X10" i="59"/>
  <c r="W13" i="56"/>
  <c r="V12" i="56"/>
  <c r="Z13" i="54"/>
  <c r="J33" i="54" s="1"/>
  <c r="M33" i="54" s="1"/>
  <c r="Y26" i="56"/>
  <c r="Y27" i="56"/>
  <c r="M5" i="64"/>
  <c r="I26" i="64"/>
  <c r="I19" i="64"/>
  <c r="J20" i="64"/>
  <c r="J27" i="64"/>
  <c r="M6" i="64"/>
  <c r="Y18" i="59"/>
  <c r="U11" i="59"/>
  <c r="J6" i="63"/>
  <c r="K6" i="63"/>
  <c r="I6" i="63"/>
  <c r="L5" i="63"/>
  <c r="L4" i="63"/>
  <c r="Z13" i="55"/>
  <c r="J33" i="55" s="1"/>
  <c r="M33" i="55" s="1"/>
  <c r="X10" i="56"/>
  <c r="C27" i="60"/>
  <c r="H30" i="60"/>
  <c r="G33" i="60"/>
  <c r="L4" i="61"/>
  <c r="W11" i="59"/>
  <c r="W13" i="59"/>
  <c r="K11" i="63"/>
  <c r="J6" i="61"/>
  <c r="Y25" i="59"/>
  <c r="K24" i="64"/>
  <c r="K17" i="64"/>
  <c r="K3" i="63"/>
  <c r="J3" i="63"/>
  <c r="L3" i="63"/>
  <c r="I5" i="63"/>
  <c r="I4" i="63"/>
  <c r="J20" i="53"/>
  <c r="J27" i="53"/>
  <c r="E25" i="62"/>
  <c r="G31" i="62"/>
  <c r="H32" i="62"/>
  <c r="M6" i="53"/>
  <c r="L26" i="64"/>
  <c r="L19" i="64"/>
  <c r="L5" i="61"/>
  <c r="J26" i="64"/>
  <c r="J19" i="64"/>
  <c r="Y20" i="56"/>
  <c r="U13" i="56"/>
  <c r="Y18" i="56"/>
  <c r="U11" i="56"/>
  <c r="Y17" i="56"/>
  <c r="V10" i="56"/>
  <c r="I6" i="61"/>
  <c r="L3" i="61"/>
  <c r="K3" i="61"/>
  <c r="J3" i="61"/>
  <c r="W10" i="59"/>
  <c r="K10" i="53"/>
  <c r="Y19" i="56"/>
  <c r="U12" i="56"/>
  <c r="K25" i="53"/>
  <c r="K18" i="53"/>
  <c r="L10" i="53"/>
  <c r="L25" i="53"/>
  <c r="L18" i="53"/>
  <c r="I25" i="53"/>
  <c r="M4" i="53"/>
  <c r="I18" i="53"/>
  <c r="M5" i="53"/>
  <c r="I26" i="53"/>
  <c r="I19" i="53"/>
  <c r="Y26" i="59"/>
  <c r="J26" i="53"/>
  <c r="J19" i="53"/>
  <c r="K27" i="64"/>
  <c r="K20" i="64"/>
  <c r="Y19" i="59"/>
  <c r="U12" i="59"/>
  <c r="L19" i="53"/>
  <c r="L26" i="53"/>
  <c r="I25" i="64"/>
  <c r="M4" i="64"/>
  <c r="I18" i="64"/>
  <c r="K18" i="64"/>
  <c r="K25" i="64"/>
  <c r="Y24" i="59"/>
  <c r="Y27" i="59"/>
  <c r="X11" i="59"/>
  <c r="M3" i="64"/>
  <c r="J17" i="64"/>
  <c r="J24" i="64"/>
  <c r="L25" i="64"/>
  <c r="L18" i="64"/>
  <c r="Y17" i="59"/>
  <c r="V10" i="59"/>
  <c r="Y20" i="59"/>
  <c r="U13" i="59"/>
  <c r="Z10" i="55"/>
  <c r="J30" i="55" s="1"/>
  <c r="M30" i="55" s="1"/>
  <c r="V12" i="59"/>
  <c r="Z10" i="54"/>
  <c r="J30" i="54" s="1"/>
  <c r="M30" i="54" s="1"/>
  <c r="Z12" i="54"/>
  <c r="J32" i="54" s="1"/>
  <c r="M32" i="54" s="1"/>
  <c r="V13" i="59"/>
  <c r="M24" i="53"/>
  <c r="M17" i="53"/>
  <c r="J10" i="53"/>
  <c r="AN73" i="2"/>
  <c r="X73" i="2" s="1"/>
  <c r="AN65" i="2"/>
  <c r="X65" i="2" s="1"/>
  <c r="AN66" i="2"/>
  <c r="X66" i="2" s="1"/>
  <c r="AN69" i="2"/>
  <c r="X69" i="2" s="1"/>
  <c r="AN70" i="2"/>
  <c r="X70" i="2" s="1"/>
  <c r="AN75" i="2"/>
  <c r="X75" i="2" s="1"/>
  <c r="N84" i="26" s="1"/>
  <c r="AN72" i="2"/>
  <c r="X72" i="2" s="1"/>
  <c r="AN74" i="2"/>
  <c r="X74" i="2" s="1"/>
  <c r="AN84" i="2"/>
  <c r="X84" i="2" s="1"/>
  <c r="AN87" i="2"/>
  <c r="X87" i="2" s="1"/>
  <c r="N120" i="26" s="1"/>
  <c r="AN71" i="2"/>
  <c r="X71" i="2" s="1"/>
  <c r="AN77" i="2"/>
  <c r="X77" i="2" s="1"/>
  <c r="N90" i="26" s="1"/>
  <c r="AN68" i="2"/>
  <c r="X68" i="2" s="1"/>
  <c r="AN78" i="2"/>
  <c r="X78" i="2" s="1"/>
  <c r="N93" i="26" s="1"/>
  <c r="AN81" i="2"/>
  <c r="X81" i="2" s="1"/>
  <c r="N102" i="26" s="1"/>
  <c r="AN67" i="2"/>
  <c r="X67" i="2" s="1"/>
  <c r="AN76" i="2"/>
  <c r="X76" i="2" s="1"/>
  <c r="N87" i="26" s="1"/>
  <c r="Z84" i="2" l="1"/>
  <c r="P111" i="26" s="1"/>
  <c r="N111" i="26"/>
  <c r="I19" i="61"/>
  <c r="I12" i="61" s="1"/>
  <c r="K20" i="61"/>
  <c r="K13" i="61" s="1"/>
  <c r="K25" i="61"/>
  <c r="K11" i="61" s="1"/>
  <c r="J19" i="61"/>
  <c r="J12" i="61" s="1"/>
  <c r="L67" i="27"/>
  <c r="M67" i="27"/>
  <c r="G42" i="60"/>
  <c r="I42" i="60" s="1"/>
  <c r="F10" i="60" s="1"/>
  <c r="G10" i="60" s="1"/>
  <c r="L65" i="27"/>
  <c r="I41" i="62"/>
  <c r="D12" i="62" s="1"/>
  <c r="G12" i="62" s="1"/>
  <c r="Y11" i="56"/>
  <c r="N32" i="54"/>
  <c r="A32" i="54" s="1"/>
  <c r="D19" i="62"/>
  <c r="G19" i="62" s="1"/>
  <c r="E18" i="62"/>
  <c r="G18" i="62" s="1"/>
  <c r="M4" i="61"/>
  <c r="I18" i="61"/>
  <c r="I11" i="61" s="1"/>
  <c r="Y12" i="56"/>
  <c r="D26" i="62"/>
  <c r="G26" i="62" s="1"/>
  <c r="G32" i="62"/>
  <c r="I32" i="62" s="1"/>
  <c r="H31" i="62"/>
  <c r="I31" i="62" s="1"/>
  <c r="N31" i="54"/>
  <c r="A31" i="54" s="1"/>
  <c r="Y12" i="59"/>
  <c r="N30" i="55"/>
  <c r="A30" i="55" s="1"/>
  <c r="Y13" i="59"/>
  <c r="Y13" i="56"/>
  <c r="Y10" i="56"/>
  <c r="M3" i="63"/>
  <c r="J24" i="63"/>
  <c r="J17" i="63"/>
  <c r="M24" i="64"/>
  <c r="M18" i="53"/>
  <c r="I11" i="53"/>
  <c r="K17" i="63"/>
  <c r="K24" i="63"/>
  <c r="K10" i="64"/>
  <c r="M25" i="53"/>
  <c r="M3" i="61"/>
  <c r="J17" i="61"/>
  <c r="J24" i="61"/>
  <c r="N31" i="55"/>
  <c r="A31" i="55" s="1"/>
  <c r="L12" i="53"/>
  <c r="M27" i="64"/>
  <c r="K17" i="61"/>
  <c r="K24" i="61"/>
  <c r="L24" i="61"/>
  <c r="L17" i="61"/>
  <c r="J13" i="53"/>
  <c r="M13" i="53" s="1"/>
  <c r="J13" i="64"/>
  <c r="M20" i="64"/>
  <c r="M17" i="64"/>
  <c r="J10" i="64"/>
  <c r="N30" i="54"/>
  <c r="A30" i="54" s="1"/>
  <c r="L11" i="53"/>
  <c r="M6" i="61"/>
  <c r="I20" i="61"/>
  <c r="I27" i="61"/>
  <c r="G27" i="60"/>
  <c r="M19" i="64"/>
  <c r="I12" i="64"/>
  <c r="M26" i="64"/>
  <c r="L12" i="64"/>
  <c r="L26" i="61"/>
  <c r="M26" i="61" s="1"/>
  <c r="L19" i="61"/>
  <c r="K13" i="64"/>
  <c r="L25" i="61"/>
  <c r="L18" i="61"/>
  <c r="N33" i="54"/>
  <c r="A33" i="54" s="1"/>
  <c r="J12" i="53"/>
  <c r="K11" i="53"/>
  <c r="N33" i="55"/>
  <c r="A33" i="55" s="1"/>
  <c r="L25" i="63"/>
  <c r="L18" i="63"/>
  <c r="L26" i="63"/>
  <c r="L19" i="63"/>
  <c r="Y10" i="59"/>
  <c r="L11" i="64"/>
  <c r="M6" i="63"/>
  <c r="I20" i="63"/>
  <c r="I27" i="63"/>
  <c r="G11" i="62"/>
  <c r="M27" i="53"/>
  <c r="K27" i="63"/>
  <c r="K20" i="63"/>
  <c r="J27" i="63"/>
  <c r="J20" i="63"/>
  <c r="G25" i="62"/>
  <c r="M4" i="63"/>
  <c r="I25" i="63"/>
  <c r="I18" i="63"/>
  <c r="M19" i="53"/>
  <c r="I12" i="53"/>
  <c r="M5" i="63"/>
  <c r="I26" i="63"/>
  <c r="I19" i="63"/>
  <c r="M20" i="53"/>
  <c r="N32" i="55"/>
  <c r="A32" i="55" s="1"/>
  <c r="M5" i="61"/>
  <c r="K11" i="64"/>
  <c r="J20" i="61"/>
  <c r="J27" i="61"/>
  <c r="M18" i="64"/>
  <c r="I11" i="64"/>
  <c r="M10" i="53"/>
  <c r="M25" i="64"/>
  <c r="M26" i="53"/>
  <c r="J12" i="64"/>
  <c r="L24" i="63"/>
  <c r="L17" i="63"/>
  <c r="Y11" i="59"/>
  <c r="N76" i="26"/>
  <c r="N76" i="27"/>
  <c r="N77" i="26"/>
  <c r="N77" i="27"/>
  <c r="N72" i="26"/>
  <c r="N72" i="27"/>
  <c r="N74" i="26"/>
  <c r="N74" i="27"/>
  <c r="N73" i="26"/>
  <c r="N73" i="27"/>
  <c r="N79" i="26"/>
  <c r="N79" i="27"/>
  <c r="N75" i="26"/>
  <c r="N75" i="27"/>
  <c r="N71" i="26"/>
  <c r="N71" i="27"/>
  <c r="N70" i="26"/>
  <c r="N70" i="27"/>
  <c r="N78" i="26"/>
  <c r="N78" i="27"/>
  <c r="Z76" i="2"/>
  <c r="AA76" i="2"/>
  <c r="Z87" i="2"/>
  <c r="AA87" i="2"/>
  <c r="AA78" i="2"/>
  <c r="Z78" i="2"/>
  <c r="Z71" i="2"/>
  <c r="P76" i="27" s="1"/>
  <c r="AA71" i="2"/>
  <c r="AA70" i="2"/>
  <c r="Z70" i="2"/>
  <c r="AA67" i="2"/>
  <c r="Z67" i="2"/>
  <c r="P72" i="27" s="1"/>
  <c r="AA68" i="2"/>
  <c r="Z68" i="2"/>
  <c r="P73" i="27" s="1"/>
  <c r="AA74" i="2"/>
  <c r="Z74" i="2"/>
  <c r="AA75" i="2"/>
  <c r="Z75" i="2"/>
  <c r="Z65" i="2"/>
  <c r="P70" i="27" s="1"/>
  <c r="AA65" i="2"/>
  <c r="Z81" i="2"/>
  <c r="AA81" i="2"/>
  <c r="Z77" i="2"/>
  <c r="AA77" i="2"/>
  <c r="Z72" i="2"/>
  <c r="P77" i="27" s="1"/>
  <c r="AA72" i="2"/>
  <c r="AA69" i="2"/>
  <c r="Z69" i="2"/>
  <c r="P74" i="27" s="1"/>
  <c r="AA66" i="2"/>
  <c r="Z66" i="2"/>
  <c r="P71" i="27" s="1"/>
  <c r="AA73" i="2"/>
  <c r="Z73" i="2"/>
  <c r="P78" i="27" s="1"/>
  <c r="AN80" i="2"/>
  <c r="X80" i="2" s="1"/>
  <c r="N99" i="26" s="1"/>
  <c r="AA84" i="2"/>
  <c r="AN79" i="2"/>
  <c r="X79" i="2" s="1"/>
  <c r="N96" i="26" s="1"/>
  <c r="AC84" i="2" l="1"/>
  <c r="Y84" i="2"/>
  <c r="O111" i="26" s="1"/>
  <c r="Y78" i="2"/>
  <c r="O93" i="26" s="1"/>
  <c r="P93" i="26"/>
  <c r="Y87" i="2"/>
  <c r="O120" i="26" s="1"/>
  <c r="P120" i="26"/>
  <c r="AC76" i="2"/>
  <c r="P87" i="26"/>
  <c r="Y81" i="2"/>
  <c r="O102" i="26" s="1"/>
  <c r="P102" i="26"/>
  <c r="Y77" i="2"/>
  <c r="O90" i="26" s="1"/>
  <c r="P90" i="26"/>
  <c r="AC75" i="2"/>
  <c r="P84" i="26"/>
  <c r="M25" i="61"/>
  <c r="F17" i="60"/>
  <c r="G17" i="60" s="1"/>
  <c r="C20" i="60"/>
  <c r="G20" i="60" s="1"/>
  <c r="H42" i="60"/>
  <c r="C13" i="60" s="1"/>
  <c r="G13" i="60" s="1"/>
  <c r="L3" i="60" s="1"/>
  <c r="G30" i="60"/>
  <c r="I30" i="60" s="1"/>
  <c r="H33" i="60"/>
  <c r="I33" i="60" s="1"/>
  <c r="F24" i="60"/>
  <c r="G24" i="60" s="1"/>
  <c r="Y76" i="2"/>
  <c r="AC87" i="2"/>
  <c r="M18" i="61"/>
  <c r="Z10" i="56"/>
  <c r="J30" i="56" s="1"/>
  <c r="M30" i="56" s="1"/>
  <c r="B48" i="55"/>
  <c r="S83" i="27" s="1"/>
  <c r="B46" i="55"/>
  <c r="E117" i="27" s="1"/>
  <c r="Z12" i="56"/>
  <c r="J32" i="56" s="1"/>
  <c r="M32" i="56" s="1"/>
  <c r="Z11" i="56"/>
  <c r="J31" i="56" s="1"/>
  <c r="M31" i="56" s="1"/>
  <c r="Z12" i="59"/>
  <c r="J32" i="59" s="1"/>
  <c r="M32" i="59" s="1"/>
  <c r="H45" i="55"/>
  <c r="Y80" i="27" s="1"/>
  <c r="H46" i="55"/>
  <c r="Y81" i="27" s="1"/>
  <c r="H48" i="55"/>
  <c r="Y83" i="27" s="1"/>
  <c r="Z13" i="56"/>
  <c r="J33" i="56" s="1"/>
  <c r="M33" i="56" s="1"/>
  <c r="B45" i="55"/>
  <c r="E129" i="27" s="1"/>
  <c r="G45" i="55"/>
  <c r="X80" i="27" s="1"/>
  <c r="Z10" i="59"/>
  <c r="J30" i="59" s="1"/>
  <c r="M30" i="59" s="1"/>
  <c r="G46" i="55"/>
  <c r="X81" i="27" s="1"/>
  <c r="G47" i="55"/>
  <c r="X82" i="27" s="1"/>
  <c r="M17" i="61"/>
  <c r="J10" i="61"/>
  <c r="M11" i="53"/>
  <c r="P6" i="53" s="1"/>
  <c r="G48" i="55"/>
  <c r="J13" i="63"/>
  <c r="L10" i="61"/>
  <c r="M17" i="63"/>
  <c r="J10" i="63"/>
  <c r="K13" i="63"/>
  <c r="M24" i="63"/>
  <c r="M19" i="63"/>
  <c r="I12" i="63"/>
  <c r="M26" i="63"/>
  <c r="B47" i="55"/>
  <c r="Z13" i="59"/>
  <c r="J33" i="59" s="1"/>
  <c r="M33" i="59" s="1"/>
  <c r="M10" i="64"/>
  <c r="L12" i="61"/>
  <c r="K10" i="61"/>
  <c r="M12" i="53"/>
  <c r="Q6" i="53" s="1"/>
  <c r="K4" i="62"/>
  <c r="R3" i="53"/>
  <c r="M27" i="61"/>
  <c r="L11" i="63"/>
  <c r="O6" i="53"/>
  <c r="M18" i="63"/>
  <c r="I11" i="63"/>
  <c r="L12" i="63"/>
  <c r="M20" i="61"/>
  <c r="I13" i="61"/>
  <c r="M25" i="63"/>
  <c r="M27" i="63"/>
  <c r="M13" i="64"/>
  <c r="K10" i="63"/>
  <c r="M19" i="61"/>
  <c r="H47" i="55"/>
  <c r="H45" i="54"/>
  <c r="Y87" i="27" s="1"/>
  <c r="G45" i="54"/>
  <c r="H48" i="54"/>
  <c r="Y90" i="27" s="1"/>
  <c r="B47" i="54"/>
  <c r="B45" i="54"/>
  <c r="H46" i="54"/>
  <c r="Y88" i="27" s="1"/>
  <c r="G48" i="54"/>
  <c r="G46" i="54"/>
  <c r="G47" i="54"/>
  <c r="B46" i="54"/>
  <c r="I117" i="27" s="1"/>
  <c r="H47" i="54"/>
  <c r="B48" i="54"/>
  <c r="M11" i="64"/>
  <c r="M20" i="63"/>
  <c r="I13" i="63"/>
  <c r="Z11" i="59"/>
  <c r="J31" i="59" s="1"/>
  <c r="M31" i="59" s="1"/>
  <c r="L11" i="61"/>
  <c r="M12" i="64"/>
  <c r="L10" i="63"/>
  <c r="J13" i="61"/>
  <c r="J5" i="62"/>
  <c r="M24" i="61"/>
  <c r="P79" i="26"/>
  <c r="P79" i="27"/>
  <c r="P75" i="26"/>
  <c r="P75" i="27"/>
  <c r="AC74" i="2"/>
  <c r="Y68" i="2"/>
  <c r="AJ68" i="2" s="1"/>
  <c r="AM68" i="2" s="1"/>
  <c r="P73" i="26"/>
  <c r="Y71" i="2"/>
  <c r="P76" i="26"/>
  <c r="Y72" i="2"/>
  <c r="P77" i="26"/>
  <c r="AC65" i="2"/>
  <c r="P70" i="26"/>
  <c r="Y74" i="2"/>
  <c r="Y66" i="2"/>
  <c r="P71" i="26"/>
  <c r="AC69" i="2"/>
  <c r="P74" i="26"/>
  <c r="Y73" i="2"/>
  <c r="P78" i="26"/>
  <c r="AC67" i="2"/>
  <c r="P72" i="26"/>
  <c r="AC78" i="2"/>
  <c r="Y69" i="2"/>
  <c r="AC71" i="2"/>
  <c r="AC68" i="2"/>
  <c r="AC66" i="2"/>
  <c r="Y65" i="2"/>
  <c r="AC70" i="2"/>
  <c r="Y70" i="2"/>
  <c r="O75" i="27" s="1"/>
  <c r="Y75" i="2"/>
  <c r="AA80" i="2"/>
  <c r="Z80" i="2"/>
  <c r="Z79" i="2"/>
  <c r="AA79" i="2"/>
  <c r="Y67" i="2"/>
  <c r="O72" i="27" s="1"/>
  <c r="AC81" i="2"/>
  <c r="AC72" i="2"/>
  <c r="AC77" i="2"/>
  <c r="AC73" i="2"/>
  <c r="AG76" i="2"/>
  <c r="AG81" i="2"/>
  <c r="AB84" i="2"/>
  <c r="AH84" i="2"/>
  <c r="AK84" i="2" s="1"/>
  <c r="AI84" i="2"/>
  <c r="AL84" i="2" s="1"/>
  <c r="AJ84" i="2"/>
  <c r="AM84" i="2" s="1"/>
  <c r="AG84" i="2"/>
  <c r="AG78" i="2"/>
  <c r="AI78" i="2"/>
  <c r="AL78" i="2" s="1"/>
  <c r="AJ78" i="2"/>
  <c r="AM78" i="2" s="1"/>
  <c r="AH78" i="2"/>
  <c r="AK78" i="2" s="1"/>
  <c r="AB87" i="2"/>
  <c r="AJ87" i="2"/>
  <c r="AM87" i="2" s="1"/>
  <c r="AI87" i="2"/>
  <c r="AL87" i="2" s="1"/>
  <c r="AG87" i="2"/>
  <c r="AH87" i="2"/>
  <c r="AK87" i="2" s="1"/>
  <c r="AB78" i="2" l="1"/>
  <c r="AB81" i="2"/>
  <c r="AG77" i="2"/>
  <c r="E105" i="27"/>
  <c r="A3" i="67"/>
  <c r="L44" i="55"/>
  <c r="L46" i="55" s="1"/>
  <c r="AD81" i="27" s="1"/>
  <c r="M44" i="55"/>
  <c r="M48" i="55" s="1"/>
  <c r="AE83" i="27" s="1"/>
  <c r="AJ77" i="2"/>
  <c r="AM77" i="2" s="1"/>
  <c r="AH77" i="2"/>
  <c r="AK77" i="2" s="1"/>
  <c r="AB77" i="2"/>
  <c r="AI77" i="2"/>
  <c r="AL77" i="2" s="1"/>
  <c r="AJ81" i="2"/>
  <c r="AM81" i="2" s="1"/>
  <c r="AH81" i="2"/>
  <c r="AK81" i="2" s="1"/>
  <c r="AI81" i="2"/>
  <c r="AL81" i="2" s="1"/>
  <c r="AB76" i="2"/>
  <c r="O87" i="26"/>
  <c r="Y79" i="2"/>
  <c r="O96" i="26" s="1"/>
  <c r="P96" i="26"/>
  <c r="Y80" i="2"/>
  <c r="O99" i="26" s="1"/>
  <c r="P99" i="26"/>
  <c r="AJ75" i="2"/>
  <c r="AM75" i="2" s="1"/>
  <c r="O84" i="26"/>
  <c r="AH76" i="2"/>
  <c r="AK76" i="2" s="1"/>
  <c r="I6" i="60"/>
  <c r="I20" i="60" s="1"/>
  <c r="AI76" i="2"/>
  <c r="AL76" i="2" s="1"/>
  <c r="AJ76" i="2"/>
  <c r="AM76" i="2" s="1"/>
  <c r="K46" i="55"/>
  <c r="AC81" i="27" s="1"/>
  <c r="AE79" i="27" s="1"/>
  <c r="S81" i="27"/>
  <c r="K48" i="55"/>
  <c r="AC83" i="27" s="1"/>
  <c r="AG79" i="27" s="1"/>
  <c r="O44" i="55"/>
  <c r="O46" i="55" s="1"/>
  <c r="AG81" i="27" s="1"/>
  <c r="N30" i="56"/>
  <c r="A30" i="56" s="1"/>
  <c r="N33" i="56"/>
  <c r="A33" i="56" s="1"/>
  <c r="N31" i="56"/>
  <c r="A31" i="56" s="1"/>
  <c r="S80" i="27"/>
  <c r="K45" i="55"/>
  <c r="AC80" i="27" s="1"/>
  <c r="AD79" i="27" s="1"/>
  <c r="N32" i="56"/>
  <c r="A32" i="56" s="1"/>
  <c r="I45" i="55"/>
  <c r="Z80" i="27" s="1"/>
  <c r="I46" i="55"/>
  <c r="Z81" i="27" s="1"/>
  <c r="H13" i="65"/>
  <c r="Q3" i="53"/>
  <c r="Q24" i="53" s="1"/>
  <c r="P3" i="53"/>
  <c r="N31" i="59"/>
  <c r="A31" i="59" s="1"/>
  <c r="N30" i="59"/>
  <c r="A30" i="59" s="1"/>
  <c r="X88" i="27"/>
  <c r="I46" i="54"/>
  <c r="Z88" i="27" s="1"/>
  <c r="N32" i="59"/>
  <c r="A32" i="59" s="1"/>
  <c r="R5" i="53"/>
  <c r="P5" i="53"/>
  <c r="O5" i="53"/>
  <c r="S6" i="53"/>
  <c r="O20" i="53"/>
  <c r="O27" i="53"/>
  <c r="N33" i="59"/>
  <c r="A33" i="59" s="1"/>
  <c r="R24" i="53"/>
  <c r="R17" i="53"/>
  <c r="P20" i="53"/>
  <c r="P27" i="53"/>
  <c r="R5" i="64"/>
  <c r="P5" i="64"/>
  <c r="O5" i="64"/>
  <c r="S89" i="27"/>
  <c r="C14" i="65"/>
  <c r="K47" i="54"/>
  <c r="AC89" i="27" s="1"/>
  <c r="AF86" i="27" s="1"/>
  <c r="N44" i="54"/>
  <c r="N48" i="54" s="1"/>
  <c r="AF90" i="27" s="1"/>
  <c r="Y82" i="27"/>
  <c r="I13" i="65"/>
  <c r="S87" i="27"/>
  <c r="L44" i="54"/>
  <c r="L48" i="54" s="1"/>
  <c r="AD90" i="27" s="1"/>
  <c r="K45" i="54"/>
  <c r="AC87" i="27" s="1"/>
  <c r="AD86" i="27" s="1"/>
  <c r="X89" i="27"/>
  <c r="H14" i="65"/>
  <c r="I47" i="54"/>
  <c r="X87" i="27"/>
  <c r="I45" i="54"/>
  <c r="Z87" i="27" s="1"/>
  <c r="M13" i="61"/>
  <c r="K47" i="55"/>
  <c r="AC82" i="27" s="1"/>
  <c r="AF79" i="27" s="1"/>
  <c r="S82" i="27"/>
  <c r="C13" i="65"/>
  <c r="N44" i="55"/>
  <c r="R4" i="53"/>
  <c r="O4" i="53"/>
  <c r="Q4" i="53"/>
  <c r="Q6" i="64"/>
  <c r="P6" i="64"/>
  <c r="O6" i="64"/>
  <c r="M10" i="61"/>
  <c r="Q27" i="53"/>
  <c r="Q20" i="53"/>
  <c r="S90" i="27"/>
  <c r="K48" i="54"/>
  <c r="AC90" i="27" s="1"/>
  <c r="AG86" i="27" s="1"/>
  <c r="O44" i="54"/>
  <c r="O45" i="54" s="1"/>
  <c r="AG87" i="27" s="1"/>
  <c r="X90" i="27"/>
  <c r="I48" i="54"/>
  <c r="Z90" i="27" s="1"/>
  <c r="M11" i="61"/>
  <c r="S88" i="27"/>
  <c r="K46" i="54"/>
  <c r="AC88" i="27" s="1"/>
  <c r="AE86" i="27" s="1"/>
  <c r="M44" i="54"/>
  <c r="M48" i="54" s="1"/>
  <c r="AE90" i="27" s="1"/>
  <c r="L24" i="60"/>
  <c r="L17" i="60"/>
  <c r="J26" i="62"/>
  <c r="J19" i="62"/>
  <c r="M13" i="63"/>
  <c r="R3" i="64"/>
  <c r="Q3" i="64"/>
  <c r="P3" i="64"/>
  <c r="M10" i="63"/>
  <c r="M11" i="63"/>
  <c r="I47" i="55"/>
  <c r="R4" i="64"/>
  <c r="Q4" i="64"/>
  <c r="O4" i="64"/>
  <c r="M12" i="63"/>
  <c r="M12" i="61"/>
  <c r="Y89" i="27"/>
  <c r="I14" i="65"/>
  <c r="K25" i="62"/>
  <c r="K18" i="62"/>
  <c r="X83" i="27"/>
  <c r="I48" i="55"/>
  <c r="Z83" i="27" s="1"/>
  <c r="O78" i="26"/>
  <c r="O78" i="27"/>
  <c r="O76" i="26"/>
  <c r="O76" i="27"/>
  <c r="O71" i="26"/>
  <c r="O71" i="27"/>
  <c r="O73" i="26"/>
  <c r="O73" i="27"/>
  <c r="O70" i="26"/>
  <c r="O70" i="27"/>
  <c r="O77" i="26"/>
  <c r="O77" i="27"/>
  <c r="AG68" i="2"/>
  <c r="O74" i="26"/>
  <c r="O74" i="27"/>
  <c r="AG71" i="2"/>
  <c r="AH71" i="2"/>
  <c r="AK71" i="2" s="1"/>
  <c r="AH68" i="2"/>
  <c r="AK68" i="2" s="1"/>
  <c r="AJ71" i="2"/>
  <c r="AM71" i="2" s="1"/>
  <c r="AI68" i="2"/>
  <c r="AL68" i="2" s="1"/>
  <c r="O79" i="26"/>
  <c r="O79" i="27"/>
  <c r="AI71" i="2"/>
  <c r="AL71" i="2" s="1"/>
  <c r="AB71" i="2"/>
  <c r="AB68" i="2"/>
  <c r="AJ65" i="2"/>
  <c r="AM65" i="2" s="1"/>
  <c r="AH65" i="2"/>
  <c r="AK65" i="2" s="1"/>
  <c r="AI65" i="2"/>
  <c r="AL65" i="2" s="1"/>
  <c r="AB65" i="2"/>
  <c r="AJ72" i="2"/>
  <c r="AM72" i="2" s="1"/>
  <c r="AI72" i="2"/>
  <c r="AL72" i="2" s="1"/>
  <c r="AH72" i="2"/>
  <c r="AK72" i="2" s="1"/>
  <c r="AG74" i="2"/>
  <c r="AJ74" i="2"/>
  <c r="AM74" i="2" s="1"/>
  <c r="AI74" i="2"/>
  <c r="AL74" i="2" s="1"/>
  <c r="AG72" i="2"/>
  <c r="AH74" i="2"/>
  <c r="AK74" i="2" s="1"/>
  <c r="AI66" i="2"/>
  <c r="AL66" i="2" s="1"/>
  <c r="AG66" i="2"/>
  <c r="AB75" i="2"/>
  <c r="AB74" i="2"/>
  <c r="AJ66" i="2"/>
  <c r="AM66" i="2" s="1"/>
  <c r="AH66" i="2"/>
  <c r="AK66" i="2" s="1"/>
  <c r="AB66" i="2"/>
  <c r="AG65" i="2"/>
  <c r="AH73" i="2"/>
  <c r="AK73" i="2" s="1"/>
  <c r="AB70" i="2"/>
  <c r="O75" i="26"/>
  <c r="AB67" i="2"/>
  <c r="O72" i="26"/>
  <c r="AI69" i="2"/>
  <c r="AL69" i="2" s="1"/>
  <c r="AI73" i="2"/>
  <c r="AL73" i="2" s="1"/>
  <c r="AH69" i="2"/>
  <c r="AK69" i="2" s="1"/>
  <c r="AJ73" i="2"/>
  <c r="AM73" i="2" s="1"/>
  <c r="AG69" i="2"/>
  <c r="AB69" i="2"/>
  <c r="AB73" i="2"/>
  <c r="AJ69" i="2"/>
  <c r="AM69" i="2" s="1"/>
  <c r="AB72" i="2"/>
  <c r="AG73" i="2"/>
  <c r="AC80" i="2"/>
  <c r="AI70" i="2"/>
  <c r="AL70" i="2" s="1"/>
  <c r="AJ70" i="2"/>
  <c r="AM70" i="2" s="1"/>
  <c r="AG75" i="2"/>
  <c r="AH75" i="2"/>
  <c r="AK75" i="2" s="1"/>
  <c r="AI75" i="2"/>
  <c r="AL75" i="2" s="1"/>
  <c r="AG67" i="2"/>
  <c r="AH70" i="2"/>
  <c r="AK70" i="2" s="1"/>
  <c r="AH67" i="2"/>
  <c r="AK67" i="2" s="1"/>
  <c r="AG70" i="2"/>
  <c r="AI67" i="2"/>
  <c r="AL67" i="2" s="1"/>
  <c r="AJ67" i="2"/>
  <c r="AM67" i="2" s="1"/>
  <c r="AC79" i="2"/>
  <c r="AG80" i="2"/>
  <c r="AG79" i="2"/>
  <c r="L47" i="55" l="1"/>
  <c r="AD82" i="27" s="1"/>
  <c r="L48" i="55"/>
  <c r="AD83" i="27" s="1"/>
  <c r="M47" i="55"/>
  <c r="AE82" i="27" s="1"/>
  <c r="M45" i="55"/>
  <c r="AE80" i="27" s="1"/>
  <c r="AH80" i="2"/>
  <c r="AK80" i="2" s="1"/>
  <c r="AI80" i="2"/>
  <c r="AL80" i="2" s="1"/>
  <c r="AB80" i="2"/>
  <c r="AB79" i="2"/>
  <c r="AI79" i="2"/>
  <c r="AL79" i="2" s="1"/>
  <c r="AJ79" i="2"/>
  <c r="AM79" i="2" s="1"/>
  <c r="AJ80" i="2"/>
  <c r="AM80" i="2" s="1"/>
  <c r="AH79" i="2"/>
  <c r="AK79" i="2" s="1"/>
  <c r="I27" i="60"/>
  <c r="I13" i="60" s="1"/>
  <c r="O47" i="55"/>
  <c r="AG82" i="27" s="1"/>
  <c r="O45" i="55"/>
  <c r="AG80" i="27" s="1"/>
  <c r="G48" i="56"/>
  <c r="X76" i="27" s="1"/>
  <c r="B48" i="56"/>
  <c r="O44" i="56" s="1"/>
  <c r="B45" i="56"/>
  <c r="E126" i="27" s="1"/>
  <c r="G45" i="56"/>
  <c r="X73" i="27" s="1"/>
  <c r="H45" i="56"/>
  <c r="Y73" i="27" s="1"/>
  <c r="G46" i="56"/>
  <c r="X74" i="27" s="1"/>
  <c r="B46" i="56"/>
  <c r="I114" i="27" s="1"/>
  <c r="H47" i="56"/>
  <c r="G47" i="56"/>
  <c r="H12" i="65" s="1"/>
  <c r="B47" i="56"/>
  <c r="K47" i="56" s="1"/>
  <c r="AC75" i="27" s="1"/>
  <c r="AF72" i="27" s="1"/>
  <c r="H46" i="56"/>
  <c r="Y74" i="27" s="1"/>
  <c r="H48" i="56"/>
  <c r="Y76" i="27" s="1"/>
  <c r="S3" i="53"/>
  <c r="Q17" i="53"/>
  <c r="Q10" i="53" s="1"/>
  <c r="P24" i="53"/>
  <c r="S24" i="53" s="1"/>
  <c r="P17" i="53"/>
  <c r="H45" i="59"/>
  <c r="Y52" i="27" s="1"/>
  <c r="B47" i="59"/>
  <c r="K47" i="59" s="1"/>
  <c r="AC54" i="27" s="1"/>
  <c r="AF51" i="27" s="1"/>
  <c r="G45" i="59"/>
  <c r="X52" i="27" s="1"/>
  <c r="H47" i="59"/>
  <c r="Y54" i="27" s="1"/>
  <c r="B45" i="59"/>
  <c r="B46" i="59"/>
  <c r="I123" i="27" s="1"/>
  <c r="H46" i="59"/>
  <c r="Y53" i="27" s="1"/>
  <c r="H48" i="59"/>
  <c r="Y55" i="27" s="1"/>
  <c r="G48" i="59"/>
  <c r="B48" i="59"/>
  <c r="K48" i="59" s="1"/>
  <c r="AC55" i="27" s="1"/>
  <c r="AG51" i="27" s="1"/>
  <c r="G47" i="59"/>
  <c r="H9" i="65" s="1"/>
  <c r="G46" i="59"/>
  <c r="O46" i="54"/>
  <c r="AG88" i="27" s="1"/>
  <c r="O47" i="54"/>
  <c r="AG89" i="27" s="1"/>
  <c r="N46" i="54"/>
  <c r="AF88" i="27" s="1"/>
  <c r="Q18" i="64"/>
  <c r="Q25" i="64"/>
  <c r="L10" i="60"/>
  <c r="R25" i="64"/>
  <c r="R18" i="64"/>
  <c r="Q27" i="64"/>
  <c r="Q20" i="64"/>
  <c r="R18" i="53"/>
  <c r="R25" i="53"/>
  <c r="N45" i="54"/>
  <c r="AF87" i="27" s="1"/>
  <c r="M47" i="54"/>
  <c r="AE89" i="27" s="1"/>
  <c r="Q6" i="61"/>
  <c r="O6" i="61"/>
  <c r="M45" i="54"/>
  <c r="AE87" i="27" s="1"/>
  <c r="M14" i="65"/>
  <c r="L14" i="65"/>
  <c r="S5" i="53"/>
  <c r="O19" i="53"/>
  <c r="O26" i="53"/>
  <c r="L46" i="54"/>
  <c r="AD88" i="27" s="1"/>
  <c r="P19" i="53"/>
  <c r="P26" i="53"/>
  <c r="R4" i="63"/>
  <c r="Q4" i="63"/>
  <c r="O4" i="63"/>
  <c r="S5" i="64"/>
  <c r="O19" i="64"/>
  <c r="O26" i="64"/>
  <c r="R19" i="53"/>
  <c r="R26" i="53"/>
  <c r="Q13" i="53"/>
  <c r="P26" i="64"/>
  <c r="P19" i="64"/>
  <c r="Z82" i="27"/>
  <c r="J13" i="65"/>
  <c r="R19" i="64"/>
  <c r="R26" i="64"/>
  <c r="P6" i="61"/>
  <c r="R4" i="61"/>
  <c r="Q4" i="61"/>
  <c r="O4" i="61"/>
  <c r="M13" i="65"/>
  <c r="L13" i="65"/>
  <c r="Q25" i="53"/>
  <c r="Q18" i="53"/>
  <c r="K11" i="62"/>
  <c r="Z89" i="27"/>
  <c r="J14" i="65"/>
  <c r="P13" i="53"/>
  <c r="R5" i="61"/>
  <c r="P5" i="61"/>
  <c r="R3" i="63"/>
  <c r="Q3" i="63"/>
  <c r="P3" i="63"/>
  <c r="Q6" i="63"/>
  <c r="P6" i="63"/>
  <c r="O6" i="63"/>
  <c r="R10" i="53"/>
  <c r="S4" i="53"/>
  <c r="O18" i="53"/>
  <c r="O25" i="53"/>
  <c r="J12" i="62"/>
  <c r="O5" i="61"/>
  <c r="R3" i="61"/>
  <c r="Q3" i="61"/>
  <c r="P3" i="61"/>
  <c r="S3" i="64"/>
  <c r="P17" i="64"/>
  <c r="P24" i="64"/>
  <c r="N48" i="55"/>
  <c r="AF83" i="27" s="1"/>
  <c r="N45" i="55"/>
  <c r="AF80" i="27" s="1"/>
  <c r="N46" i="55"/>
  <c r="AF81" i="27" s="1"/>
  <c r="R5" i="63"/>
  <c r="P5" i="63"/>
  <c r="O5" i="63"/>
  <c r="Q24" i="64"/>
  <c r="Q17" i="64"/>
  <c r="S4" i="64"/>
  <c r="O18" i="64"/>
  <c r="O25" i="64"/>
  <c r="R17" i="64"/>
  <c r="R24" i="64"/>
  <c r="S6" i="64"/>
  <c r="O20" i="64"/>
  <c r="O27" i="64"/>
  <c r="S27" i="53"/>
  <c r="L47" i="54"/>
  <c r="AD89" i="27" s="1"/>
  <c r="P20" i="64"/>
  <c r="P27" i="64"/>
  <c r="S20" i="53"/>
  <c r="O13" i="53"/>
  <c r="W59" i="31"/>
  <c r="T59" i="31" s="1"/>
  <c r="AN89" i="2"/>
  <c r="X89" i="2" s="1"/>
  <c r="N126" i="26" s="1"/>
  <c r="AN91" i="2"/>
  <c r="X91" i="2" s="1"/>
  <c r="N135" i="26" s="1"/>
  <c r="AN83" i="2"/>
  <c r="X83" i="2" s="1"/>
  <c r="N108" i="26" s="1"/>
  <c r="E108" i="27" l="1"/>
  <c r="S73" i="27"/>
  <c r="M44" i="59"/>
  <c r="M48" i="59" s="1"/>
  <c r="AE55" i="27" s="1"/>
  <c r="K46" i="56"/>
  <c r="AC74" i="27" s="1"/>
  <c r="AE72" i="27" s="1"/>
  <c r="S52" i="27"/>
  <c r="K48" i="56"/>
  <c r="AC76" i="27" s="1"/>
  <c r="AG72" i="27" s="1"/>
  <c r="S76" i="27"/>
  <c r="K45" i="56"/>
  <c r="AC73" i="27" s="1"/>
  <c r="AD72" i="27" s="1"/>
  <c r="L44" i="56"/>
  <c r="L48" i="56" s="1"/>
  <c r="AD76" i="27" s="1"/>
  <c r="S75" i="27"/>
  <c r="S74" i="27"/>
  <c r="M44" i="56"/>
  <c r="M48" i="56" s="1"/>
  <c r="AE76" i="27" s="1"/>
  <c r="X75" i="27"/>
  <c r="I48" i="56"/>
  <c r="Z76" i="27" s="1"/>
  <c r="O46" i="56"/>
  <c r="AG74" i="27" s="1"/>
  <c r="C12" i="65"/>
  <c r="L12" i="65" s="1"/>
  <c r="N44" i="56"/>
  <c r="N48" i="56" s="1"/>
  <c r="AF76" i="27" s="1"/>
  <c r="I45" i="56"/>
  <c r="Z73" i="27" s="1"/>
  <c r="I46" i="56"/>
  <c r="Z74" i="27" s="1"/>
  <c r="I47" i="56"/>
  <c r="Z75" i="27" s="1"/>
  <c r="Y75" i="27"/>
  <c r="I12" i="65"/>
  <c r="S17" i="53"/>
  <c r="C9" i="65"/>
  <c r="M9" i="65" s="1"/>
  <c r="N44" i="59"/>
  <c r="N48" i="59" s="1"/>
  <c r="AF55" i="27" s="1"/>
  <c r="S54" i="27"/>
  <c r="P10" i="53"/>
  <c r="S10" i="53" s="1"/>
  <c r="L44" i="59"/>
  <c r="L48" i="59" s="1"/>
  <c r="AD55" i="27" s="1"/>
  <c r="I9" i="65"/>
  <c r="K45" i="59"/>
  <c r="AC52" i="27" s="1"/>
  <c r="AD51" i="27" s="1"/>
  <c r="I46" i="59"/>
  <c r="Z53" i="27" s="1"/>
  <c r="S55" i="27"/>
  <c r="O44" i="59"/>
  <c r="O45" i="59" s="1"/>
  <c r="AG52" i="27" s="1"/>
  <c r="I45" i="59"/>
  <c r="Z52" i="27" s="1"/>
  <c r="X53" i="27"/>
  <c r="I48" i="59"/>
  <c r="Z55" i="27" s="1"/>
  <c r="I47" i="59"/>
  <c r="J9" i="65" s="1"/>
  <c r="X55" i="27"/>
  <c r="X54" i="27"/>
  <c r="K46" i="59"/>
  <c r="AC53" i="27" s="1"/>
  <c r="AE51" i="27" s="1"/>
  <c r="S53" i="27"/>
  <c r="O45" i="56"/>
  <c r="AG73" i="27" s="1"/>
  <c r="S20" i="64"/>
  <c r="O13" i="64"/>
  <c r="Q18" i="61"/>
  <c r="Q25" i="61"/>
  <c r="P12" i="64"/>
  <c r="P20" i="61"/>
  <c r="P27" i="61"/>
  <c r="S26" i="53"/>
  <c r="Q13" i="64"/>
  <c r="S3" i="63"/>
  <c r="P17" i="63"/>
  <c r="P24" i="63"/>
  <c r="S19" i="53"/>
  <c r="O12" i="53"/>
  <c r="O47" i="56"/>
  <c r="AG75" i="27" s="1"/>
  <c r="S18" i="64"/>
  <c r="O11" i="64"/>
  <c r="S18" i="53"/>
  <c r="O11" i="53"/>
  <c r="S6" i="63"/>
  <c r="O20" i="63"/>
  <c r="O27" i="63"/>
  <c r="S25" i="64"/>
  <c r="S25" i="53"/>
  <c r="R12" i="64"/>
  <c r="R10" i="64"/>
  <c r="Q24" i="63"/>
  <c r="Q17" i="63"/>
  <c r="R17" i="63"/>
  <c r="R24" i="63"/>
  <c r="R12" i="53"/>
  <c r="P20" i="63"/>
  <c r="P27" i="63"/>
  <c r="P13" i="64"/>
  <c r="Q10" i="64"/>
  <c r="S26" i="64"/>
  <c r="R11" i="64"/>
  <c r="S5" i="63"/>
  <c r="O19" i="63"/>
  <c r="O26" i="63"/>
  <c r="S3" i="61"/>
  <c r="P24" i="61"/>
  <c r="P17" i="61"/>
  <c r="S19" i="64"/>
  <c r="O12" i="64"/>
  <c r="Q27" i="63"/>
  <c r="Q20" i="63"/>
  <c r="P26" i="63"/>
  <c r="P19" i="63"/>
  <c r="S24" i="64"/>
  <c r="Q24" i="61"/>
  <c r="Q17" i="61"/>
  <c r="R19" i="63"/>
  <c r="R26" i="63"/>
  <c r="S17" i="64"/>
  <c r="P10" i="64"/>
  <c r="R24" i="61"/>
  <c r="R17" i="61"/>
  <c r="P12" i="53"/>
  <c r="S6" i="61"/>
  <c r="O27" i="61"/>
  <c r="O20" i="61"/>
  <c r="S5" i="61"/>
  <c r="O19" i="61"/>
  <c r="O26" i="61"/>
  <c r="Q11" i="53"/>
  <c r="Q20" i="61"/>
  <c r="Q27" i="61"/>
  <c r="P26" i="61"/>
  <c r="P19" i="61"/>
  <c r="S4" i="63"/>
  <c r="O25" i="63"/>
  <c r="O18" i="63"/>
  <c r="Q11" i="64"/>
  <c r="S13" i="53"/>
  <c r="R19" i="61"/>
  <c r="R26" i="61"/>
  <c r="Q18" i="63"/>
  <c r="Q25" i="63"/>
  <c r="R11" i="53"/>
  <c r="R25" i="61"/>
  <c r="R18" i="61"/>
  <c r="S27" i="64"/>
  <c r="S4" i="61"/>
  <c r="O25" i="61"/>
  <c r="O18" i="61"/>
  <c r="R25" i="63"/>
  <c r="R18" i="63"/>
  <c r="V59" i="31"/>
  <c r="U59" i="31" s="1"/>
  <c r="Z59" i="31" s="1"/>
  <c r="AA59" i="31" s="1"/>
  <c r="AC59" i="31" s="1"/>
  <c r="I59" i="31" s="1"/>
  <c r="W61" i="31"/>
  <c r="T61" i="31" s="1"/>
  <c r="W63" i="31"/>
  <c r="T63" i="31" s="1"/>
  <c r="W64" i="31"/>
  <c r="T64" i="31" s="1"/>
  <c r="AA83" i="2"/>
  <c r="Z83" i="2"/>
  <c r="AA91" i="2"/>
  <c r="Z91" i="2"/>
  <c r="AA89" i="2"/>
  <c r="Z89" i="2"/>
  <c r="AN86" i="2"/>
  <c r="X86" i="2" s="1"/>
  <c r="N117" i="26" s="1"/>
  <c r="AN88" i="2"/>
  <c r="X88" i="2" s="1"/>
  <c r="N123" i="26" s="1"/>
  <c r="AN85" i="2"/>
  <c r="X85" i="2" s="1"/>
  <c r="N114" i="26" s="1"/>
  <c r="AN90" i="2"/>
  <c r="X90" i="2" s="1"/>
  <c r="N129" i="26" s="1"/>
  <c r="AN93" i="2"/>
  <c r="X93" i="2" s="1"/>
  <c r="N141" i="26" s="1"/>
  <c r="AN82" i="2"/>
  <c r="X82" i="2" s="1"/>
  <c r="N105" i="26" s="1"/>
  <c r="M47" i="59" l="1"/>
  <c r="AE54" i="27" s="1"/>
  <c r="M45" i="59"/>
  <c r="AE52" i="27" s="1"/>
  <c r="AC89" i="2"/>
  <c r="P126" i="26"/>
  <c r="AC91" i="2"/>
  <c r="P135" i="26"/>
  <c r="Y83" i="2"/>
  <c r="O108" i="26" s="1"/>
  <c r="P108" i="26"/>
  <c r="L47" i="56"/>
  <c r="AD75" i="27" s="1"/>
  <c r="L46" i="56"/>
  <c r="AD74" i="27" s="1"/>
  <c r="M45" i="56"/>
  <c r="AE73" i="27" s="1"/>
  <c r="M47" i="56"/>
  <c r="AE75" i="27" s="1"/>
  <c r="L9" i="65"/>
  <c r="J12" i="65"/>
  <c r="M12" i="65"/>
  <c r="N45" i="56"/>
  <c r="AF73" i="27" s="1"/>
  <c r="N46" i="56"/>
  <c r="AF74" i="27" s="1"/>
  <c r="N45" i="59"/>
  <c r="AF52" i="27" s="1"/>
  <c r="N46" i="59"/>
  <c r="AF53" i="27" s="1"/>
  <c r="L47" i="59"/>
  <c r="AD54" i="27" s="1"/>
  <c r="L46" i="59"/>
  <c r="AD53" i="27" s="1"/>
  <c r="H64" i="27"/>
  <c r="G41" i="60" s="1"/>
  <c r="O47" i="59"/>
  <c r="AG54" i="27" s="1"/>
  <c r="Z54" i="27"/>
  <c r="O46" i="59"/>
  <c r="AG53" i="27" s="1"/>
  <c r="S19" i="61"/>
  <c r="P12" i="61"/>
  <c r="S11" i="53"/>
  <c r="V3" i="53" s="1"/>
  <c r="Q10" i="61"/>
  <c r="S19" i="63"/>
  <c r="O12" i="63"/>
  <c r="Q13" i="63"/>
  <c r="P13" i="61"/>
  <c r="S26" i="61"/>
  <c r="S10" i="64"/>
  <c r="P13" i="63"/>
  <c r="U6" i="53"/>
  <c r="S11" i="64"/>
  <c r="O12" i="61"/>
  <c r="R12" i="63"/>
  <c r="S17" i="61"/>
  <c r="P10" i="61"/>
  <c r="R11" i="63"/>
  <c r="S18" i="63"/>
  <c r="O11" i="63"/>
  <c r="S24" i="61"/>
  <c r="X3" i="53"/>
  <c r="Q11" i="61"/>
  <c r="S25" i="63"/>
  <c r="S20" i="61"/>
  <c r="O13" i="61"/>
  <c r="P12" i="63"/>
  <c r="S27" i="61"/>
  <c r="S26" i="63"/>
  <c r="S12" i="53"/>
  <c r="W3" i="53" s="1"/>
  <c r="S13" i="64"/>
  <c r="S24" i="63"/>
  <c r="R10" i="63"/>
  <c r="S17" i="63"/>
  <c r="P10" i="63"/>
  <c r="Q11" i="63"/>
  <c r="Q10" i="63"/>
  <c r="S18" i="61"/>
  <c r="O11" i="61"/>
  <c r="S27" i="63"/>
  <c r="S25" i="61"/>
  <c r="R10" i="61"/>
  <c r="S20" i="63"/>
  <c r="O13" i="63"/>
  <c r="R12" i="61"/>
  <c r="Q13" i="61"/>
  <c r="R11" i="61"/>
  <c r="S12" i="64"/>
  <c r="Y91" i="2"/>
  <c r="V64" i="31"/>
  <c r="U64" i="31" s="1"/>
  <c r="Z64" i="31" s="1"/>
  <c r="AA64" i="31" s="1"/>
  <c r="AC64" i="31" s="1"/>
  <c r="I64" i="31" s="1"/>
  <c r="V63" i="31"/>
  <c r="U63" i="31" s="1"/>
  <c r="Z63" i="31" s="1"/>
  <c r="AA63" i="31" s="1"/>
  <c r="AB63" i="31" s="1"/>
  <c r="H63" i="31" s="1"/>
  <c r="V61" i="31"/>
  <c r="U61" i="31" s="1"/>
  <c r="Z61" i="31" s="1"/>
  <c r="AA61" i="31" s="1"/>
  <c r="AB61" i="31" s="1"/>
  <c r="H61" i="31" s="1"/>
  <c r="Y89" i="2"/>
  <c r="AC83" i="2"/>
  <c r="Z85" i="2"/>
  <c r="Z93" i="2"/>
  <c r="AA93" i="2"/>
  <c r="Z86" i="2"/>
  <c r="AA86" i="2"/>
  <c r="AA88" i="2"/>
  <c r="Z88" i="2"/>
  <c r="P123" i="26" s="1"/>
  <c r="Z90" i="2"/>
  <c r="AA90" i="2"/>
  <c r="AA82" i="2"/>
  <c r="Z82" i="2"/>
  <c r="P105" i="26" s="1"/>
  <c r="AN92" i="2"/>
  <c r="X92" i="2" s="1"/>
  <c r="N138" i="26" s="1"/>
  <c r="AA85" i="2"/>
  <c r="AB59" i="31"/>
  <c r="H59" i="31" s="1"/>
  <c r="AG89" i="2"/>
  <c r="AG83" i="2"/>
  <c r="AG91" i="2"/>
  <c r="AH83" i="2" l="1"/>
  <c r="AK83" i="2" s="1"/>
  <c r="AB83" i="2"/>
  <c r="AJ83" i="2"/>
  <c r="AM83" i="2" s="1"/>
  <c r="AI83" i="2"/>
  <c r="AL83" i="2" s="1"/>
  <c r="Y93" i="2"/>
  <c r="O141" i="26" s="1"/>
  <c r="P141" i="26"/>
  <c r="AC85" i="2"/>
  <c r="P114" i="26"/>
  <c r="AH89" i="2"/>
  <c r="AK89" i="2" s="1"/>
  <c r="O126" i="26"/>
  <c r="AB91" i="2"/>
  <c r="O135" i="26"/>
  <c r="AC90" i="2"/>
  <c r="P129" i="26"/>
  <c r="Y86" i="2"/>
  <c r="O117" i="26" s="1"/>
  <c r="P117" i="26"/>
  <c r="AH91" i="2"/>
  <c r="AK91" i="2" s="1"/>
  <c r="AI91" i="2"/>
  <c r="AL91" i="2" s="1"/>
  <c r="AJ91" i="2"/>
  <c r="AM91" i="2" s="1"/>
  <c r="F68" i="27"/>
  <c r="F42" i="57" s="1"/>
  <c r="F66" i="27"/>
  <c r="F42" i="62" s="1"/>
  <c r="H69" i="27"/>
  <c r="G41" i="57" s="1"/>
  <c r="F64" i="27"/>
  <c r="M64" i="27" s="1"/>
  <c r="D26" i="60"/>
  <c r="G26" i="60" s="1"/>
  <c r="G32" i="60"/>
  <c r="H31" i="60"/>
  <c r="S12" i="61"/>
  <c r="X5" i="64"/>
  <c r="V5" i="64"/>
  <c r="U5" i="64"/>
  <c r="X4" i="53"/>
  <c r="W4" i="53"/>
  <c r="U4" i="53"/>
  <c r="Y3" i="53"/>
  <c r="V24" i="53"/>
  <c r="V17" i="53"/>
  <c r="W17" i="53"/>
  <c r="W24" i="53"/>
  <c r="X5" i="53"/>
  <c r="U5" i="53"/>
  <c r="V5" i="53"/>
  <c r="X17" i="53"/>
  <c r="X24" i="53"/>
  <c r="U27" i="53"/>
  <c r="U20" i="53"/>
  <c r="V6" i="53"/>
  <c r="W6" i="64"/>
  <c r="V6" i="64"/>
  <c r="U6" i="64"/>
  <c r="W6" i="53"/>
  <c r="S11" i="61"/>
  <c r="S13" i="63"/>
  <c r="X3" i="64"/>
  <c r="W3" i="64"/>
  <c r="V3" i="64"/>
  <c r="S10" i="63"/>
  <c r="S13" i="61"/>
  <c r="S11" i="63"/>
  <c r="X4" i="64"/>
  <c r="W4" i="64"/>
  <c r="U4" i="64"/>
  <c r="S12" i="63"/>
  <c r="S10" i="61"/>
  <c r="AJ89" i="2"/>
  <c r="AM89" i="2" s="1"/>
  <c r="AC93" i="2"/>
  <c r="Y85" i="2"/>
  <c r="AB89" i="2"/>
  <c r="AI89" i="2"/>
  <c r="AL89" i="2" s="1"/>
  <c r="Y88" i="2"/>
  <c r="AC88" i="2"/>
  <c r="AC86" i="2"/>
  <c r="Z92" i="2"/>
  <c r="P138" i="26" s="1"/>
  <c r="AA92" i="2"/>
  <c r="AC82" i="2"/>
  <c r="Y82" i="2"/>
  <c r="Y90" i="2"/>
  <c r="AC63" i="31"/>
  <c r="I63" i="31" s="1"/>
  <c r="AC61" i="31"/>
  <c r="I61" i="31" s="1"/>
  <c r="AG85" i="2"/>
  <c r="AG86" i="2"/>
  <c r="AB93" i="2"/>
  <c r="AH93" i="2"/>
  <c r="AK93" i="2" s="1"/>
  <c r="AI93" i="2"/>
  <c r="AL93" i="2" s="1"/>
  <c r="AG93" i="2"/>
  <c r="AJ93" i="2"/>
  <c r="AM93" i="2" s="1"/>
  <c r="AG82" i="2"/>
  <c r="AG88" i="2"/>
  <c r="AB64" i="31"/>
  <c r="H64" i="31" s="1"/>
  <c r="AJ86" i="2" l="1"/>
  <c r="AM86" i="2" s="1"/>
  <c r="AI86" i="2"/>
  <c r="AL86" i="2" s="1"/>
  <c r="AH86" i="2"/>
  <c r="AK86" i="2" s="1"/>
  <c r="AB86" i="2"/>
  <c r="AB90" i="2"/>
  <c r="O129" i="26"/>
  <c r="AJ82" i="2"/>
  <c r="AM82" i="2" s="1"/>
  <c r="O105" i="26"/>
  <c r="AB88" i="2"/>
  <c r="O123" i="26"/>
  <c r="AI85" i="2"/>
  <c r="AL85" i="2" s="1"/>
  <c r="O114" i="26"/>
  <c r="L64" i="27"/>
  <c r="F41" i="60"/>
  <c r="E25" i="60" s="1"/>
  <c r="AJ85" i="2"/>
  <c r="AM85" i="2" s="1"/>
  <c r="AB85" i="2"/>
  <c r="H66" i="27"/>
  <c r="M66" i="27" s="1"/>
  <c r="H68" i="27"/>
  <c r="M68" i="27" s="1"/>
  <c r="F69" i="27"/>
  <c r="M69" i="27" s="1"/>
  <c r="Y6" i="53"/>
  <c r="D26" i="57"/>
  <c r="G26" i="57" s="1"/>
  <c r="G32" i="57"/>
  <c r="H31" i="57"/>
  <c r="Y17" i="53"/>
  <c r="V10" i="53"/>
  <c r="X4" i="63"/>
  <c r="W4" i="63"/>
  <c r="U4" i="63"/>
  <c r="U13" i="53"/>
  <c r="Y24" i="53"/>
  <c r="W6" i="61"/>
  <c r="U6" i="61"/>
  <c r="W27" i="53"/>
  <c r="W20" i="53"/>
  <c r="X3" i="61"/>
  <c r="W3" i="61"/>
  <c r="V3" i="61"/>
  <c r="W6" i="63"/>
  <c r="V6" i="63"/>
  <c r="U6" i="63"/>
  <c r="X10" i="53"/>
  <c r="V26" i="53"/>
  <c r="V19" i="53"/>
  <c r="V6" i="61"/>
  <c r="W4" i="61"/>
  <c r="U4" i="61"/>
  <c r="X4" i="61"/>
  <c r="Y5" i="53"/>
  <c r="U26" i="53"/>
  <c r="U19" i="53"/>
  <c r="Y6" i="64"/>
  <c r="U27" i="64"/>
  <c r="U20" i="64"/>
  <c r="X19" i="53"/>
  <c r="X26" i="53"/>
  <c r="Y4" i="53"/>
  <c r="U25" i="53"/>
  <c r="U18" i="53"/>
  <c r="V20" i="64"/>
  <c r="V27" i="64"/>
  <c r="W25" i="53"/>
  <c r="W18" i="53"/>
  <c r="W20" i="64"/>
  <c r="W27" i="64"/>
  <c r="X25" i="53"/>
  <c r="X18" i="53"/>
  <c r="Y4" i="64"/>
  <c r="U25" i="64"/>
  <c r="U18" i="64"/>
  <c r="C27" i="57"/>
  <c r="H30" i="57"/>
  <c r="G33" i="57"/>
  <c r="Y5" i="64"/>
  <c r="U26" i="64"/>
  <c r="U19" i="64"/>
  <c r="W10" i="53"/>
  <c r="V19" i="64"/>
  <c r="V26" i="64"/>
  <c r="X19" i="64"/>
  <c r="X26" i="64"/>
  <c r="C27" i="62"/>
  <c r="H30" i="62"/>
  <c r="G33" i="62"/>
  <c r="Y3" i="64"/>
  <c r="V24" i="64"/>
  <c r="V17" i="64"/>
  <c r="W17" i="64"/>
  <c r="W24" i="64"/>
  <c r="X5" i="61"/>
  <c r="U5" i="61"/>
  <c r="V5" i="61"/>
  <c r="V3" i="63"/>
  <c r="X3" i="63"/>
  <c r="W3" i="63"/>
  <c r="X5" i="63"/>
  <c r="V5" i="63"/>
  <c r="U5" i="63"/>
  <c r="V27" i="53"/>
  <c r="V20" i="53"/>
  <c r="W18" i="64"/>
  <c r="W25" i="64"/>
  <c r="X25" i="64"/>
  <c r="X18" i="64"/>
  <c r="X17" i="64"/>
  <c r="X24" i="64"/>
  <c r="AI82" i="2"/>
  <c r="AL82" i="2" s="1"/>
  <c r="AB82" i="2"/>
  <c r="AH85" i="2"/>
  <c r="AK85" i="2" s="1"/>
  <c r="AI88" i="2"/>
  <c r="AL88" i="2" s="1"/>
  <c r="AH88" i="2"/>
  <c r="AK88" i="2" s="1"/>
  <c r="AJ88" i="2"/>
  <c r="AM88" i="2" s="1"/>
  <c r="AJ90" i="2"/>
  <c r="AM90" i="2" s="1"/>
  <c r="AH90" i="2"/>
  <c r="AK90" i="2" s="1"/>
  <c r="AG90" i="2"/>
  <c r="AI90" i="2"/>
  <c r="AL90" i="2" s="1"/>
  <c r="AH82" i="2"/>
  <c r="AK82" i="2" s="1"/>
  <c r="Y92" i="2"/>
  <c r="AC92" i="2"/>
  <c r="AN96" i="2"/>
  <c r="X96" i="2" s="1"/>
  <c r="N150" i="26" s="1"/>
  <c r="AG92" i="2"/>
  <c r="AB92" i="2" l="1"/>
  <c r="O138" i="26"/>
  <c r="G31" i="60"/>
  <c r="I31" i="60" s="1"/>
  <c r="E18" i="60"/>
  <c r="G18" i="60" s="1"/>
  <c r="H32" i="60"/>
  <c r="I32" i="60" s="1"/>
  <c r="D19" i="60"/>
  <c r="G19" i="60" s="1"/>
  <c r="I41" i="60"/>
  <c r="D12" i="60" s="1"/>
  <c r="G12" i="60" s="1"/>
  <c r="H41" i="60"/>
  <c r="E11" i="60" s="1"/>
  <c r="G11" i="60" s="1"/>
  <c r="G42" i="57"/>
  <c r="H42" i="57" s="1"/>
  <c r="C13" i="57" s="1"/>
  <c r="G13" i="57" s="1"/>
  <c r="L68" i="27"/>
  <c r="L66" i="27"/>
  <c r="G42" i="62"/>
  <c r="I42" i="62" s="1"/>
  <c r="F10" i="62" s="1"/>
  <c r="G10" i="62" s="1"/>
  <c r="F41" i="57"/>
  <c r="G31" i="57" s="1"/>
  <c r="L69" i="27"/>
  <c r="V12" i="53"/>
  <c r="V13" i="53"/>
  <c r="W13" i="64"/>
  <c r="Y26" i="64"/>
  <c r="Y26" i="53"/>
  <c r="X12" i="53"/>
  <c r="V13" i="64"/>
  <c r="W13" i="53"/>
  <c r="Y27" i="64"/>
  <c r="Y27" i="53"/>
  <c r="X11" i="64"/>
  <c r="V19" i="61"/>
  <c r="V26" i="61"/>
  <c r="Y20" i="64"/>
  <c r="U13" i="64"/>
  <c r="Y24" i="64"/>
  <c r="Y25" i="64"/>
  <c r="Y6" i="61"/>
  <c r="U20" i="61"/>
  <c r="U27" i="61"/>
  <c r="W27" i="61"/>
  <c r="W20" i="61"/>
  <c r="W10" i="64"/>
  <c r="W11" i="53"/>
  <c r="Y19" i="53"/>
  <c r="U12" i="53"/>
  <c r="Y6" i="63"/>
  <c r="U20" i="63"/>
  <c r="U27" i="63"/>
  <c r="G27" i="57"/>
  <c r="V20" i="63"/>
  <c r="V27" i="63"/>
  <c r="Y20" i="53"/>
  <c r="X25" i="61"/>
  <c r="X18" i="61"/>
  <c r="W20" i="63"/>
  <c r="W27" i="63"/>
  <c r="W11" i="64"/>
  <c r="Y4" i="61"/>
  <c r="U18" i="61"/>
  <c r="U25" i="61"/>
  <c r="Y5" i="63"/>
  <c r="U19" i="63"/>
  <c r="U26" i="63"/>
  <c r="W25" i="61"/>
  <c r="W18" i="61"/>
  <c r="X11" i="53"/>
  <c r="V20" i="61"/>
  <c r="V27" i="61"/>
  <c r="Y3" i="61"/>
  <c r="V24" i="61"/>
  <c r="V17" i="61"/>
  <c r="Y5" i="61"/>
  <c r="U26" i="61"/>
  <c r="U19" i="61"/>
  <c r="W24" i="61"/>
  <c r="W17" i="61"/>
  <c r="Y4" i="63"/>
  <c r="U25" i="63"/>
  <c r="U18" i="63"/>
  <c r="Y17" i="64"/>
  <c r="V10" i="64"/>
  <c r="X17" i="61"/>
  <c r="X24" i="61"/>
  <c r="W18" i="63"/>
  <c r="W25" i="63"/>
  <c r="W17" i="63"/>
  <c r="W24" i="63"/>
  <c r="X12" i="64"/>
  <c r="X18" i="63"/>
  <c r="X25" i="63"/>
  <c r="Y18" i="64"/>
  <c r="U11" i="64"/>
  <c r="G27" i="62"/>
  <c r="X26" i="63"/>
  <c r="X19" i="63"/>
  <c r="X24" i="63"/>
  <c r="X17" i="63"/>
  <c r="X10" i="64"/>
  <c r="Y3" i="63"/>
  <c r="V24" i="63"/>
  <c r="V17" i="63"/>
  <c r="Y10" i="53"/>
  <c r="X26" i="61"/>
  <c r="X19" i="61"/>
  <c r="V12" i="64"/>
  <c r="Y18" i="53"/>
  <c r="U11" i="53"/>
  <c r="V19" i="63"/>
  <c r="V26" i="63"/>
  <c r="Y19" i="64"/>
  <c r="U12" i="64"/>
  <c r="Y25" i="53"/>
  <c r="G25" i="60"/>
  <c r="AJ92" i="2"/>
  <c r="AM92" i="2" s="1"/>
  <c r="AH92" i="2"/>
  <c r="AK92" i="2" s="1"/>
  <c r="AI92" i="2"/>
  <c r="AL92" i="2" s="1"/>
  <c r="Z96" i="2"/>
  <c r="AA96" i="2"/>
  <c r="AN95" i="2"/>
  <c r="X95" i="2" s="1"/>
  <c r="N147" i="26" s="1"/>
  <c r="Y96" i="2" l="1"/>
  <c r="O150" i="26" s="1"/>
  <c r="P150" i="26"/>
  <c r="G30" i="62"/>
  <c r="I30" i="62" s="1"/>
  <c r="H33" i="62"/>
  <c r="I33" i="62" s="1"/>
  <c r="F24" i="62"/>
  <c r="G24" i="62" s="1"/>
  <c r="F24" i="57"/>
  <c r="G24" i="57" s="1"/>
  <c r="H33" i="57"/>
  <c r="I33" i="57" s="1"/>
  <c r="F17" i="57"/>
  <c r="G17" i="57" s="1"/>
  <c r="G30" i="57"/>
  <c r="I30" i="57" s="1"/>
  <c r="C20" i="57"/>
  <c r="G20" i="57" s="1"/>
  <c r="I42" i="57"/>
  <c r="F10" i="57" s="1"/>
  <c r="G10" i="57" s="1"/>
  <c r="L3" i="57" s="1"/>
  <c r="H32" i="57"/>
  <c r="I32" i="57" s="1"/>
  <c r="D19" i="57"/>
  <c r="G19" i="57" s="1"/>
  <c r="F17" i="62"/>
  <c r="G17" i="62" s="1"/>
  <c r="H42" i="62"/>
  <c r="C13" i="62" s="1"/>
  <c r="G13" i="62" s="1"/>
  <c r="L3" i="62" s="1"/>
  <c r="C20" i="62"/>
  <c r="G20" i="62" s="1"/>
  <c r="I41" i="57"/>
  <c r="D12" i="57" s="1"/>
  <c r="G12" i="57" s="1"/>
  <c r="E18" i="57"/>
  <c r="G18" i="57" s="1"/>
  <c r="H41" i="57"/>
  <c r="E11" i="57" s="1"/>
  <c r="G11" i="57" s="1"/>
  <c r="J6" i="57" s="1"/>
  <c r="E25" i="57"/>
  <c r="G25" i="57" s="1"/>
  <c r="Y13" i="53"/>
  <c r="Y12" i="53"/>
  <c r="Y13" i="64"/>
  <c r="Y11" i="64"/>
  <c r="X10" i="63"/>
  <c r="Y25" i="63"/>
  <c r="X12" i="61"/>
  <c r="V13" i="63"/>
  <c r="V13" i="61"/>
  <c r="W13" i="61"/>
  <c r="Y11" i="53"/>
  <c r="Y10" i="64"/>
  <c r="Y27" i="63"/>
  <c r="W11" i="61"/>
  <c r="X12" i="63"/>
  <c r="W11" i="63"/>
  <c r="V12" i="63"/>
  <c r="W10" i="63"/>
  <c r="K3" i="62"/>
  <c r="J3" i="62"/>
  <c r="I5" i="62"/>
  <c r="I4" i="62"/>
  <c r="Y18" i="63"/>
  <c r="U11" i="63"/>
  <c r="Y12" i="64"/>
  <c r="W10" i="61"/>
  <c r="Y26" i="63"/>
  <c r="X10" i="61"/>
  <c r="Y19" i="61"/>
  <c r="U12" i="61"/>
  <c r="Y20" i="63"/>
  <c r="U13" i="63"/>
  <c r="Y27" i="61"/>
  <c r="Y20" i="61"/>
  <c r="U13" i="61"/>
  <c r="W13" i="63"/>
  <c r="Y26" i="61"/>
  <c r="K4" i="60"/>
  <c r="L4" i="60"/>
  <c r="I4" i="60"/>
  <c r="J3" i="60"/>
  <c r="J6" i="60"/>
  <c r="Y17" i="61"/>
  <c r="V10" i="61"/>
  <c r="X11" i="61"/>
  <c r="Y24" i="61"/>
  <c r="Y19" i="63"/>
  <c r="U12" i="63"/>
  <c r="X11" i="63"/>
  <c r="Y17" i="63"/>
  <c r="V10" i="63"/>
  <c r="I31" i="57"/>
  <c r="Y24" i="63"/>
  <c r="Y25" i="61"/>
  <c r="K6" i="60"/>
  <c r="L5" i="60"/>
  <c r="J5" i="60"/>
  <c r="I5" i="60"/>
  <c r="K3" i="60"/>
  <c r="Y18" i="61"/>
  <c r="U11" i="61"/>
  <c r="V12" i="61"/>
  <c r="AC96" i="2"/>
  <c r="AA95" i="2"/>
  <c r="Z95" i="2"/>
  <c r="AN98" i="2"/>
  <c r="X98" i="2" s="1"/>
  <c r="N156" i="26" s="1"/>
  <c r="AN94" i="2"/>
  <c r="X94" i="2" s="1"/>
  <c r="N144" i="26" s="1"/>
  <c r="AN97" i="2"/>
  <c r="X97" i="2" s="1"/>
  <c r="N153" i="26" s="1"/>
  <c r="AB96" i="2"/>
  <c r="AI96" i="2"/>
  <c r="AL96" i="2" s="1"/>
  <c r="AJ96" i="2"/>
  <c r="AM96" i="2" s="1"/>
  <c r="AH96" i="2"/>
  <c r="AK96" i="2" s="1"/>
  <c r="AG96" i="2"/>
  <c r="Y95" i="2" l="1"/>
  <c r="O147" i="26" s="1"/>
  <c r="P147" i="26"/>
  <c r="I6" i="57"/>
  <c r="I20" i="57" s="1"/>
  <c r="K3" i="57"/>
  <c r="K24" i="57" s="1"/>
  <c r="L5" i="62"/>
  <c r="L26" i="62" s="1"/>
  <c r="I6" i="62"/>
  <c r="I20" i="62" s="1"/>
  <c r="J6" i="62"/>
  <c r="J20" i="62" s="1"/>
  <c r="L4" i="62"/>
  <c r="L25" i="62" s="1"/>
  <c r="K6" i="62"/>
  <c r="K27" i="62" s="1"/>
  <c r="AC95" i="2"/>
  <c r="Z13" i="53"/>
  <c r="J33" i="53" s="1"/>
  <c r="M33" i="53" s="1"/>
  <c r="Y12" i="63"/>
  <c r="Y10" i="63"/>
  <c r="K6" i="57"/>
  <c r="K27" i="57" s="1"/>
  <c r="Z12" i="53"/>
  <c r="J32" i="53" s="1"/>
  <c r="M32" i="53" s="1"/>
  <c r="Z11" i="53"/>
  <c r="J31" i="53" s="1"/>
  <c r="M31" i="53" s="1"/>
  <c r="Z10" i="53"/>
  <c r="J30" i="53" s="1"/>
  <c r="Y13" i="61"/>
  <c r="Y10" i="61"/>
  <c r="Z12" i="64"/>
  <c r="J32" i="64" s="1"/>
  <c r="M32" i="64" s="1"/>
  <c r="Z13" i="64"/>
  <c r="J33" i="64" s="1"/>
  <c r="M33" i="64" s="1"/>
  <c r="Y11" i="63"/>
  <c r="L25" i="60"/>
  <c r="L18" i="60"/>
  <c r="Y13" i="63"/>
  <c r="J27" i="60"/>
  <c r="J20" i="60"/>
  <c r="M6" i="60"/>
  <c r="I25" i="62"/>
  <c r="I18" i="62"/>
  <c r="Y12" i="61"/>
  <c r="I26" i="62"/>
  <c r="I19" i="62"/>
  <c r="M3" i="60"/>
  <c r="J24" i="60"/>
  <c r="J17" i="60"/>
  <c r="M3" i="62"/>
  <c r="J24" i="62"/>
  <c r="J17" i="62"/>
  <c r="K18" i="60"/>
  <c r="K25" i="60"/>
  <c r="K24" i="62"/>
  <c r="K17" i="62"/>
  <c r="I25" i="60"/>
  <c r="M4" i="60"/>
  <c r="I18" i="60"/>
  <c r="Z11" i="64"/>
  <c r="J31" i="64" s="1"/>
  <c r="M31" i="64" s="1"/>
  <c r="L24" i="62"/>
  <c r="L17" i="62"/>
  <c r="K4" i="57"/>
  <c r="I4" i="57"/>
  <c r="L4" i="57"/>
  <c r="L26" i="60"/>
  <c r="L19" i="60"/>
  <c r="K27" i="60"/>
  <c r="K20" i="60"/>
  <c r="J5" i="57"/>
  <c r="L5" i="57"/>
  <c r="I5" i="57"/>
  <c r="K24" i="60"/>
  <c r="K17" i="60"/>
  <c r="J20" i="57"/>
  <c r="J27" i="57"/>
  <c r="I26" i="60"/>
  <c r="M5" i="60"/>
  <c r="I19" i="60"/>
  <c r="J3" i="57"/>
  <c r="Z10" i="64"/>
  <c r="J30" i="64" s="1"/>
  <c r="M30" i="64" s="1"/>
  <c r="Y11" i="61"/>
  <c r="J26" i="60"/>
  <c r="J19" i="60"/>
  <c r="L24" i="57"/>
  <c r="L17" i="57"/>
  <c r="AA94" i="2"/>
  <c r="Z94" i="2"/>
  <c r="Z98" i="2"/>
  <c r="AA98" i="2"/>
  <c r="AN99" i="2"/>
  <c r="X99" i="2" s="1"/>
  <c r="N162" i="26" s="1"/>
  <c r="AA97" i="2"/>
  <c r="Z97" i="2"/>
  <c r="P153" i="26" s="1"/>
  <c r="AG95" i="2"/>
  <c r="AB95" i="2" l="1"/>
  <c r="AH95" i="2"/>
  <c r="AK95" i="2" s="1"/>
  <c r="AJ95" i="2"/>
  <c r="AM95" i="2" s="1"/>
  <c r="AI95" i="2"/>
  <c r="AL95" i="2" s="1"/>
  <c r="Y94" i="2"/>
  <c r="O144" i="26" s="1"/>
  <c r="P144" i="26"/>
  <c r="AC98" i="2"/>
  <c r="P156" i="26"/>
  <c r="I27" i="57"/>
  <c r="M27" i="57" s="1"/>
  <c r="K17" i="57"/>
  <c r="K10" i="57" s="1"/>
  <c r="L19" i="62"/>
  <c r="L12" i="62" s="1"/>
  <c r="M5" i="62"/>
  <c r="I27" i="62"/>
  <c r="J27" i="62"/>
  <c r="J13" i="62" s="1"/>
  <c r="M4" i="62"/>
  <c r="L18" i="62"/>
  <c r="M18" i="62" s="1"/>
  <c r="M6" i="62"/>
  <c r="K20" i="62"/>
  <c r="K13" i="62" s="1"/>
  <c r="M6" i="57"/>
  <c r="K20" i="57"/>
  <c r="K13" i="57" s="1"/>
  <c r="Y98" i="2"/>
  <c r="AC94" i="2"/>
  <c r="Z12" i="63"/>
  <c r="J32" i="63" s="1"/>
  <c r="M32" i="63" s="1"/>
  <c r="Z10" i="63"/>
  <c r="J30" i="63" s="1"/>
  <c r="M30" i="63" s="1"/>
  <c r="Z13" i="63"/>
  <c r="J33" i="63" s="1"/>
  <c r="M33" i="63" s="1"/>
  <c r="N30" i="64"/>
  <c r="A30" i="64" s="1"/>
  <c r="Z11" i="61"/>
  <c r="J31" i="61" s="1"/>
  <c r="M31" i="61" s="1"/>
  <c r="M25" i="60"/>
  <c r="K18" i="57"/>
  <c r="K25" i="57"/>
  <c r="M17" i="62"/>
  <c r="J10" i="62"/>
  <c r="M17" i="60"/>
  <c r="J10" i="60"/>
  <c r="M24" i="60"/>
  <c r="Z10" i="61"/>
  <c r="J30" i="61" s="1"/>
  <c r="M30" i="61" s="1"/>
  <c r="L10" i="57"/>
  <c r="J12" i="60"/>
  <c r="M3" i="57"/>
  <c r="J17" i="57"/>
  <c r="J24" i="57"/>
  <c r="N32" i="64"/>
  <c r="A32" i="64" s="1"/>
  <c r="I12" i="62"/>
  <c r="M19" i="60"/>
  <c r="I12" i="60"/>
  <c r="M26" i="62"/>
  <c r="M20" i="60"/>
  <c r="J13" i="60"/>
  <c r="M18" i="60"/>
  <c r="I11" i="60"/>
  <c r="M27" i="60"/>
  <c r="N33" i="64"/>
  <c r="A33" i="64" s="1"/>
  <c r="M26" i="60"/>
  <c r="I26" i="57"/>
  <c r="M5" i="57"/>
  <c r="I19" i="57"/>
  <c r="L26" i="57"/>
  <c r="L19" i="57"/>
  <c r="Z11" i="63"/>
  <c r="J31" i="63" s="1"/>
  <c r="M31" i="63" s="1"/>
  <c r="M24" i="62"/>
  <c r="L11" i="60"/>
  <c r="I11" i="62"/>
  <c r="J26" i="57"/>
  <c r="J19" i="57"/>
  <c r="K13" i="60"/>
  <c r="K11" i="60"/>
  <c r="M25" i="62"/>
  <c r="K10" i="60"/>
  <c r="L12" i="60"/>
  <c r="L10" i="62"/>
  <c r="K10" i="62"/>
  <c r="Z13" i="61"/>
  <c r="J33" i="61" s="1"/>
  <c r="M33" i="61" s="1"/>
  <c r="J13" i="57"/>
  <c r="N31" i="64"/>
  <c r="A31" i="64" s="1"/>
  <c r="Z12" i="61"/>
  <c r="J32" i="61" s="1"/>
  <c r="M32" i="61" s="1"/>
  <c r="L25" i="57"/>
  <c r="L18" i="57"/>
  <c r="I25" i="57"/>
  <c r="M4" i="57"/>
  <c r="I18" i="57"/>
  <c r="AA99" i="2"/>
  <c r="Z99" i="2"/>
  <c r="Y97" i="2"/>
  <c r="AC97" i="2"/>
  <c r="AG97" i="2"/>
  <c r="AG94" i="2"/>
  <c r="AG98" i="2"/>
  <c r="AH94" i="2" l="1"/>
  <c r="AK94" i="2" s="1"/>
  <c r="AI94" i="2"/>
  <c r="AL94" i="2" s="1"/>
  <c r="AB94" i="2"/>
  <c r="AJ94" i="2"/>
  <c r="AM94" i="2" s="1"/>
  <c r="AB98" i="2"/>
  <c r="O156" i="26"/>
  <c r="AI97" i="2"/>
  <c r="AL97" i="2" s="1"/>
  <c r="O153" i="26"/>
  <c r="Y99" i="2"/>
  <c r="O162" i="26" s="1"/>
  <c r="P162" i="26"/>
  <c r="AH98" i="2"/>
  <c r="AK98" i="2" s="1"/>
  <c r="AI98" i="2"/>
  <c r="AL98" i="2" s="1"/>
  <c r="AJ98" i="2"/>
  <c r="AM98" i="2" s="1"/>
  <c r="I13" i="57"/>
  <c r="M13" i="57" s="1"/>
  <c r="M19" i="62"/>
  <c r="M27" i="62"/>
  <c r="I13" i="62"/>
  <c r="M13" i="62" s="1"/>
  <c r="L11" i="62"/>
  <c r="M11" i="62" s="1"/>
  <c r="M20" i="62"/>
  <c r="M20" i="57"/>
  <c r="N31" i="63"/>
  <c r="A31" i="63" s="1"/>
  <c r="B46" i="64"/>
  <c r="I84" i="27" s="1"/>
  <c r="B10" i="66" s="1"/>
  <c r="H46" i="64"/>
  <c r="Y18" i="27" s="1"/>
  <c r="G48" i="64"/>
  <c r="X20" i="27" s="1"/>
  <c r="N30" i="63"/>
  <c r="A30" i="63" s="1"/>
  <c r="H48" i="64"/>
  <c r="Y20" i="27" s="1"/>
  <c r="G45" i="64"/>
  <c r="X17" i="27" s="1"/>
  <c r="G46" i="64"/>
  <c r="B47" i="64"/>
  <c r="C4" i="65" s="1"/>
  <c r="N32" i="61"/>
  <c r="A32" i="61" s="1"/>
  <c r="M13" i="60"/>
  <c r="M10" i="60"/>
  <c r="M10" i="62"/>
  <c r="L11" i="57"/>
  <c r="B48" i="64"/>
  <c r="L12" i="57"/>
  <c r="G47" i="64"/>
  <c r="M25" i="57"/>
  <c r="B45" i="64"/>
  <c r="E120" i="27" s="1"/>
  <c r="M19" i="57"/>
  <c r="I12" i="57"/>
  <c r="M24" i="57"/>
  <c r="K11" i="57"/>
  <c r="M17" i="57"/>
  <c r="J10" i="57"/>
  <c r="J12" i="57"/>
  <c r="M11" i="60"/>
  <c r="M12" i="60"/>
  <c r="H45" i="64"/>
  <c r="Y17" i="27" s="1"/>
  <c r="N33" i="63"/>
  <c r="A33" i="63" s="1"/>
  <c r="N31" i="61"/>
  <c r="A31" i="61" s="1"/>
  <c r="N30" i="61"/>
  <c r="A30" i="61" s="1"/>
  <c r="M26" i="57"/>
  <c r="N33" i="61"/>
  <c r="A33" i="61" s="1"/>
  <c r="M12" i="62"/>
  <c r="N32" i="63"/>
  <c r="A32" i="63" s="1"/>
  <c r="H47" i="64"/>
  <c r="M18" i="57"/>
  <c r="I11" i="57"/>
  <c r="W65" i="31"/>
  <c r="T65" i="31" s="1"/>
  <c r="AJ97" i="2"/>
  <c r="AM97" i="2" s="1"/>
  <c r="AH97" i="2"/>
  <c r="AK97" i="2" s="1"/>
  <c r="AB97" i="2"/>
  <c r="AC99" i="2"/>
  <c r="AG99" i="2"/>
  <c r="AH99" i="2" l="1"/>
  <c r="AK99" i="2" s="1"/>
  <c r="AI99" i="2"/>
  <c r="AL99" i="2" s="1"/>
  <c r="AJ99" i="2"/>
  <c r="AM99" i="2" s="1"/>
  <c r="S18" i="27"/>
  <c r="AB99" i="2"/>
  <c r="M44" i="64"/>
  <c r="M48" i="64" s="1"/>
  <c r="AE20" i="27" s="1"/>
  <c r="K46" i="64"/>
  <c r="AC18" i="27" s="1"/>
  <c r="AE16" i="27" s="1"/>
  <c r="I46" i="64"/>
  <c r="Z18" i="27" s="1"/>
  <c r="B45" i="63"/>
  <c r="H45" i="63"/>
  <c r="Y24" i="27" s="1"/>
  <c r="B46" i="63"/>
  <c r="G45" i="63"/>
  <c r="X24" i="27" s="1"/>
  <c r="B48" i="63"/>
  <c r="S27" i="27" s="1"/>
  <c r="K47" i="64"/>
  <c r="AC19" i="27" s="1"/>
  <c r="AF16" i="27" s="1"/>
  <c r="S19" i="27"/>
  <c r="I48" i="64"/>
  <c r="Z20" i="27" s="1"/>
  <c r="G46" i="63"/>
  <c r="H46" i="63"/>
  <c r="Y25" i="27" s="1"/>
  <c r="X18" i="27"/>
  <c r="B47" i="63"/>
  <c r="N44" i="63" s="1"/>
  <c r="N44" i="64"/>
  <c r="N46" i="64" s="1"/>
  <c r="AF18" i="27" s="1"/>
  <c r="G47" i="63"/>
  <c r="X26" i="27" s="1"/>
  <c r="R3" i="62"/>
  <c r="Q3" i="62"/>
  <c r="P3" i="62"/>
  <c r="G48" i="61"/>
  <c r="B45" i="61"/>
  <c r="E90" i="27" s="1"/>
  <c r="H46" i="61"/>
  <c r="Y39" i="27" s="1"/>
  <c r="H47" i="61"/>
  <c r="B48" i="61"/>
  <c r="G46" i="61"/>
  <c r="B46" i="61"/>
  <c r="E96" i="27" s="1"/>
  <c r="B47" i="61"/>
  <c r="G47" i="61"/>
  <c r="H45" i="61"/>
  <c r="Y38" i="27" s="1"/>
  <c r="G45" i="61"/>
  <c r="H48" i="61"/>
  <c r="Y41" i="27" s="1"/>
  <c r="G75" i="31"/>
  <c r="M11" i="57"/>
  <c r="P6" i="57" s="1"/>
  <c r="M12" i="57"/>
  <c r="S20" i="27"/>
  <c r="O44" i="64"/>
  <c r="O45" i="64" s="1"/>
  <c r="AG17" i="27" s="1"/>
  <c r="K48" i="64"/>
  <c r="AC20" i="27" s="1"/>
  <c r="AG16" i="27" s="1"/>
  <c r="R5" i="60"/>
  <c r="P5" i="60"/>
  <c r="O5" i="60"/>
  <c r="R3" i="60"/>
  <c r="Q3" i="60"/>
  <c r="P3" i="60"/>
  <c r="R5" i="62"/>
  <c r="P5" i="62"/>
  <c r="O5" i="62"/>
  <c r="Y19" i="27"/>
  <c r="I4" i="65"/>
  <c r="R4" i="60"/>
  <c r="Q4" i="60"/>
  <c r="O4" i="60"/>
  <c r="G48" i="63"/>
  <c r="S17" i="27"/>
  <c r="K45" i="64"/>
  <c r="AC17" i="27" s="1"/>
  <c r="AD16" i="27" s="1"/>
  <c r="L44" i="64"/>
  <c r="P6" i="60"/>
  <c r="Q6" i="60"/>
  <c r="O6" i="60"/>
  <c r="H48" i="63"/>
  <c r="Y27" i="27" s="1"/>
  <c r="H47" i="63"/>
  <c r="M10" i="57"/>
  <c r="H4" i="65"/>
  <c r="I47" i="64"/>
  <c r="X19" i="27"/>
  <c r="M4" i="65"/>
  <c r="L4" i="65"/>
  <c r="O6" i="62"/>
  <c r="Q6" i="62"/>
  <c r="P6" i="62"/>
  <c r="O4" i="62"/>
  <c r="R4" i="62"/>
  <c r="Q4" i="62"/>
  <c r="I45" i="64"/>
  <c r="Z17" i="27" s="1"/>
  <c r="V65" i="31"/>
  <c r="U65" i="31" s="1"/>
  <c r="Z65" i="31" s="1"/>
  <c r="AA65" i="31" s="1"/>
  <c r="AB65" i="31" s="1"/>
  <c r="H65" i="31" s="1"/>
  <c r="AN100" i="2"/>
  <c r="X100" i="2" s="1"/>
  <c r="N165" i="26" s="1"/>
  <c r="K45" i="63" l="1"/>
  <c r="AC24" i="27" s="1"/>
  <c r="AD23" i="27" s="1"/>
  <c r="E87" i="27"/>
  <c r="I93" i="27"/>
  <c r="M45" i="64"/>
  <c r="AE17" i="27" s="1"/>
  <c r="M47" i="64"/>
  <c r="AE19" i="27" s="1"/>
  <c r="K46" i="63"/>
  <c r="AC25" i="27" s="1"/>
  <c r="AE23" i="27" s="1"/>
  <c r="E75" i="31"/>
  <c r="S24" i="27"/>
  <c r="M44" i="63"/>
  <c r="M48" i="63" s="1"/>
  <c r="AE27" i="27" s="1"/>
  <c r="S25" i="27"/>
  <c r="I45" i="63"/>
  <c r="Z24" i="27" s="1"/>
  <c r="L44" i="63"/>
  <c r="L48" i="63" s="1"/>
  <c r="AD27" i="27" s="1"/>
  <c r="O44" i="63"/>
  <c r="O46" i="63" s="1"/>
  <c r="AG25" i="27" s="1"/>
  <c r="K48" i="63"/>
  <c r="AC27" i="27" s="1"/>
  <c r="AG23" i="27" s="1"/>
  <c r="N48" i="63"/>
  <c r="AF27" i="27" s="1"/>
  <c r="F70" i="27"/>
  <c r="F41" i="58" s="1"/>
  <c r="H5" i="65"/>
  <c r="N48" i="64"/>
  <c r="AF20" i="27" s="1"/>
  <c r="N45" i="64"/>
  <c r="AF17" i="27" s="1"/>
  <c r="K47" i="63"/>
  <c r="AC26" i="27" s="1"/>
  <c r="AF23" i="27" s="1"/>
  <c r="C5" i="65"/>
  <c r="M5" i="65" s="1"/>
  <c r="S26" i="27"/>
  <c r="I46" i="63"/>
  <c r="Z25" i="27" s="1"/>
  <c r="X25" i="27"/>
  <c r="P27" i="57"/>
  <c r="P20" i="57"/>
  <c r="I5" i="65"/>
  <c r="Y26" i="27"/>
  <c r="I47" i="63"/>
  <c r="X38" i="27"/>
  <c r="I45" i="61"/>
  <c r="Z38" i="27" s="1"/>
  <c r="S6" i="60"/>
  <c r="O27" i="60"/>
  <c r="O20" i="60"/>
  <c r="S5" i="62"/>
  <c r="O19" i="62"/>
  <c r="O26" i="62"/>
  <c r="P27" i="62"/>
  <c r="P20" i="62"/>
  <c r="Z19" i="27"/>
  <c r="J4" i="65"/>
  <c r="Q18" i="62"/>
  <c r="Q25" i="62"/>
  <c r="R25" i="62"/>
  <c r="R18" i="62"/>
  <c r="R3" i="57"/>
  <c r="P3" i="57"/>
  <c r="Q3" i="57"/>
  <c r="Q27" i="60"/>
  <c r="Q20" i="60"/>
  <c r="P19" i="62"/>
  <c r="P26" i="62"/>
  <c r="H7" i="65"/>
  <c r="I47" i="61"/>
  <c r="X40" i="27"/>
  <c r="R19" i="62"/>
  <c r="R26" i="62"/>
  <c r="S40" i="27"/>
  <c r="C7" i="65"/>
  <c r="N44" i="61"/>
  <c r="N48" i="61" s="1"/>
  <c r="AF41" i="27" s="1"/>
  <c r="K47" i="61"/>
  <c r="AC40" i="27" s="1"/>
  <c r="AF37" i="27" s="1"/>
  <c r="S3" i="60"/>
  <c r="P24" i="60"/>
  <c r="P17" i="60"/>
  <c r="S39" i="27"/>
  <c r="M44" i="61"/>
  <c r="M48" i="61" s="1"/>
  <c r="AE41" i="27" s="1"/>
  <c r="K46" i="61"/>
  <c r="AC39" i="27" s="1"/>
  <c r="AE37" i="27" s="1"/>
  <c r="Q24" i="60"/>
  <c r="Q17" i="60"/>
  <c r="X39" i="27"/>
  <c r="I46" i="61"/>
  <c r="Z39" i="27" s="1"/>
  <c r="S41" i="27"/>
  <c r="K48" i="61"/>
  <c r="AC41" i="27" s="1"/>
  <c r="AG37" i="27" s="1"/>
  <c r="O44" i="61"/>
  <c r="O46" i="61" s="1"/>
  <c r="AG39" i="27" s="1"/>
  <c r="S6" i="62"/>
  <c r="O27" i="62"/>
  <c r="O20" i="62"/>
  <c r="R17" i="60"/>
  <c r="R24" i="60"/>
  <c r="L48" i="64"/>
  <c r="AD20" i="27" s="1"/>
  <c r="L47" i="64"/>
  <c r="AD19" i="27" s="1"/>
  <c r="L46" i="64"/>
  <c r="AD18" i="27" s="1"/>
  <c r="S5" i="60"/>
  <c r="O19" i="60"/>
  <c r="O26" i="60"/>
  <c r="Y40" i="27"/>
  <c r="I7" i="65"/>
  <c r="P27" i="60"/>
  <c r="P20" i="60"/>
  <c r="P26" i="60"/>
  <c r="P19" i="60"/>
  <c r="R19" i="60"/>
  <c r="R26" i="60"/>
  <c r="S38" i="27"/>
  <c r="L44" i="61"/>
  <c r="L46" i="61" s="1"/>
  <c r="AD39" i="27" s="1"/>
  <c r="K45" i="61"/>
  <c r="AC38" i="27" s="1"/>
  <c r="AD37" i="27" s="1"/>
  <c r="X41" i="27"/>
  <c r="I48" i="61"/>
  <c r="Z41" i="27" s="1"/>
  <c r="X27" i="27"/>
  <c r="I48" i="63"/>
  <c r="Z27" i="27" s="1"/>
  <c r="O46" i="64"/>
  <c r="AG18" i="27" s="1"/>
  <c r="O47" i="64"/>
  <c r="AG19" i="27" s="1"/>
  <c r="S3" i="62"/>
  <c r="P24" i="62"/>
  <c r="P17" i="62"/>
  <c r="N46" i="63"/>
  <c r="AF25" i="27" s="1"/>
  <c r="Q24" i="62"/>
  <c r="Q17" i="62"/>
  <c r="O6" i="57"/>
  <c r="R24" i="62"/>
  <c r="R17" i="62"/>
  <c r="O5" i="57"/>
  <c r="R5" i="57"/>
  <c r="P5" i="57"/>
  <c r="N45" i="63"/>
  <c r="AF24" i="27" s="1"/>
  <c r="Q6" i="57"/>
  <c r="S4" i="62"/>
  <c r="O18" i="62"/>
  <c r="O25" i="62"/>
  <c r="Q27" i="62"/>
  <c r="Q20" i="62"/>
  <c r="S4" i="60"/>
  <c r="O25" i="60"/>
  <c r="O18" i="60"/>
  <c r="R4" i="57"/>
  <c r="Q4" i="57"/>
  <c r="O4" i="57"/>
  <c r="Q25" i="60"/>
  <c r="Q18" i="60"/>
  <c r="R18" i="60"/>
  <c r="R25" i="60"/>
  <c r="Z100" i="2"/>
  <c r="Y100" i="2" s="1"/>
  <c r="O165" i="26" s="1"/>
  <c r="AA100" i="2"/>
  <c r="AN101" i="2"/>
  <c r="X101" i="2" s="1"/>
  <c r="N168" i="26" s="1"/>
  <c r="AN102" i="2"/>
  <c r="X102" i="2" s="1"/>
  <c r="N171" i="26" s="1"/>
  <c r="AC65" i="31"/>
  <c r="I65" i="31" s="1"/>
  <c r="M45" i="63" l="1"/>
  <c r="AE24" i="27" s="1"/>
  <c r="M47" i="63"/>
  <c r="AE26" i="27" s="1"/>
  <c r="AC100" i="2"/>
  <c r="P165" i="26"/>
  <c r="L47" i="63"/>
  <c r="AD26" i="27" s="1"/>
  <c r="L46" i="63"/>
  <c r="AD25" i="27" s="1"/>
  <c r="O45" i="63"/>
  <c r="AG24" i="27" s="1"/>
  <c r="O47" i="63"/>
  <c r="AG26" i="27" s="1"/>
  <c r="L5" i="65"/>
  <c r="H70" i="27"/>
  <c r="M70" i="27" s="1"/>
  <c r="O45" i="61"/>
  <c r="AG38" i="27" s="1"/>
  <c r="M47" i="61"/>
  <c r="AE40" i="27" s="1"/>
  <c r="L48" i="61"/>
  <c r="AD41" i="27" s="1"/>
  <c r="N45" i="61"/>
  <c r="AF38" i="27" s="1"/>
  <c r="M7" i="65"/>
  <c r="L7" i="65"/>
  <c r="P13" i="62"/>
  <c r="S26" i="62"/>
  <c r="Q11" i="62"/>
  <c r="S24" i="62"/>
  <c r="P12" i="60"/>
  <c r="R12" i="62"/>
  <c r="S19" i="62"/>
  <c r="O12" i="62"/>
  <c r="S18" i="60"/>
  <c r="O11" i="60"/>
  <c r="S25" i="60"/>
  <c r="Z40" i="27"/>
  <c r="J7" i="65"/>
  <c r="S20" i="60"/>
  <c r="O13" i="60"/>
  <c r="H32" i="58"/>
  <c r="G31" i="58"/>
  <c r="E25" i="58"/>
  <c r="P13" i="60"/>
  <c r="Q13" i="62"/>
  <c r="Q10" i="60"/>
  <c r="S27" i="60"/>
  <c r="S6" i="57"/>
  <c r="O27" i="57"/>
  <c r="O20" i="57"/>
  <c r="S25" i="62"/>
  <c r="N46" i="61"/>
  <c r="AF39" i="27" s="1"/>
  <c r="P12" i="62"/>
  <c r="Q13" i="60"/>
  <c r="Q27" i="57"/>
  <c r="Q20" i="57"/>
  <c r="Q17" i="57"/>
  <c r="Q24" i="57"/>
  <c r="R11" i="60"/>
  <c r="M45" i="61"/>
  <c r="AE38" i="27" s="1"/>
  <c r="S17" i="60"/>
  <c r="P10" i="60"/>
  <c r="S3" i="57"/>
  <c r="P17" i="57"/>
  <c r="P24" i="57"/>
  <c r="Z26" i="27"/>
  <c r="J5" i="65"/>
  <c r="S24" i="60"/>
  <c r="R17" i="57"/>
  <c r="R24" i="57"/>
  <c r="S20" i="62"/>
  <c r="O13" i="62"/>
  <c r="Q10" i="62"/>
  <c r="S17" i="62"/>
  <c r="P10" i="62"/>
  <c r="S19" i="60"/>
  <c r="O12" i="60"/>
  <c r="S4" i="57"/>
  <c r="O25" i="57"/>
  <c r="O18" i="57"/>
  <c r="R19" i="57"/>
  <c r="R26" i="57"/>
  <c r="R11" i="62"/>
  <c r="R12" i="60"/>
  <c r="S27" i="62"/>
  <c r="Q11" i="60"/>
  <c r="P19" i="57"/>
  <c r="P26" i="57"/>
  <c r="Q25" i="57"/>
  <c r="Q18" i="57"/>
  <c r="S5" i="57"/>
  <c r="O26" i="57"/>
  <c r="O19" i="57"/>
  <c r="L47" i="61"/>
  <c r="AD40" i="27" s="1"/>
  <c r="P13" i="57"/>
  <c r="S18" i="62"/>
  <c r="O11" i="62"/>
  <c r="S26" i="60"/>
  <c r="R25" i="57"/>
  <c r="R18" i="57"/>
  <c r="R10" i="62"/>
  <c r="R10" i="60"/>
  <c r="O47" i="61"/>
  <c r="AG40" i="27" s="1"/>
  <c r="AA102" i="2"/>
  <c r="Z102" i="2"/>
  <c r="Z101" i="2"/>
  <c r="AA101" i="2"/>
  <c r="AB100" i="2"/>
  <c r="AI100" i="2"/>
  <c r="AL100" i="2" s="1"/>
  <c r="AJ100" i="2"/>
  <c r="AM100" i="2" s="1"/>
  <c r="AH100" i="2"/>
  <c r="AK100" i="2" s="1"/>
  <c r="AG100" i="2"/>
  <c r="Y101" i="2" l="1"/>
  <c r="O168" i="26" s="1"/>
  <c r="P168" i="26"/>
  <c r="Y102" i="2"/>
  <c r="O171" i="26" s="1"/>
  <c r="P171" i="26"/>
  <c r="G41" i="58"/>
  <c r="L70" i="27"/>
  <c r="D31" i="63" s="1"/>
  <c r="F31" i="61"/>
  <c r="F30" i="64"/>
  <c r="F33" i="54"/>
  <c r="F32" i="63"/>
  <c r="F30" i="62"/>
  <c r="F33" i="61"/>
  <c r="F31" i="59"/>
  <c r="F30" i="60"/>
  <c r="E33" i="63"/>
  <c r="F33" i="62"/>
  <c r="F33" i="59"/>
  <c r="F33" i="55"/>
  <c r="F30" i="56"/>
  <c r="F31" i="56"/>
  <c r="F30" i="57"/>
  <c r="F31" i="64"/>
  <c r="F30" i="53"/>
  <c r="F32" i="59"/>
  <c r="E33" i="54"/>
  <c r="F31" i="58"/>
  <c r="F32" i="61"/>
  <c r="F32" i="56"/>
  <c r="F33" i="57"/>
  <c r="E30" i="56"/>
  <c r="F33" i="53"/>
  <c r="F30" i="58"/>
  <c r="E31" i="61"/>
  <c r="F32" i="58"/>
  <c r="F31" i="55"/>
  <c r="F32" i="55"/>
  <c r="F33" i="56"/>
  <c r="F33" i="63"/>
  <c r="F31" i="63"/>
  <c r="F30" i="61"/>
  <c r="F31" i="57"/>
  <c r="F32" i="60"/>
  <c r="F30" i="59"/>
  <c r="F32" i="53"/>
  <c r="F33" i="64"/>
  <c r="E32" i="59"/>
  <c r="E31" i="53"/>
  <c r="F31" i="62"/>
  <c r="E31" i="57"/>
  <c r="E33" i="53"/>
  <c r="F32" i="57"/>
  <c r="F30" i="55"/>
  <c r="E30" i="55"/>
  <c r="F33" i="60"/>
  <c r="F32" i="62"/>
  <c r="E31" i="63"/>
  <c r="E30" i="54"/>
  <c r="E32" i="58"/>
  <c r="F30" i="63"/>
  <c r="F31" i="60"/>
  <c r="F31" i="54"/>
  <c r="F32" i="54"/>
  <c r="E30" i="59"/>
  <c r="E32" i="60"/>
  <c r="F31" i="53"/>
  <c r="F33" i="58"/>
  <c r="E31" i="58"/>
  <c r="E31" i="54"/>
  <c r="F30" i="54"/>
  <c r="F32" i="64"/>
  <c r="E33" i="60"/>
  <c r="E32" i="57"/>
  <c r="D26" i="58"/>
  <c r="G26" i="58" s="1"/>
  <c r="H31" i="58"/>
  <c r="I31" i="58" s="1"/>
  <c r="G32" i="58"/>
  <c r="I32" i="58" s="1"/>
  <c r="S12" i="60"/>
  <c r="S13" i="60"/>
  <c r="S20" i="57"/>
  <c r="O13" i="57"/>
  <c r="S10" i="62"/>
  <c r="S27" i="57"/>
  <c r="S17" i="57"/>
  <c r="P10" i="57"/>
  <c r="S10" i="60"/>
  <c r="S26" i="57"/>
  <c r="S11" i="60"/>
  <c r="P12" i="57"/>
  <c r="S13" i="62"/>
  <c r="Q11" i="57"/>
  <c r="R11" i="57"/>
  <c r="S11" i="62"/>
  <c r="Q10" i="57"/>
  <c r="Q13" i="57"/>
  <c r="S12" i="62"/>
  <c r="S18" i="57"/>
  <c r="O11" i="57"/>
  <c r="R12" i="57"/>
  <c r="S19" i="57"/>
  <c r="O12" i="57"/>
  <c r="S25" i="57"/>
  <c r="S24" i="57"/>
  <c r="G25" i="58"/>
  <c r="R10" i="57"/>
  <c r="AC101" i="2"/>
  <c r="AC102" i="2"/>
  <c r="AB102" i="2"/>
  <c r="AH102" i="2"/>
  <c r="AK102" i="2" s="1"/>
  <c r="AI102" i="2"/>
  <c r="AL102" i="2" s="1"/>
  <c r="AJ102" i="2"/>
  <c r="AM102" i="2" s="1"/>
  <c r="AG102" i="2"/>
  <c r="AB101" i="2"/>
  <c r="AJ101" i="2"/>
  <c r="AM101" i="2" s="1"/>
  <c r="AH101" i="2"/>
  <c r="AK101" i="2" s="1"/>
  <c r="AI101" i="2"/>
  <c r="AL101" i="2" s="1"/>
  <c r="AG101" i="2"/>
  <c r="E32" i="55" l="1"/>
  <c r="E33" i="61"/>
  <c r="E32" i="62"/>
  <c r="E31" i="56"/>
  <c r="E31" i="62"/>
  <c r="E30" i="60"/>
  <c r="E32" i="63"/>
  <c r="E48" i="63" s="1"/>
  <c r="V27" i="27" s="1"/>
  <c r="E33" i="57"/>
  <c r="E33" i="56"/>
  <c r="E31" i="55"/>
  <c r="E33" i="64"/>
  <c r="E30" i="57"/>
  <c r="E32" i="54"/>
  <c r="E47" i="54" s="1"/>
  <c r="V89" i="27" s="1"/>
  <c r="E33" i="58"/>
  <c r="E30" i="58"/>
  <c r="E33" i="62"/>
  <c r="E33" i="59"/>
  <c r="E32" i="53"/>
  <c r="E30" i="64"/>
  <c r="E32" i="64"/>
  <c r="E30" i="53"/>
  <c r="E31" i="60"/>
  <c r="E30" i="63"/>
  <c r="E46" i="63" s="1"/>
  <c r="V25" i="27" s="1"/>
  <c r="E30" i="62"/>
  <c r="E32" i="61"/>
  <c r="E48" i="61" s="1"/>
  <c r="V41" i="27" s="1"/>
  <c r="E31" i="59"/>
  <c r="E45" i="59" s="1"/>
  <c r="V52" i="27" s="1"/>
  <c r="E31" i="64"/>
  <c r="E32" i="56"/>
  <c r="E30" i="61"/>
  <c r="E45" i="61" s="1"/>
  <c r="V38" i="27" s="1"/>
  <c r="E33" i="55"/>
  <c r="E46" i="55" s="1"/>
  <c r="V81" i="27" s="1"/>
  <c r="D32" i="61"/>
  <c r="D31" i="64"/>
  <c r="F47" i="59"/>
  <c r="W54" i="27" s="1"/>
  <c r="F48" i="54"/>
  <c r="W90" i="27" s="1"/>
  <c r="F48" i="63"/>
  <c r="W27" i="27" s="1"/>
  <c r="F45" i="59"/>
  <c r="W52" i="27" s="1"/>
  <c r="D19" i="58"/>
  <c r="G19" i="58" s="1"/>
  <c r="H41" i="58"/>
  <c r="E11" i="58" s="1"/>
  <c r="G11" i="58" s="1"/>
  <c r="J3" i="58" s="1"/>
  <c r="E18" i="58"/>
  <c r="G18" i="58" s="1"/>
  <c r="I41" i="58"/>
  <c r="D12" i="58" s="1"/>
  <c r="G12" i="58" s="1"/>
  <c r="F48" i="59"/>
  <c r="W55" i="27" s="1"/>
  <c r="F46" i="59"/>
  <c r="W53" i="27" s="1"/>
  <c r="D30" i="61"/>
  <c r="D30" i="60"/>
  <c r="D32" i="60"/>
  <c r="D30" i="58"/>
  <c r="D31" i="55"/>
  <c r="D33" i="53"/>
  <c r="D31" i="57"/>
  <c r="D33" i="55"/>
  <c r="D33" i="63"/>
  <c r="D33" i="62"/>
  <c r="D32" i="59"/>
  <c r="D32" i="56"/>
  <c r="D30" i="64"/>
  <c r="D32" i="58"/>
  <c r="D31" i="60"/>
  <c r="D33" i="59"/>
  <c r="D32" i="57"/>
  <c r="D30" i="62"/>
  <c r="D33" i="57"/>
  <c r="D31" i="59"/>
  <c r="D33" i="56"/>
  <c r="D33" i="58"/>
  <c r="D31" i="56"/>
  <c r="D31" i="61"/>
  <c r="D32" i="64"/>
  <c r="D30" i="53"/>
  <c r="D33" i="64"/>
  <c r="D32" i="63"/>
  <c r="D30" i="54"/>
  <c r="D31" i="54"/>
  <c r="D30" i="57"/>
  <c r="D30" i="59"/>
  <c r="D32" i="53"/>
  <c r="D32" i="54"/>
  <c r="D33" i="60"/>
  <c r="D32" i="62"/>
  <c r="D33" i="61"/>
  <c r="D31" i="62"/>
  <c r="D33" i="54"/>
  <c r="D30" i="56"/>
  <c r="D31" i="58"/>
  <c r="D31" i="53"/>
  <c r="D30" i="55"/>
  <c r="D32" i="55"/>
  <c r="D30" i="63"/>
  <c r="E48" i="54"/>
  <c r="V90" i="27" s="1"/>
  <c r="F46" i="55"/>
  <c r="W81" i="27" s="1"/>
  <c r="F45" i="54"/>
  <c r="W87" i="27" s="1"/>
  <c r="F47" i="64"/>
  <c r="G4" i="65" s="1"/>
  <c r="F46" i="56"/>
  <c r="W74" i="27" s="1"/>
  <c r="F46" i="61"/>
  <c r="W39" i="27" s="1"/>
  <c r="F47" i="63"/>
  <c r="W26" i="27" s="1"/>
  <c r="E47" i="63"/>
  <c r="V26" i="27" s="1"/>
  <c r="F45" i="56"/>
  <c r="W73" i="27" s="1"/>
  <c r="F48" i="61"/>
  <c r="W41" i="27" s="1"/>
  <c r="E48" i="55"/>
  <c r="V83" i="27" s="1"/>
  <c r="F47" i="61"/>
  <c r="G7" i="65" s="1"/>
  <c r="F45" i="61"/>
  <c r="W38" i="27" s="1"/>
  <c r="F47" i="56"/>
  <c r="G12" i="65" s="1"/>
  <c r="E45" i="55"/>
  <c r="V80" i="27" s="1"/>
  <c r="F48" i="55"/>
  <c r="W83" i="27" s="1"/>
  <c r="F46" i="54"/>
  <c r="W88" i="27" s="1"/>
  <c r="E47" i="55"/>
  <c r="V82" i="27" s="1"/>
  <c r="F48" i="56"/>
  <c r="W76" i="27" s="1"/>
  <c r="F45" i="64"/>
  <c r="W17" i="27" s="1"/>
  <c r="F47" i="54"/>
  <c r="G14" i="65" s="1"/>
  <c r="F46" i="63"/>
  <c r="W25" i="27" s="1"/>
  <c r="F45" i="55"/>
  <c r="W80" i="27" s="1"/>
  <c r="F46" i="64"/>
  <c r="W18" i="27" s="1"/>
  <c r="E45" i="63"/>
  <c r="V24" i="27" s="1"/>
  <c r="F45" i="63"/>
  <c r="W24" i="27" s="1"/>
  <c r="E46" i="54"/>
  <c r="V88" i="27" s="1"/>
  <c r="F48" i="64"/>
  <c r="W20" i="27" s="1"/>
  <c r="F47" i="55"/>
  <c r="E45" i="54"/>
  <c r="V87" i="27" s="1"/>
  <c r="X5" i="62"/>
  <c r="V5" i="62"/>
  <c r="U5" i="62"/>
  <c r="X3" i="60"/>
  <c r="V3" i="60"/>
  <c r="W3" i="60"/>
  <c r="S10" i="57"/>
  <c r="S11" i="57"/>
  <c r="X4" i="62"/>
  <c r="W4" i="62"/>
  <c r="U4" i="62"/>
  <c r="W6" i="62"/>
  <c r="U6" i="62"/>
  <c r="V6" i="62"/>
  <c r="X3" i="62"/>
  <c r="W3" i="62"/>
  <c r="V3" i="62"/>
  <c r="S12" i="57"/>
  <c r="W6" i="60"/>
  <c r="V6" i="60"/>
  <c r="U6" i="60"/>
  <c r="S13" i="57"/>
  <c r="W4" i="60"/>
  <c r="X4" i="60"/>
  <c r="U4" i="60"/>
  <c r="V5" i="60"/>
  <c r="U5" i="60"/>
  <c r="X5" i="60"/>
  <c r="AN103" i="2"/>
  <c r="X103" i="2" s="1"/>
  <c r="N177" i="26" s="1"/>
  <c r="E46" i="56" l="1"/>
  <c r="V74" i="27" s="1"/>
  <c r="E47" i="59"/>
  <c r="V54" i="27" s="1"/>
  <c r="E45" i="56"/>
  <c r="V73" i="27" s="1"/>
  <c r="E46" i="59"/>
  <c r="V53" i="27" s="1"/>
  <c r="E48" i="59"/>
  <c r="V55" i="27" s="1"/>
  <c r="E47" i="56"/>
  <c r="F12" i="65" s="1"/>
  <c r="E48" i="56"/>
  <c r="V76" i="27" s="1"/>
  <c r="E45" i="64"/>
  <c r="V17" i="27" s="1"/>
  <c r="E47" i="61"/>
  <c r="V40" i="27" s="1"/>
  <c r="E47" i="64"/>
  <c r="V19" i="27" s="1"/>
  <c r="E46" i="64"/>
  <c r="V18" i="27" s="1"/>
  <c r="E46" i="61"/>
  <c r="V39" i="27" s="1"/>
  <c r="E48" i="64"/>
  <c r="V20" i="27" s="1"/>
  <c r="G9" i="65"/>
  <c r="J6" i="58"/>
  <c r="J20" i="58" s="1"/>
  <c r="I4" i="58"/>
  <c r="I18" i="58" s="1"/>
  <c r="K4" i="58"/>
  <c r="K18" i="58" s="1"/>
  <c r="L4" i="58"/>
  <c r="L25" i="58" s="1"/>
  <c r="J5" i="58"/>
  <c r="J19" i="58" s="1"/>
  <c r="D45" i="64"/>
  <c r="U17" i="27" s="1"/>
  <c r="D45" i="59"/>
  <c r="U52" i="27" s="1"/>
  <c r="D48" i="63"/>
  <c r="U27" i="27" s="1"/>
  <c r="D46" i="61"/>
  <c r="U39" i="27" s="1"/>
  <c r="K3" i="58"/>
  <c r="M3" i="58" s="1"/>
  <c r="L5" i="58"/>
  <c r="I5" i="58"/>
  <c r="K6" i="58"/>
  <c r="D48" i="54"/>
  <c r="U90" i="27" s="1"/>
  <c r="D45" i="55"/>
  <c r="U80" i="27" s="1"/>
  <c r="D46" i="64"/>
  <c r="U18" i="27" s="1"/>
  <c r="D48" i="59"/>
  <c r="U55" i="27" s="1"/>
  <c r="D46" i="54"/>
  <c r="U88" i="27" s="1"/>
  <c r="D47" i="54"/>
  <c r="E14" i="65" s="1"/>
  <c r="D48" i="55"/>
  <c r="U83" i="27" s="1"/>
  <c r="D47" i="63"/>
  <c r="E5" i="65" s="1"/>
  <c r="D45" i="61"/>
  <c r="U38" i="27" s="1"/>
  <c r="D46" i="56"/>
  <c r="U74" i="27" s="1"/>
  <c r="D45" i="56"/>
  <c r="U73" i="27" s="1"/>
  <c r="D46" i="59"/>
  <c r="U53" i="27" s="1"/>
  <c r="D45" i="54"/>
  <c r="U87" i="27" s="1"/>
  <c r="W19" i="27"/>
  <c r="D48" i="64"/>
  <c r="U20" i="27" s="1"/>
  <c r="D47" i="64"/>
  <c r="D46" i="55"/>
  <c r="U81" i="27" s="1"/>
  <c r="D46" i="63"/>
  <c r="U25" i="27" s="1"/>
  <c r="D47" i="55"/>
  <c r="J47" i="55" s="1"/>
  <c r="AA82" i="27" s="1"/>
  <c r="AH82" i="27" s="1"/>
  <c r="D48" i="61"/>
  <c r="U41" i="27" s="1"/>
  <c r="D47" i="61"/>
  <c r="D47" i="56"/>
  <c r="D48" i="56"/>
  <c r="U76" i="27" s="1"/>
  <c r="D47" i="59"/>
  <c r="J47" i="59" s="1"/>
  <c r="D45" i="63"/>
  <c r="U24" i="27" s="1"/>
  <c r="F9" i="65"/>
  <c r="F14" i="65"/>
  <c r="F5" i="65"/>
  <c r="G5" i="65"/>
  <c r="W75" i="27"/>
  <c r="W40" i="27"/>
  <c r="W89" i="27"/>
  <c r="F13" i="65"/>
  <c r="G13" i="65"/>
  <c r="W82" i="27"/>
  <c r="J17" i="58"/>
  <c r="J24" i="58"/>
  <c r="X3" i="57"/>
  <c r="W3" i="57"/>
  <c r="V3" i="57"/>
  <c r="V20" i="62"/>
  <c r="V27" i="62"/>
  <c r="Y6" i="62"/>
  <c r="U20" i="62"/>
  <c r="U27" i="62"/>
  <c r="W24" i="60"/>
  <c r="W17" i="60"/>
  <c r="Y3" i="60"/>
  <c r="V24" i="60"/>
  <c r="V17" i="60"/>
  <c r="X24" i="60"/>
  <c r="X17" i="60"/>
  <c r="W27" i="60"/>
  <c r="W20" i="60"/>
  <c r="Y4" i="62"/>
  <c r="U25" i="62"/>
  <c r="U18" i="62"/>
  <c r="W18" i="62"/>
  <c r="W25" i="62"/>
  <c r="Y4" i="60"/>
  <c r="U18" i="60"/>
  <c r="U25" i="60"/>
  <c r="X25" i="62"/>
  <c r="X18" i="62"/>
  <c r="Y6" i="60"/>
  <c r="U27" i="60"/>
  <c r="U20" i="60"/>
  <c r="X26" i="60"/>
  <c r="X19" i="60"/>
  <c r="V20" i="60"/>
  <c r="V27" i="60"/>
  <c r="Y5" i="60"/>
  <c r="U26" i="60"/>
  <c r="U19" i="60"/>
  <c r="V19" i="60"/>
  <c r="V26" i="60"/>
  <c r="X25" i="60"/>
  <c r="X18" i="60"/>
  <c r="W27" i="62"/>
  <c r="W20" i="62"/>
  <c r="W25" i="60"/>
  <c r="W18" i="60"/>
  <c r="Y5" i="62"/>
  <c r="U26" i="62"/>
  <c r="U19" i="62"/>
  <c r="X5" i="57"/>
  <c r="V5" i="57"/>
  <c r="U5" i="57"/>
  <c r="X4" i="57"/>
  <c r="W4" i="57"/>
  <c r="U4" i="57"/>
  <c r="V26" i="62"/>
  <c r="V19" i="62"/>
  <c r="X19" i="62"/>
  <c r="X26" i="62"/>
  <c r="W6" i="57"/>
  <c r="U6" i="57"/>
  <c r="V6" i="57"/>
  <c r="Y3" i="62"/>
  <c r="V24" i="62"/>
  <c r="V17" i="62"/>
  <c r="W17" i="62"/>
  <c r="W24" i="62"/>
  <c r="X24" i="62"/>
  <c r="X17" i="62"/>
  <c r="AA103" i="2"/>
  <c r="Z103" i="2"/>
  <c r="AN104" i="2"/>
  <c r="X104" i="2" s="1"/>
  <c r="N180" i="26" s="1"/>
  <c r="V75" i="27" l="1"/>
  <c r="J47" i="56"/>
  <c r="K12" i="65" s="1"/>
  <c r="N12" i="65" s="1"/>
  <c r="F7" i="65"/>
  <c r="J47" i="64"/>
  <c r="K4" i="65" s="1"/>
  <c r="N4" i="65" s="1"/>
  <c r="F4" i="65"/>
  <c r="J27" i="58"/>
  <c r="J13" i="58" s="1"/>
  <c r="Y103" i="2"/>
  <c r="O177" i="26" s="1"/>
  <c r="P177" i="26"/>
  <c r="K25" i="58"/>
  <c r="K11" i="58" s="1"/>
  <c r="M6" i="58"/>
  <c r="J26" i="58"/>
  <c r="J12" i="58" s="1"/>
  <c r="L18" i="58"/>
  <c r="M18" i="58" s="1"/>
  <c r="M4" i="58"/>
  <c r="I25" i="58"/>
  <c r="I11" i="58" s="1"/>
  <c r="J45" i="59"/>
  <c r="AA52" i="27" s="1"/>
  <c r="AH52" i="27" s="1"/>
  <c r="J45" i="64"/>
  <c r="AA17" i="27" s="1"/>
  <c r="AH17" i="27" s="1"/>
  <c r="J48" i="63"/>
  <c r="AA27" i="27" s="1"/>
  <c r="AH27" i="27" s="1"/>
  <c r="J46" i="61"/>
  <c r="AA39" i="27" s="1"/>
  <c r="AH39" i="27" s="1"/>
  <c r="M5" i="58"/>
  <c r="J45" i="55"/>
  <c r="AA80" i="27" s="1"/>
  <c r="AH80" i="27" s="1"/>
  <c r="J46" i="54"/>
  <c r="AA88" i="27" s="1"/>
  <c r="AH88" i="27" s="1"/>
  <c r="J48" i="59"/>
  <c r="AA55" i="27" s="1"/>
  <c r="AH55" i="27" s="1"/>
  <c r="J47" i="54"/>
  <c r="AA89" i="27" s="1"/>
  <c r="AH89" i="27" s="1"/>
  <c r="U89" i="27"/>
  <c r="J48" i="54"/>
  <c r="AA90" i="27" s="1"/>
  <c r="AH90" i="27" s="1"/>
  <c r="J46" i="64"/>
  <c r="AA18" i="27" s="1"/>
  <c r="AH18" i="27" s="1"/>
  <c r="K27" i="58"/>
  <c r="K20" i="58"/>
  <c r="M20" i="58" s="1"/>
  <c r="J48" i="55"/>
  <c r="AA83" i="27" s="1"/>
  <c r="AH83" i="27" s="1"/>
  <c r="I26" i="58"/>
  <c r="I19" i="58"/>
  <c r="L19" i="58"/>
  <c r="L26" i="58"/>
  <c r="K24" i="58"/>
  <c r="M24" i="58" s="1"/>
  <c r="K17" i="58"/>
  <c r="M17" i="58" s="1"/>
  <c r="J45" i="56"/>
  <c r="AA73" i="27" s="1"/>
  <c r="AH73" i="27" s="1"/>
  <c r="U26" i="27"/>
  <c r="J47" i="63"/>
  <c r="AA26" i="27" s="1"/>
  <c r="AH26" i="27" s="1"/>
  <c r="J46" i="59"/>
  <c r="AA53" i="27" s="1"/>
  <c r="AH53" i="27" s="1"/>
  <c r="J46" i="63"/>
  <c r="AA25" i="27" s="1"/>
  <c r="AH25" i="27" s="1"/>
  <c r="J46" i="56"/>
  <c r="AA74" i="27" s="1"/>
  <c r="AH74" i="27" s="1"/>
  <c r="J45" i="61"/>
  <c r="AA38" i="27" s="1"/>
  <c r="AH38" i="27" s="1"/>
  <c r="J45" i="54"/>
  <c r="AA87" i="27" s="1"/>
  <c r="AH87" i="27" s="1"/>
  <c r="J48" i="64"/>
  <c r="AA20" i="27" s="1"/>
  <c r="AH20" i="27" s="1"/>
  <c r="J46" i="55"/>
  <c r="AA81" i="27" s="1"/>
  <c r="AH81" i="27" s="1"/>
  <c r="K9" i="65"/>
  <c r="N9" i="65" s="1"/>
  <c r="AA54" i="27"/>
  <c r="AH54" i="27" s="1"/>
  <c r="J45" i="63"/>
  <c r="AA24" i="27" s="1"/>
  <c r="AH24" i="27" s="1"/>
  <c r="E4" i="65"/>
  <c r="U19" i="27"/>
  <c r="J48" i="56"/>
  <c r="AA76" i="27" s="1"/>
  <c r="AH76" i="27" s="1"/>
  <c r="U54" i="27"/>
  <c r="E9" i="65"/>
  <c r="E12" i="65"/>
  <c r="U75" i="27"/>
  <c r="U40" i="27"/>
  <c r="E7" i="65"/>
  <c r="U82" i="27"/>
  <c r="E13" i="65"/>
  <c r="J47" i="61"/>
  <c r="K7" i="65" s="1"/>
  <c r="N7" i="65" s="1"/>
  <c r="J48" i="61"/>
  <c r="AA41" i="27" s="1"/>
  <c r="AH41" i="27" s="1"/>
  <c r="AA75" i="27"/>
  <c r="AH75" i="27" s="1"/>
  <c r="K13" i="65"/>
  <c r="N13" i="65" s="1"/>
  <c r="Y27" i="60"/>
  <c r="W13" i="60"/>
  <c r="V13" i="60"/>
  <c r="X12" i="62"/>
  <c r="X12" i="60"/>
  <c r="W13" i="62"/>
  <c r="W11" i="62"/>
  <c r="W11" i="60"/>
  <c r="W10" i="62"/>
  <c r="Y24" i="62"/>
  <c r="Y26" i="62"/>
  <c r="Y20" i="60"/>
  <c r="U13" i="60"/>
  <c r="Y17" i="60"/>
  <c r="V10" i="60"/>
  <c r="Y24" i="60"/>
  <c r="X11" i="62"/>
  <c r="W10" i="60"/>
  <c r="Y25" i="60"/>
  <c r="Y18" i="60"/>
  <c r="U11" i="60"/>
  <c r="Y27" i="62"/>
  <c r="X11" i="60"/>
  <c r="Y20" i="62"/>
  <c r="U13" i="62"/>
  <c r="V12" i="62"/>
  <c r="V13" i="62"/>
  <c r="Y17" i="62"/>
  <c r="V10" i="62"/>
  <c r="V27" i="57"/>
  <c r="V20" i="57"/>
  <c r="Y4" i="57"/>
  <c r="U18" i="57"/>
  <c r="U25" i="57"/>
  <c r="Y6" i="57"/>
  <c r="U27" i="57"/>
  <c r="U20" i="57"/>
  <c r="W18" i="57"/>
  <c r="W25" i="57"/>
  <c r="W20" i="57"/>
  <c r="W27" i="57"/>
  <c r="X25" i="57"/>
  <c r="X18" i="57"/>
  <c r="V12" i="60"/>
  <c r="Y18" i="62"/>
  <c r="U11" i="62"/>
  <c r="Y3" i="57"/>
  <c r="V24" i="57"/>
  <c r="V17" i="57"/>
  <c r="Y19" i="60"/>
  <c r="U12" i="60"/>
  <c r="Y25" i="62"/>
  <c r="W24" i="57"/>
  <c r="W17" i="57"/>
  <c r="X17" i="57"/>
  <c r="X24" i="57"/>
  <c r="Y26" i="60"/>
  <c r="Y5" i="57"/>
  <c r="U26" i="57"/>
  <c r="U19" i="57"/>
  <c r="V26" i="57"/>
  <c r="V19" i="57"/>
  <c r="X10" i="62"/>
  <c r="X19" i="57"/>
  <c r="X26" i="57"/>
  <c r="J10" i="58"/>
  <c r="Y19" i="62"/>
  <c r="U12" i="62"/>
  <c r="X10" i="60"/>
  <c r="AC103" i="2"/>
  <c r="Z104" i="2"/>
  <c r="AA104" i="2"/>
  <c r="AG103" i="2"/>
  <c r="AA19" i="27" l="1"/>
  <c r="AH19" i="27" s="1"/>
  <c r="AJ103" i="2"/>
  <c r="AM103" i="2" s="1"/>
  <c r="AH103" i="2"/>
  <c r="AK103" i="2" s="1"/>
  <c r="AI103" i="2"/>
  <c r="AL103" i="2" s="1"/>
  <c r="AB103" i="2"/>
  <c r="M27" i="58"/>
  <c r="AC104" i="2"/>
  <c r="P180" i="26"/>
  <c r="L11" i="58"/>
  <c r="M11" i="58" s="1"/>
  <c r="M25" i="58"/>
  <c r="K14" i="65"/>
  <c r="N14" i="65" s="1"/>
  <c r="I12" i="58"/>
  <c r="K10" i="58"/>
  <c r="M10" i="58" s="1"/>
  <c r="M26" i="58"/>
  <c r="K5" i="65"/>
  <c r="N5" i="65" s="1"/>
  <c r="L12" i="58"/>
  <c r="K13" i="58"/>
  <c r="M13" i="58" s="1"/>
  <c r="M19" i="58"/>
  <c r="AA40" i="27"/>
  <c r="AH40" i="27" s="1"/>
  <c r="Y13" i="60"/>
  <c r="V12" i="57"/>
  <c r="V13" i="57"/>
  <c r="Y27" i="57"/>
  <c r="Y25" i="57"/>
  <c r="W13" i="57"/>
  <c r="X10" i="57"/>
  <c r="W10" i="57"/>
  <c r="Y11" i="62"/>
  <c r="Y13" i="62"/>
  <c r="X12" i="57"/>
  <c r="W11" i="57"/>
  <c r="Y20" i="57"/>
  <c r="U13" i="57"/>
  <c r="Y11" i="60"/>
  <c r="Y12" i="60"/>
  <c r="Y17" i="57"/>
  <c r="V10" i="57"/>
  <c r="Y24" i="57"/>
  <c r="Y10" i="62"/>
  <c r="Y18" i="57"/>
  <c r="U11" i="57"/>
  <c r="Y12" i="62"/>
  <c r="Y10" i="60"/>
  <c r="Y19" i="57"/>
  <c r="U12" i="57"/>
  <c r="X11" i="57"/>
  <c r="Y26" i="57"/>
  <c r="Y104" i="2"/>
  <c r="AG104" i="2"/>
  <c r="AB104" i="2" l="1"/>
  <c r="O180" i="26"/>
  <c r="M12" i="58"/>
  <c r="R5" i="58" s="1"/>
  <c r="Y13" i="57"/>
  <c r="Y10" i="57"/>
  <c r="Z10" i="62"/>
  <c r="J30" i="62" s="1"/>
  <c r="M30" i="62" s="1"/>
  <c r="Z12" i="60"/>
  <c r="J32" i="60" s="1"/>
  <c r="M32" i="60" s="1"/>
  <c r="Z13" i="60"/>
  <c r="J33" i="60" s="1"/>
  <c r="M33" i="60" s="1"/>
  <c r="Y11" i="57"/>
  <c r="Y12" i="57"/>
  <c r="Z10" i="60"/>
  <c r="J30" i="60" s="1"/>
  <c r="M30" i="60" s="1"/>
  <c r="Q4" i="58"/>
  <c r="R4" i="58"/>
  <c r="O4" i="58"/>
  <c r="P5" i="58"/>
  <c r="Z12" i="62"/>
  <c r="J32" i="62" s="1"/>
  <c r="M32" i="62" s="1"/>
  <c r="Z11" i="62"/>
  <c r="J31" i="62" s="1"/>
  <c r="M31" i="62" s="1"/>
  <c r="R3" i="58"/>
  <c r="P3" i="58"/>
  <c r="Q3" i="58"/>
  <c r="Z11" i="60"/>
  <c r="J31" i="60" s="1"/>
  <c r="M31" i="60" s="1"/>
  <c r="P6" i="58"/>
  <c r="O6" i="58"/>
  <c r="Z13" i="62"/>
  <c r="J33" i="62" s="1"/>
  <c r="M33" i="62" s="1"/>
  <c r="AJ104" i="2"/>
  <c r="AM104" i="2" s="1"/>
  <c r="AH104" i="2"/>
  <c r="AK104" i="2" s="1"/>
  <c r="AI104" i="2"/>
  <c r="AL104" i="2" s="1"/>
  <c r="Q6" i="58" l="1"/>
  <c r="Q27" i="58" s="1"/>
  <c r="O5" i="58"/>
  <c r="R26" i="58"/>
  <c r="R19" i="58"/>
  <c r="Z12" i="57"/>
  <c r="J32" i="57" s="1"/>
  <c r="M32" i="57" s="1"/>
  <c r="Z10" i="57"/>
  <c r="J30" i="57" s="1"/>
  <c r="M30" i="57" s="1"/>
  <c r="Z13" i="57"/>
  <c r="J33" i="57" s="1"/>
  <c r="M33" i="57" s="1"/>
  <c r="Z11" i="57"/>
  <c r="J31" i="57" s="1"/>
  <c r="M31" i="57" s="1"/>
  <c r="N33" i="60"/>
  <c r="A33" i="60" s="1"/>
  <c r="N30" i="60"/>
  <c r="A30" i="60" s="1"/>
  <c r="N32" i="60"/>
  <c r="A32" i="60" s="1"/>
  <c r="N31" i="62"/>
  <c r="A31" i="62" s="1"/>
  <c r="N31" i="60"/>
  <c r="A31" i="60" s="1"/>
  <c r="N30" i="62"/>
  <c r="A30" i="62" s="1"/>
  <c r="O27" i="58"/>
  <c r="O20" i="58"/>
  <c r="P19" i="58"/>
  <c r="P26" i="58"/>
  <c r="N32" i="62"/>
  <c r="A32" i="62" s="1"/>
  <c r="N33" i="62"/>
  <c r="A33" i="62" s="1"/>
  <c r="P27" i="58"/>
  <c r="P20" i="58"/>
  <c r="S4" i="58"/>
  <c r="O25" i="58"/>
  <c r="O18" i="58"/>
  <c r="R17" i="58"/>
  <c r="R24" i="58"/>
  <c r="S5" i="58"/>
  <c r="Q17" i="58"/>
  <c r="Q24" i="58"/>
  <c r="R18" i="58"/>
  <c r="R25" i="58"/>
  <c r="S3" i="58"/>
  <c r="P17" i="58"/>
  <c r="P24" i="58"/>
  <c r="Q18" i="58"/>
  <c r="Q25" i="58"/>
  <c r="AN105" i="2"/>
  <c r="X105" i="2" s="1"/>
  <c r="N186" i="26" s="1"/>
  <c r="Q20" i="58" l="1"/>
  <c r="S6" i="58"/>
  <c r="R12" i="58"/>
  <c r="O26" i="58"/>
  <c r="S26" i="58" s="1"/>
  <c r="O19" i="58"/>
  <c r="G45" i="60"/>
  <c r="X45" i="27" s="1"/>
  <c r="N31" i="57"/>
  <c r="A31" i="57" s="1"/>
  <c r="H46" i="60"/>
  <c r="Y46" i="27" s="1"/>
  <c r="N30" i="57"/>
  <c r="A30" i="57" s="1"/>
  <c r="N32" i="57"/>
  <c r="A32" i="57" s="1"/>
  <c r="G46" i="60"/>
  <c r="F48" i="60"/>
  <c r="W48" i="27" s="1"/>
  <c r="H45" i="60"/>
  <c r="Y45" i="27" s="1"/>
  <c r="G48" i="60"/>
  <c r="X48" i="27" s="1"/>
  <c r="B45" i="60"/>
  <c r="E93" i="27" s="1"/>
  <c r="N33" i="57"/>
  <c r="A33" i="57" s="1"/>
  <c r="B47" i="60"/>
  <c r="N44" i="60" s="1"/>
  <c r="B48" i="60"/>
  <c r="S48" i="27" s="1"/>
  <c r="H48" i="60"/>
  <c r="Y48" i="27" s="1"/>
  <c r="B46" i="60"/>
  <c r="I87" i="27" s="1"/>
  <c r="H47" i="60"/>
  <c r="Y47" i="27" s="1"/>
  <c r="G47" i="60"/>
  <c r="F45" i="60"/>
  <c r="W45" i="27" s="1"/>
  <c r="D47" i="60"/>
  <c r="U47" i="27" s="1"/>
  <c r="F46" i="60"/>
  <c r="W46" i="27" s="1"/>
  <c r="E45" i="60"/>
  <c r="V45" i="27" s="1"/>
  <c r="D46" i="60"/>
  <c r="U46" i="27" s="1"/>
  <c r="F47" i="60"/>
  <c r="W47" i="27" s="1"/>
  <c r="D48" i="60"/>
  <c r="U48" i="27" s="1"/>
  <c r="E46" i="60"/>
  <c r="V46" i="27" s="1"/>
  <c r="E48" i="60"/>
  <c r="V48" i="27" s="1"/>
  <c r="D45" i="60"/>
  <c r="U45" i="27" s="1"/>
  <c r="E47" i="60"/>
  <c r="Q10" i="58"/>
  <c r="S20" i="58"/>
  <c r="O13" i="58"/>
  <c r="R11" i="58"/>
  <c r="S27" i="58"/>
  <c r="P12" i="58"/>
  <c r="S18" i="58"/>
  <c r="O11" i="58"/>
  <c r="B47" i="62"/>
  <c r="H48" i="62"/>
  <c r="Y34" i="27" s="1"/>
  <c r="H45" i="62"/>
  <c r="Y31" i="27" s="1"/>
  <c r="G45" i="62"/>
  <c r="G48" i="62"/>
  <c r="H46" i="62"/>
  <c r="Y32" i="27" s="1"/>
  <c r="B45" i="62"/>
  <c r="E111" i="27" s="1"/>
  <c r="B48" i="62"/>
  <c r="G46" i="62"/>
  <c r="B46" i="62"/>
  <c r="E123" i="27" s="1"/>
  <c r="H47" i="62"/>
  <c r="G47" i="62"/>
  <c r="D45" i="62"/>
  <c r="E47" i="62"/>
  <c r="D48" i="62"/>
  <c r="E48" i="62"/>
  <c r="V34" i="27" s="1"/>
  <c r="F47" i="62"/>
  <c r="F45" i="62"/>
  <c r="W31" i="27" s="1"/>
  <c r="F46" i="62"/>
  <c r="W32" i="27" s="1"/>
  <c r="F48" i="62"/>
  <c r="W34" i="27" s="1"/>
  <c r="E46" i="62"/>
  <c r="V32" i="27" s="1"/>
  <c r="D47" i="62"/>
  <c r="D46" i="62"/>
  <c r="E45" i="62"/>
  <c r="V31" i="27" s="1"/>
  <c r="R10" i="58"/>
  <c r="Q13" i="58"/>
  <c r="S24" i="58"/>
  <c r="P13" i="58"/>
  <c r="S25" i="58"/>
  <c r="Q11" i="58"/>
  <c r="S17" i="58"/>
  <c r="P10" i="58"/>
  <c r="Z105" i="2"/>
  <c r="AA105" i="2"/>
  <c r="O12" i="58" l="1"/>
  <c r="S12" i="58" s="1"/>
  <c r="S45" i="27"/>
  <c r="S46" i="27"/>
  <c r="AC105" i="2"/>
  <c r="P186" i="26"/>
  <c r="S19" i="58"/>
  <c r="D46" i="57"/>
  <c r="U67" i="27" s="1"/>
  <c r="I46" i="60"/>
  <c r="Z46" i="27" s="1"/>
  <c r="F45" i="57"/>
  <c r="W66" i="27" s="1"/>
  <c r="D45" i="57"/>
  <c r="U66" i="27" s="1"/>
  <c r="H45" i="57"/>
  <c r="Y66" i="27" s="1"/>
  <c r="G45" i="57"/>
  <c r="B45" i="57"/>
  <c r="E99" i="27" s="1"/>
  <c r="E46" i="57"/>
  <c r="V67" i="27" s="1"/>
  <c r="H46" i="57"/>
  <c r="Y67" i="27" s="1"/>
  <c r="B46" i="57"/>
  <c r="G46" i="57"/>
  <c r="X67" i="27" s="1"/>
  <c r="X46" i="27"/>
  <c r="F47" i="57"/>
  <c r="G11" i="65" s="1"/>
  <c r="D47" i="57"/>
  <c r="E11" i="65" s="1"/>
  <c r="E47" i="57"/>
  <c r="V68" i="27" s="1"/>
  <c r="K45" i="60"/>
  <c r="AC45" i="27" s="1"/>
  <c r="AD44" i="27" s="1"/>
  <c r="F46" i="57"/>
  <c r="W67" i="27" s="1"/>
  <c r="E45" i="57"/>
  <c r="V66" i="27" s="1"/>
  <c r="B47" i="57"/>
  <c r="N44" i="57" s="1"/>
  <c r="I45" i="60"/>
  <c r="Z45" i="27" s="1"/>
  <c r="H47" i="57"/>
  <c r="I11" i="65" s="1"/>
  <c r="L44" i="60"/>
  <c r="L46" i="60" s="1"/>
  <c r="AD46" i="27" s="1"/>
  <c r="O44" i="60"/>
  <c r="O47" i="60" s="1"/>
  <c r="AG47" i="27" s="1"/>
  <c r="K48" i="60"/>
  <c r="AC48" i="27" s="1"/>
  <c r="AG44" i="27" s="1"/>
  <c r="M44" i="60"/>
  <c r="M47" i="60" s="1"/>
  <c r="AE47" i="27" s="1"/>
  <c r="K46" i="60"/>
  <c r="AC46" i="27" s="1"/>
  <c r="AE44" i="27" s="1"/>
  <c r="G48" i="57"/>
  <c r="X69" i="27" s="1"/>
  <c r="E48" i="57"/>
  <c r="V69" i="27" s="1"/>
  <c r="F48" i="57"/>
  <c r="W69" i="27" s="1"/>
  <c r="H48" i="57"/>
  <c r="Y69" i="27" s="1"/>
  <c r="B48" i="57"/>
  <c r="K48" i="57" s="1"/>
  <c r="AC69" i="27" s="1"/>
  <c r="AG65" i="27" s="1"/>
  <c r="D48" i="57"/>
  <c r="G47" i="57"/>
  <c r="X68" i="27" s="1"/>
  <c r="I47" i="60"/>
  <c r="Z47" i="27" s="1"/>
  <c r="I8" i="65"/>
  <c r="N48" i="60"/>
  <c r="AF48" i="27" s="1"/>
  <c r="S47" i="27"/>
  <c r="K47" i="60"/>
  <c r="AC47" i="27" s="1"/>
  <c r="AF44" i="27" s="1"/>
  <c r="C8" i="65"/>
  <c r="L8" i="65" s="1"/>
  <c r="H8" i="65"/>
  <c r="X47" i="27"/>
  <c r="I48" i="60"/>
  <c r="Z48" i="27" s="1"/>
  <c r="J47" i="60"/>
  <c r="AA47" i="27" s="1"/>
  <c r="AH47" i="27" s="1"/>
  <c r="G8" i="65"/>
  <c r="F8" i="65"/>
  <c r="V47" i="27"/>
  <c r="J46" i="60"/>
  <c r="AA46" i="27" s="1"/>
  <c r="AH46" i="27" s="1"/>
  <c r="E8" i="65"/>
  <c r="J48" i="60"/>
  <c r="AA48" i="27" s="1"/>
  <c r="AH48" i="27" s="1"/>
  <c r="J45" i="60"/>
  <c r="AA45" i="27" s="1"/>
  <c r="AH45" i="27" s="1"/>
  <c r="N46" i="60"/>
  <c r="AF46" i="27" s="1"/>
  <c r="S33" i="27"/>
  <c r="N44" i="62"/>
  <c r="N48" i="62" s="1"/>
  <c r="AF34" i="27" s="1"/>
  <c r="C6" i="65"/>
  <c r="K47" i="62"/>
  <c r="AC33" i="27" s="1"/>
  <c r="AF30" i="27" s="1"/>
  <c r="S11" i="58"/>
  <c r="W33" i="27"/>
  <c r="G6" i="65"/>
  <c r="N45" i="60"/>
  <c r="AF45" i="27" s="1"/>
  <c r="J48" i="62"/>
  <c r="AA34" i="27" s="1"/>
  <c r="AH34" i="27" s="1"/>
  <c r="U34" i="27"/>
  <c r="V33" i="27"/>
  <c r="F6" i="65"/>
  <c r="X33" i="27"/>
  <c r="H6" i="65"/>
  <c r="I47" i="62"/>
  <c r="Y33" i="27"/>
  <c r="I6" i="65"/>
  <c r="U31" i="27"/>
  <c r="J45" i="62"/>
  <c r="AA31" i="27" s="1"/>
  <c r="AH31" i="27" s="1"/>
  <c r="S32" i="27"/>
  <c r="K46" i="62"/>
  <c r="AC32" i="27" s="1"/>
  <c r="AE30" i="27" s="1"/>
  <c r="M44" i="62"/>
  <c r="M48" i="62" s="1"/>
  <c r="AE34" i="27" s="1"/>
  <c r="X32" i="27"/>
  <c r="I46" i="62"/>
  <c r="Z32" i="27" s="1"/>
  <c r="S10" i="58"/>
  <c r="S34" i="27"/>
  <c r="K48" i="62"/>
  <c r="AC34" i="27" s="1"/>
  <c r="AG30" i="27" s="1"/>
  <c r="O44" i="62"/>
  <c r="O46" i="62" s="1"/>
  <c r="AG32" i="27" s="1"/>
  <c r="S31" i="27"/>
  <c r="L44" i="62"/>
  <c r="L46" i="62" s="1"/>
  <c r="AD32" i="27" s="1"/>
  <c r="K45" i="62"/>
  <c r="AC31" i="27" s="1"/>
  <c r="AD30" i="27" s="1"/>
  <c r="I45" i="62"/>
  <c r="Z31" i="27" s="1"/>
  <c r="X31" i="27"/>
  <c r="S13" i="58"/>
  <c r="I48" i="62"/>
  <c r="Z34" i="27" s="1"/>
  <c r="X34" i="27"/>
  <c r="U32" i="27"/>
  <c r="J46" i="62"/>
  <c r="AA32" i="27" s="1"/>
  <c r="AH32" i="27" s="1"/>
  <c r="J47" i="62"/>
  <c r="E6" i="65"/>
  <c r="U33" i="27"/>
  <c r="Y105" i="2"/>
  <c r="AG105" i="2"/>
  <c r="S67" i="27" l="1"/>
  <c r="I96" i="27"/>
  <c r="U5" i="58"/>
  <c r="U19" i="58" s="1"/>
  <c r="K45" i="57"/>
  <c r="AC66" i="27" s="1"/>
  <c r="AD65" i="27" s="1"/>
  <c r="AB105" i="2"/>
  <c r="O186" i="26"/>
  <c r="I45" i="57"/>
  <c r="Z66" i="27" s="1"/>
  <c r="X66" i="27"/>
  <c r="S66" i="27"/>
  <c r="L44" i="57"/>
  <c r="L46" i="57" s="1"/>
  <c r="AD67" i="27" s="1"/>
  <c r="U68" i="27"/>
  <c r="M44" i="57"/>
  <c r="M45" i="57" s="1"/>
  <c r="AE66" i="27" s="1"/>
  <c r="K46" i="57"/>
  <c r="AC67" i="27" s="1"/>
  <c r="AE65" i="27" s="1"/>
  <c r="I46" i="57"/>
  <c r="Z67" i="27" s="1"/>
  <c r="J47" i="57"/>
  <c r="AA68" i="27" s="1"/>
  <c r="AH68" i="27" s="1"/>
  <c r="F11" i="65"/>
  <c r="W68" i="27"/>
  <c r="Y68" i="27"/>
  <c r="J45" i="57"/>
  <c r="AA66" i="27" s="1"/>
  <c r="AH66" i="27" s="1"/>
  <c r="M45" i="60"/>
  <c r="AE45" i="27" s="1"/>
  <c r="S68" i="27"/>
  <c r="K47" i="57"/>
  <c r="AC68" i="27" s="1"/>
  <c r="AF65" i="27" s="1"/>
  <c r="C11" i="65"/>
  <c r="L11" i="65" s="1"/>
  <c r="J46" i="57"/>
  <c r="AA67" i="27" s="1"/>
  <c r="AH67" i="27" s="1"/>
  <c r="O45" i="60"/>
  <c r="AG45" i="27" s="1"/>
  <c r="M48" i="60"/>
  <c r="AE48" i="27" s="1"/>
  <c r="O46" i="60"/>
  <c r="AG46" i="27" s="1"/>
  <c r="H11" i="65"/>
  <c r="L47" i="60"/>
  <c r="AD47" i="27" s="1"/>
  <c r="I47" i="57"/>
  <c r="J11" i="65" s="1"/>
  <c r="L48" i="60"/>
  <c r="AD48" i="27" s="1"/>
  <c r="J48" i="57"/>
  <c r="AA69" i="27" s="1"/>
  <c r="AH69" i="27" s="1"/>
  <c r="J8" i="65"/>
  <c r="K8" i="65"/>
  <c r="U69" i="27"/>
  <c r="S69" i="27"/>
  <c r="I48" i="57"/>
  <c r="Z69" i="27" s="1"/>
  <c r="O44" i="57"/>
  <c r="O45" i="57" s="1"/>
  <c r="AG66" i="27" s="1"/>
  <c r="M8" i="65"/>
  <c r="N46" i="62"/>
  <c r="AF32" i="27" s="1"/>
  <c r="N45" i="62"/>
  <c r="AF31" i="27" s="1"/>
  <c r="L48" i="62"/>
  <c r="AD34" i="27" s="1"/>
  <c r="X4" i="58"/>
  <c r="W4" i="58"/>
  <c r="U4" i="58"/>
  <c r="M47" i="62"/>
  <c r="AE33" i="27" s="1"/>
  <c r="U6" i="58"/>
  <c r="V6" i="58"/>
  <c r="W6" i="58"/>
  <c r="N48" i="57"/>
  <c r="AF69" i="27" s="1"/>
  <c r="N46" i="57"/>
  <c r="AF67" i="27" s="1"/>
  <c r="X5" i="58"/>
  <c r="L47" i="62"/>
  <c r="AD33" i="27" s="1"/>
  <c r="V5" i="58"/>
  <c r="O47" i="62"/>
  <c r="AG33" i="27" s="1"/>
  <c r="Z33" i="27"/>
  <c r="J6" i="65"/>
  <c r="L6" i="65"/>
  <c r="M6" i="65"/>
  <c r="X3" i="58"/>
  <c r="W3" i="58"/>
  <c r="V3" i="58"/>
  <c r="AA33" i="27"/>
  <c r="AH33" i="27" s="1"/>
  <c r="K6" i="65"/>
  <c r="M45" i="62"/>
  <c r="AE31" i="27" s="1"/>
  <c r="N45" i="57"/>
  <c r="AF66" i="27" s="1"/>
  <c r="O45" i="62"/>
  <c r="AG31" i="27" s="1"/>
  <c r="AJ105" i="2"/>
  <c r="AM105" i="2" s="1"/>
  <c r="AI105" i="2"/>
  <c r="AL105" i="2" s="1"/>
  <c r="AH105" i="2"/>
  <c r="AK105" i="2" s="1"/>
  <c r="U26" i="58" l="1"/>
  <c r="U12" i="58" s="1"/>
  <c r="L48" i="57"/>
  <c r="AD69" i="27" s="1"/>
  <c r="L47" i="57"/>
  <c r="AD68" i="27" s="1"/>
  <c r="M48" i="57"/>
  <c r="AE69" i="27" s="1"/>
  <c r="K11" i="65"/>
  <c r="M47" i="57"/>
  <c r="AE68" i="27" s="1"/>
  <c r="M11" i="65"/>
  <c r="Z68" i="27"/>
  <c r="N8" i="65"/>
  <c r="O47" i="57"/>
  <c r="AG68" i="27" s="1"/>
  <c r="O46" i="57"/>
  <c r="AG67" i="27" s="1"/>
  <c r="Y5" i="58"/>
  <c r="V20" i="58"/>
  <c r="V27" i="58"/>
  <c r="Y6" i="58"/>
  <c r="U20" i="58"/>
  <c r="U27" i="58"/>
  <c r="Y3" i="58"/>
  <c r="V17" i="58"/>
  <c r="V24" i="58"/>
  <c r="W17" i="58"/>
  <c r="W24" i="58"/>
  <c r="Y4" i="58"/>
  <c r="U25" i="58"/>
  <c r="U18" i="58"/>
  <c r="W18" i="58"/>
  <c r="W25" i="58"/>
  <c r="X25" i="58"/>
  <c r="X18" i="58"/>
  <c r="V26" i="58"/>
  <c r="V19" i="58"/>
  <c r="N6" i="65"/>
  <c r="X24" i="58"/>
  <c r="X17" i="58"/>
  <c r="W20" i="58"/>
  <c r="W27" i="58"/>
  <c r="X19" i="58"/>
  <c r="X26" i="58"/>
  <c r="N11" i="65" l="1"/>
  <c r="Y19" i="58"/>
  <c r="X10" i="58"/>
  <c r="W11" i="58"/>
  <c r="Y26" i="58"/>
  <c r="W13" i="58"/>
  <c r="V12" i="58"/>
  <c r="Y18" i="58"/>
  <c r="U11" i="58"/>
  <c r="X11" i="58"/>
  <c r="Y25" i="58"/>
  <c r="Y20" i="58"/>
  <c r="U13" i="58"/>
  <c r="X12" i="58"/>
  <c r="W10" i="58"/>
  <c r="Y24" i="58"/>
  <c r="Y17" i="58"/>
  <c r="V10" i="58"/>
  <c r="Y27" i="58"/>
  <c r="V13" i="58"/>
  <c r="P106" i="2"/>
  <c r="R106" i="2" s="1"/>
  <c r="K50" i="1"/>
  <c r="Y12" i="58" l="1"/>
  <c r="Y10" i="58"/>
  <c r="Y13" i="58"/>
  <c r="Y11" i="58"/>
  <c r="W106" i="2"/>
  <c r="V106" i="2"/>
  <c r="T106" i="2"/>
  <c r="Z11" i="58" l="1"/>
  <c r="J31" i="58" s="1"/>
  <c r="M31" i="58" s="1"/>
  <c r="Z13" i="58"/>
  <c r="J33" i="58" s="1"/>
  <c r="M33" i="58" s="1"/>
  <c r="Z10" i="58"/>
  <c r="J30" i="58" s="1"/>
  <c r="M30" i="58" s="1"/>
  <c r="Z12" i="58"/>
  <c r="J32" i="58" s="1"/>
  <c r="M32" i="58" s="1"/>
  <c r="L50" i="1"/>
  <c r="AN106" i="2"/>
  <c r="X106" i="2" s="1"/>
  <c r="N195" i="26" s="1"/>
  <c r="N32" i="58" l="1"/>
  <c r="A32" i="58" s="1"/>
  <c r="N30" i="58"/>
  <c r="A30" i="58" s="1"/>
  <c r="N33" i="58"/>
  <c r="A33" i="58" s="1"/>
  <c r="N31" i="58"/>
  <c r="A31" i="58" s="1"/>
  <c r="AA106" i="2"/>
  <c r="Z106" i="2"/>
  <c r="P195" i="26" s="1"/>
  <c r="G46" i="58" l="1"/>
  <c r="H47" i="58"/>
  <c r="B46" i="58"/>
  <c r="I126" i="27" s="1"/>
  <c r="G47" i="58"/>
  <c r="G48" i="58"/>
  <c r="H45" i="58"/>
  <c r="Y59" i="27" s="1"/>
  <c r="B47" i="58"/>
  <c r="G45" i="58"/>
  <c r="H48" i="58"/>
  <c r="Y62" i="27" s="1"/>
  <c r="B45" i="58"/>
  <c r="E114" i="27" s="1"/>
  <c r="H46" i="58"/>
  <c r="Y60" i="27" s="1"/>
  <c r="B48" i="58"/>
  <c r="D45" i="58"/>
  <c r="E46" i="58"/>
  <c r="V60" i="27" s="1"/>
  <c r="F47" i="58"/>
  <c r="F45" i="58"/>
  <c r="W59" i="27" s="1"/>
  <c r="F46" i="58"/>
  <c r="W60" i="27" s="1"/>
  <c r="D46" i="58"/>
  <c r="F48" i="58"/>
  <c r="W62" i="27" s="1"/>
  <c r="D47" i="58"/>
  <c r="E47" i="58"/>
  <c r="E48" i="58"/>
  <c r="V62" i="27" s="1"/>
  <c r="E45" i="58"/>
  <c r="V59" i="27" s="1"/>
  <c r="D48" i="58"/>
  <c r="AC106" i="2"/>
  <c r="Y106" i="2"/>
  <c r="O195" i="26" s="1"/>
  <c r="U59" i="27" l="1"/>
  <c r="J45" i="58"/>
  <c r="AA59" i="27" s="1"/>
  <c r="AH59" i="27" s="1"/>
  <c r="J47" i="58"/>
  <c r="U61" i="27"/>
  <c r="E10" i="65"/>
  <c r="S62" i="27"/>
  <c r="K48" i="58"/>
  <c r="AC62" i="27" s="1"/>
  <c r="AG58" i="27" s="1"/>
  <c r="O44" i="58"/>
  <c r="O47" i="58" s="1"/>
  <c r="AG61" i="27" s="1"/>
  <c r="X62" i="27"/>
  <c r="I48" i="58"/>
  <c r="Z62" i="27" s="1"/>
  <c r="U62" i="27"/>
  <c r="J48" i="58"/>
  <c r="AA62" i="27" s="1"/>
  <c r="AH62" i="27" s="1"/>
  <c r="S60" i="27"/>
  <c r="M44" i="58"/>
  <c r="M48" i="58" s="1"/>
  <c r="AE62" i="27" s="1"/>
  <c r="K46" i="58"/>
  <c r="AC60" i="27" s="1"/>
  <c r="AE58" i="27" s="1"/>
  <c r="U60" i="27"/>
  <c r="J46" i="58"/>
  <c r="AA60" i="27" s="1"/>
  <c r="AH60" i="27" s="1"/>
  <c r="W61" i="27"/>
  <c r="G10" i="65"/>
  <c r="K47" i="58"/>
  <c r="AC61" i="27" s="1"/>
  <c r="AF58" i="27" s="1"/>
  <c r="S61" i="27"/>
  <c r="N44" i="58"/>
  <c r="N48" i="58" s="1"/>
  <c r="AF62" i="27" s="1"/>
  <c r="C10" i="65"/>
  <c r="Y61" i="27"/>
  <c r="I10" i="65"/>
  <c r="S59" i="27"/>
  <c r="L44" i="58"/>
  <c r="L48" i="58" s="1"/>
  <c r="AD62" i="27" s="1"/>
  <c r="K45" i="58"/>
  <c r="AC59" i="27" s="1"/>
  <c r="AD58" i="27" s="1"/>
  <c r="X59" i="27"/>
  <c r="I45" i="58"/>
  <c r="Z59" i="27" s="1"/>
  <c r="X61" i="27"/>
  <c r="I47" i="58"/>
  <c r="H10" i="65"/>
  <c r="V61" i="27"/>
  <c r="F10" i="65"/>
  <c r="X60" i="27"/>
  <c r="I46" i="58"/>
  <c r="Z60" i="27" s="1"/>
  <c r="AB106" i="2"/>
  <c r="AG106" i="2"/>
  <c r="AG107" i="2" s="1"/>
  <c r="AG108" i="2" s="1"/>
  <c r="AI106" i="2"/>
  <c r="AJ106" i="2"/>
  <c r="AH106" i="2"/>
  <c r="L46" i="58" l="1"/>
  <c r="AD60" i="27" s="1"/>
  <c r="O46" i="58"/>
  <c r="AG60" i="27" s="1"/>
  <c r="O45" i="58"/>
  <c r="AG59" i="27" s="1"/>
  <c r="N46" i="58"/>
  <c r="AF60" i="27" s="1"/>
  <c r="N45" i="58"/>
  <c r="AF59" i="27" s="1"/>
  <c r="M45" i="58"/>
  <c r="AE59" i="27" s="1"/>
  <c r="Z61" i="27"/>
  <c r="J10" i="65"/>
  <c r="L47" i="58"/>
  <c r="AD61" i="27" s="1"/>
  <c r="M10" i="65"/>
  <c r="L10" i="65"/>
  <c r="M47" i="58"/>
  <c r="AE61" i="27" s="1"/>
  <c r="K10" i="65"/>
  <c r="AA61" i="27"/>
  <c r="AH61" i="27" s="1"/>
  <c r="AH107" i="2"/>
  <c r="AK106" i="2"/>
  <c r="AL106" i="2"/>
  <c r="AI107" i="2"/>
  <c r="AM106" i="2"/>
  <c r="AJ107" i="2"/>
  <c r="D7" i="5" l="1"/>
  <c r="N10" i="65"/>
  <c r="AJ108" i="2"/>
  <c r="AI108" i="2"/>
  <c r="AH108" i="2"/>
  <c r="M30" i="53"/>
  <c r="N30" i="53" s="1"/>
  <c r="A30" i="53" s="1"/>
  <c r="N32" i="53" l="1"/>
  <c r="A32" i="53" s="1"/>
  <c r="N31" i="53"/>
  <c r="A31" i="53" s="1"/>
  <c r="N33" i="53"/>
  <c r="A33" i="53" s="1"/>
  <c r="F45" i="53" l="1"/>
  <c r="W10" i="27" s="1"/>
  <c r="G46" i="53"/>
  <c r="X11" i="27" s="1"/>
  <c r="B46" i="53"/>
  <c r="D46" i="53"/>
  <c r="U11" i="27" s="1"/>
  <c r="F46" i="53"/>
  <c r="W11" i="27" s="1"/>
  <c r="H46" i="53"/>
  <c r="Y11" i="27" s="1"/>
  <c r="E46" i="53"/>
  <c r="V11" i="27" s="1"/>
  <c r="H47" i="53"/>
  <c r="B48" i="53"/>
  <c r="G47" i="53"/>
  <c r="E45" i="53"/>
  <c r="V10" i="27" s="1"/>
  <c r="G48" i="53"/>
  <c r="X13" i="27" s="1"/>
  <c r="H45" i="53"/>
  <c r="Y10" i="27" s="1"/>
  <c r="H48" i="53"/>
  <c r="Y13" i="27" s="1"/>
  <c r="D45" i="53"/>
  <c r="U10" i="27" s="1"/>
  <c r="B47" i="53"/>
  <c r="C3" i="65" s="1"/>
  <c r="E47" i="53"/>
  <c r="E48" i="53"/>
  <c r="V13" i="27" s="1"/>
  <c r="D47" i="53"/>
  <c r="D48" i="53"/>
  <c r="U13" i="27" s="1"/>
  <c r="F47" i="53"/>
  <c r="F48" i="53"/>
  <c r="W13" i="27" s="1"/>
  <c r="G45" i="53"/>
  <c r="B45" i="53"/>
  <c r="E102" i="27" l="1"/>
  <c r="E84" i="27"/>
  <c r="B9" i="66" s="1"/>
  <c r="S11" i="27"/>
  <c r="K46" i="53"/>
  <c r="AC11" i="27" s="1"/>
  <c r="AE9" i="27" s="1"/>
  <c r="M44" i="53"/>
  <c r="M48" i="53" s="1"/>
  <c r="AE13" i="27" s="1"/>
  <c r="I47" i="53"/>
  <c r="Z12" i="27" s="1"/>
  <c r="Y12" i="27"/>
  <c r="I3" i="65"/>
  <c r="U12" i="27"/>
  <c r="E3" i="65"/>
  <c r="V12" i="27"/>
  <c r="F3" i="65"/>
  <c r="M3" i="65"/>
  <c r="L3" i="65"/>
  <c r="X12" i="27"/>
  <c r="H3" i="65"/>
  <c r="W12" i="27"/>
  <c r="G3" i="65"/>
  <c r="I46" i="53"/>
  <c r="Z11" i="27" s="1"/>
  <c r="K47" i="53"/>
  <c r="AC12" i="27" s="1"/>
  <c r="AF9" i="27" s="1"/>
  <c r="S12" i="27"/>
  <c r="K48" i="53"/>
  <c r="AC13" i="27" s="1"/>
  <c r="AG9" i="27" s="1"/>
  <c r="S13" i="27"/>
  <c r="L44" i="53"/>
  <c r="L48" i="53" s="1"/>
  <c r="AD13" i="27" s="1"/>
  <c r="S10" i="27"/>
  <c r="I45" i="53"/>
  <c r="Z10" i="27" s="1"/>
  <c r="X10" i="27"/>
  <c r="J45" i="53"/>
  <c r="AA10" i="27" s="1"/>
  <c r="AH10" i="27" s="1"/>
  <c r="I48" i="53"/>
  <c r="Z13" i="27" s="1"/>
  <c r="O44" i="53"/>
  <c r="O45" i="53" s="1"/>
  <c r="AG10" i="27" s="1"/>
  <c r="N44" i="53"/>
  <c r="N45" i="53" s="1"/>
  <c r="AF10" i="27" s="1"/>
  <c r="K45" i="53"/>
  <c r="AC10" i="27" s="1"/>
  <c r="AD9" i="27" s="1"/>
  <c r="J47" i="53"/>
  <c r="J48" i="53"/>
  <c r="AA13" i="27" s="1"/>
  <c r="AH13" i="27" s="1"/>
  <c r="J46" i="53"/>
  <c r="AA11" i="27" s="1"/>
  <c r="AH11" i="27" s="1"/>
  <c r="M45" i="53" l="1"/>
  <c r="AE10" i="27" s="1"/>
  <c r="M47" i="53"/>
  <c r="AE12" i="27" s="1"/>
  <c r="D75" i="31"/>
  <c r="J3" i="65"/>
  <c r="L47" i="53"/>
  <c r="AD12" i="27" s="1"/>
  <c r="L46" i="53"/>
  <c r="AD11" i="27" s="1"/>
  <c r="AA12" i="27"/>
  <c r="AH12" i="27" s="1"/>
  <c r="K3" i="65"/>
  <c r="N48" i="53"/>
  <c r="AF13" i="27" s="1"/>
  <c r="O47" i="53"/>
  <c r="AG12" i="27" s="1"/>
  <c r="O46" i="53"/>
  <c r="AG11" i="27" s="1"/>
  <c r="N46" i="53"/>
  <c r="AF11" i="27" s="1"/>
  <c r="C75" i="31" l="1"/>
  <c r="F75" i="31"/>
  <c r="Q75" i="31" s="1"/>
  <c r="B75" i="31"/>
  <c r="N3" i="65"/>
  <c r="O14" i="65" s="1"/>
  <c r="A14" i="65" s="1"/>
  <c r="O9" i="65" l="1"/>
  <c r="A9" i="65" s="1"/>
  <c r="O7" i="65"/>
  <c r="A7" i="65" s="1"/>
  <c r="O12" i="65"/>
  <c r="A12" i="65" s="1"/>
  <c r="P75" i="31"/>
  <c r="R75" i="31" s="1"/>
  <c r="S75" i="31" s="1"/>
  <c r="W75" i="31" s="1"/>
  <c r="T75" i="31" s="1"/>
  <c r="N84" i="27" s="1"/>
  <c r="O6" i="65"/>
  <c r="A6" i="65" s="1"/>
  <c r="O11" i="65"/>
  <c r="A11" i="65" s="1"/>
  <c r="O8" i="65"/>
  <c r="A8" i="65" s="1"/>
  <c r="O4" i="65"/>
  <c r="A4" i="65" s="1"/>
  <c r="O5" i="65"/>
  <c r="A5" i="65" s="1"/>
  <c r="O3" i="65"/>
  <c r="A3" i="65" s="1"/>
  <c r="O13" i="65"/>
  <c r="A13" i="65" s="1"/>
  <c r="O10" i="65"/>
  <c r="A10" i="65" s="1"/>
  <c r="V75" i="31" l="1"/>
  <c r="U75" i="31" s="1"/>
  <c r="AE75" i="31"/>
  <c r="Z75" i="31"/>
  <c r="AA75" i="31" s="1"/>
  <c r="AB75" i="31" s="1"/>
  <c r="W99" i="27"/>
  <c r="U97" i="27"/>
  <c r="U100" i="27"/>
  <c r="AA95" i="27"/>
  <c r="T95" i="27"/>
  <c r="Y101" i="27"/>
  <c r="V97" i="27"/>
  <c r="AA103" i="27"/>
  <c r="Z101" i="27"/>
  <c r="Y105" i="27"/>
  <c r="Z105" i="27"/>
  <c r="S104" i="27"/>
  <c r="AC104" i="27" s="1"/>
  <c r="AF104" i="27" s="1"/>
  <c r="B21" i="65"/>
  <c r="C21" i="65" s="1"/>
  <c r="Z95" i="27"/>
  <c r="B23" i="65"/>
  <c r="C23" i="65" s="1"/>
  <c r="S100" i="27"/>
  <c r="AC100" i="27" s="1"/>
  <c r="AE100" i="27" s="1"/>
  <c r="V100" i="27"/>
  <c r="V98" i="27"/>
  <c r="Z97" i="27"/>
  <c r="U102" i="27"/>
  <c r="Y95" i="27"/>
  <c r="S96" i="27"/>
  <c r="AC96" i="27" s="1"/>
  <c r="AE96" i="27" s="1"/>
  <c r="AA104" i="27"/>
  <c r="S94" i="27"/>
  <c r="AC94" i="27" s="1"/>
  <c r="AD94" i="27" s="1"/>
  <c r="W96" i="27"/>
  <c r="AA102" i="27"/>
  <c r="AA100" i="27"/>
  <c r="V105" i="27"/>
  <c r="X99" i="27"/>
  <c r="U95" i="27"/>
  <c r="T104" i="27"/>
  <c r="S98" i="27"/>
  <c r="AC98" i="27" s="1"/>
  <c r="AF98" i="27" s="1"/>
  <c r="X97" i="27"/>
  <c r="X96" i="27"/>
  <c r="Y100" i="27"/>
  <c r="T94" i="27"/>
  <c r="X102" i="27"/>
  <c r="U94" i="27"/>
  <c r="Z99" i="27"/>
  <c r="S102" i="27"/>
  <c r="AC102" i="27" s="1"/>
  <c r="AF102" i="27" s="1"/>
  <c r="Y97" i="27"/>
  <c r="AA99" i="27"/>
  <c r="U103" i="27"/>
  <c r="W104" i="27"/>
  <c r="V102" i="27"/>
  <c r="W105" i="27"/>
  <c r="Z104" i="27"/>
  <c r="B26" i="65"/>
  <c r="C26" i="65" s="1"/>
  <c r="U98" i="27"/>
  <c r="W94" i="27"/>
  <c r="B22" i="65"/>
  <c r="C22" i="65" s="1"/>
  <c r="W100" i="27"/>
  <c r="X105" i="27"/>
  <c r="B25" i="65"/>
  <c r="C25" i="65" s="1"/>
  <c r="Y102" i="27"/>
  <c r="X94" i="27"/>
  <c r="Y96" i="27"/>
  <c r="S103" i="27"/>
  <c r="AC103" i="27" s="1"/>
  <c r="AD103" i="27" s="1"/>
  <c r="T96" i="27"/>
  <c r="X100" i="27"/>
  <c r="Z96" i="27"/>
  <c r="V95" i="27"/>
  <c r="U104" i="27"/>
  <c r="U96" i="27"/>
  <c r="Y94" i="27"/>
  <c r="W95" i="27"/>
  <c r="W98" i="27"/>
  <c r="AA96" i="27"/>
  <c r="T105" i="27"/>
  <c r="U101" i="27"/>
  <c r="Z100" i="27"/>
  <c r="T99" i="27"/>
  <c r="W97" i="27"/>
  <c r="V101" i="27"/>
  <c r="X95" i="27"/>
  <c r="AA97" i="27"/>
  <c r="T100" i="27"/>
  <c r="Y99" i="27"/>
  <c r="X104" i="27"/>
  <c r="U105" i="27"/>
  <c r="X103" i="27"/>
  <c r="AA101" i="27"/>
  <c r="B20" i="65"/>
  <c r="C20" i="65" s="1"/>
  <c r="S95" i="27"/>
  <c r="AC95" i="27" s="1"/>
  <c r="AE95" i="27" s="1"/>
  <c r="V94" i="27"/>
  <c r="Z94" i="27"/>
  <c r="S97" i="27"/>
  <c r="AC97" i="27" s="1"/>
  <c r="AF97" i="27" s="1"/>
  <c r="B24" i="65"/>
  <c r="C24" i="65" s="1"/>
  <c r="T102" i="27"/>
  <c r="Z102" i="27"/>
  <c r="Z98" i="27"/>
  <c r="U99" i="27"/>
  <c r="B19" i="65"/>
  <c r="C19" i="65" s="1"/>
  <c r="W102" i="27"/>
  <c r="S101" i="27"/>
  <c r="AC101" i="27" s="1"/>
  <c r="AD101" i="27" s="1"/>
  <c r="W101" i="27"/>
  <c r="Y103" i="27"/>
  <c r="AA105" i="27"/>
  <c r="AA98" i="27"/>
  <c r="T98" i="27"/>
  <c r="Y104" i="27"/>
  <c r="V96" i="27"/>
  <c r="T101" i="27"/>
  <c r="AA94" i="27"/>
  <c r="X98" i="27"/>
  <c r="V103" i="27"/>
  <c r="T97" i="27"/>
  <c r="S99" i="27"/>
  <c r="AC99" i="27" s="1"/>
  <c r="AE99" i="27" s="1"/>
  <c r="V99" i="27"/>
  <c r="V104" i="27"/>
  <c r="Y98" i="27"/>
  <c r="X101" i="27"/>
  <c r="W103" i="27"/>
  <c r="Z103" i="27"/>
  <c r="S105" i="27"/>
  <c r="AC105" i="27" s="1"/>
  <c r="AF105" i="27" s="1"/>
  <c r="T103" i="27"/>
  <c r="AF75" i="31" l="1"/>
  <c r="O84" i="27"/>
  <c r="P84" i="27"/>
  <c r="AD104" i="27"/>
  <c r="AE104" i="27"/>
  <c r="AD96" i="27"/>
  <c r="AD100" i="27"/>
  <c r="AF100" i="27"/>
  <c r="AF96" i="27"/>
  <c r="AE103" i="27"/>
  <c r="AF103" i="27"/>
  <c r="AE98" i="27"/>
  <c r="AE94" i="27"/>
  <c r="AF94" i="27"/>
  <c r="AD98" i="27"/>
  <c r="AD102" i="27"/>
  <c r="AE102" i="27"/>
  <c r="D23" i="65"/>
  <c r="AF95" i="27"/>
  <c r="AD95" i="27"/>
  <c r="AE97" i="27"/>
  <c r="AD97" i="27"/>
  <c r="D22" i="65"/>
  <c r="D26" i="65"/>
  <c r="AE101" i="27"/>
  <c r="AF101" i="27"/>
  <c r="D20" i="65"/>
  <c r="D21" i="65"/>
  <c r="D24" i="65"/>
  <c r="D25" i="65"/>
  <c r="D19" i="65"/>
  <c r="AF99" i="27"/>
  <c r="AD99" i="27"/>
  <c r="AD105" i="27"/>
  <c r="AE105" i="27"/>
  <c r="J75" i="31"/>
  <c r="H75" i="31"/>
  <c r="AC75" i="31"/>
  <c r="E23" i="65" l="1"/>
  <c r="E21" i="65"/>
  <c r="E24" i="65"/>
  <c r="E25" i="65"/>
  <c r="E22" i="65"/>
  <c r="E19" i="65"/>
  <c r="E26" i="65"/>
  <c r="E20" i="65"/>
  <c r="F84" i="27"/>
  <c r="C9" i="66" s="1"/>
  <c r="I75" i="31"/>
  <c r="K75" i="31"/>
  <c r="E18" i="65" l="1"/>
  <c r="G23" i="65" s="1"/>
  <c r="H23" i="65" s="1"/>
  <c r="I108" i="27" s="1"/>
  <c r="H84" i="27"/>
  <c r="E85" i="27" l="1"/>
  <c r="H85" i="27" s="1"/>
  <c r="C10" i="66"/>
  <c r="G24" i="65"/>
  <c r="H24" i="65" s="1"/>
  <c r="I99" i="27" s="1"/>
  <c r="G21" i="65"/>
  <c r="H21" i="65" s="1"/>
  <c r="I111" i="27" s="1"/>
  <c r="G20" i="65"/>
  <c r="H20" i="65" s="1"/>
  <c r="I120" i="27" s="1"/>
  <c r="G25" i="65"/>
  <c r="H25" i="65" s="1"/>
  <c r="I129" i="27" s="1"/>
  <c r="G22" i="65"/>
  <c r="H22" i="65" s="1"/>
  <c r="I90" i="27" s="1"/>
  <c r="G19" i="65"/>
  <c r="H19" i="65" s="1"/>
  <c r="I102" i="27" s="1"/>
  <c r="G26" i="65"/>
  <c r="H26" i="65" s="1"/>
  <c r="I105" i="27" s="1"/>
  <c r="D85" i="27" l="1"/>
  <c r="G85" i="27"/>
  <c r="F85" i="27"/>
  <c r="E86" i="27" s="1"/>
  <c r="F86" i="27" l="1"/>
  <c r="H86" i="27"/>
  <c r="G86" i="27"/>
  <c r="D86" i="27"/>
  <c r="B28" i="66" l="1"/>
  <c r="B26" i="66"/>
  <c r="B27" i="66"/>
  <c r="L84" i="27"/>
  <c r="E135" i="27" s="1"/>
  <c r="D76" i="31"/>
  <c r="G76" i="31"/>
  <c r="F76" i="31" l="1"/>
  <c r="C76" i="31"/>
  <c r="B76" i="31"/>
  <c r="E76" i="31"/>
  <c r="P76" i="31" l="1"/>
  <c r="Q76" i="31"/>
  <c r="R76" i="31" l="1"/>
  <c r="S76" i="31" s="1"/>
  <c r="W76" i="31" s="1"/>
  <c r="T76" i="31" s="1"/>
  <c r="N87" i="27" s="1"/>
  <c r="V76" i="31" l="1"/>
  <c r="AE76" i="31"/>
  <c r="U76" i="31" l="1"/>
  <c r="P87" i="27"/>
  <c r="Z76" i="31"/>
  <c r="AA76" i="31" s="1"/>
  <c r="AC76" i="31" s="1"/>
  <c r="I76" i="31" s="1"/>
  <c r="H87" i="27" s="1"/>
  <c r="C28" i="66" s="1"/>
  <c r="AF76" i="31" l="1"/>
  <c r="K76" i="31" s="1"/>
  <c r="O87" i="27"/>
  <c r="AB76" i="31"/>
  <c r="H76" i="31" s="1"/>
  <c r="F87" i="27" s="1"/>
  <c r="C27" i="66" s="1"/>
  <c r="E88" i="27" l="1"/>
  <c r="H88" i="27" s="1"/>
  <c r="J76" i="31"/>
  <c r="N38" i="31"/>
  <c r="O38" i="31"/>
  <c r="O37" i="31"/>
  <c r="N37" i="31"/>
  <c r="N31" i="31"/>
  <c r="O31" i="31"/>
  <c r="O50" i="31"/>
  <c r="N50" i="31"/>
  <c r="N29" i="31"/>
  <c r="O29" i="31"/>
  <c r="N28" i="31"/>
  <c r="O28" i="31"/>
  <c r="O27" i="31"/>
  <c r="N27" i="31"/>
  <c r="O65" i="31"/>
  <c r="N65" i="31"/>
  <c r="O41" i="31"/>
  <c r="N41" i="31"/>
  <c r="N43" i="31"/>
  <c r="O43" i="31"/>
  <c r="N56" i="31"/>
  <c r="O56" i="31"/>
  <c r="O22" i="31"/>
  <c r="N22" i="31"/>
  <c r="N21" i="31"/>
  <c r="O21" i="31"/>
  <c r="O40" i="31"/>
  <c r="N40" i="31"/>
  <c r="O19" i="31"/>
  <c r="N19" i="31"/>
  <c r="O18" i="31"/>
  <c r="N18" i="31"/>
  <c r="N17" i="31"/>
  <c r="O17" i="31"/>
  <c r="N42" i="31"/>
  <c r="O42" i="31"/>
  <c r="O23" i="31"/>
  <c r="N23" i="31"/>
  <c r="N35" i="31"/>
  <c r="O35" i="31"/>
  <c r="O32" i="31"/>
  <c r="N32" i="31"/>
  <c r="O46" i="31"/>
  <c r="N46" i="31"/>
  <c r="N13" i="31"/>
  <c r="O13" i="31"/>
  <c r="O12" i="31"/>
  <c r="N12" i="31"/>
  <c r="N11" i="31"/>
  <c r="O11" i="31"/>
  <c r="O30" i="31"/>
  <c r="N30" i="31"/>
  <c r="O9" i="31"/>
  <c r="N9" i="31"/>
  <c r="O8" i="31"/>
  <c r="N8" i="31"/>
  <c r="O7" i="31"/>
  <c r="N7" i="31"/>
  <c r="O74" i="31"/>
  <c r="N74" i="31"/>
  <c r="N14" i="31"/>
  <c r="O14" i="31"/>
  <c r="O25" i="31"/>
  <c r="N25" i="31"/>
  <c r="O73" i="31"/>
  <c r="N73" i="31"/>
  <c r="O72" i="31"/>
  <c r="N72" i="31"/>
  <c r="O71" i="31"/>
  <c r="N71" i="31"/>
  <c r="N69" i="31"/>
  <c r="O69" i="31"/>
  <c r="O68" i="31"/>
  <c r="N68" i="31"/>
  <c r="N67" i="31"/>
  <c r="O67" i="31"/>
  <c r="N39" i="31"/>
  <c r="O39" i="31"/>
  <c r="O33" i="31"/>
  <c r="N33" i="31"/>
  <c r="O36" i="31"/>
  <c r="N36" i="31"/>
  <c r="N20" i="31"/>
  <c r="O20" i="31"/>
  <c r="N60" i="31"/>
  <c r="O60" i="31"/>
  <c r="O54" i="31"/>
  <c r="N54" i="31"/>
  <c r="O44" i="31"/>
  <c r="N44" i="31"/>
  <c r="N34" i="31"/>
  <c r="O34" i="31"/>
  <c r="N55" i="31"/>
  <c r="O55" i="31"/>
  <c r="N4" i="31"/>
  <c r="O4" i="31"/>
  <c r="N15" i="31"/>
  <c r="O15" i="31"/>
  <c r="O63" i="31"/>
  <c r="N63" i="31"/>
  <c r="N62" i="31"/>
  <c r="O62" i="31"/>
  <c r="O61" i="31"/>
  <c r="N61" i="31"/>
  <c r="N59" i="31"/>
  <c r="O59" i="31"/>
  <c r="O58" i="31"/>
  <c r="N58" i="31"/>
  <c r="O57" i="31"/>
  <c r="N57" i="31"/>
  <c r="N3" i="31"/>
  <c r="O3" i="31"/>
  <c r="N6" i="31"/>
  <c r="O6" i="31"/>
  <c r="N45" i="31"/>
  <c r="O45" i="31"/>
  <c r="O26" i="31"/>
  <c r="N26" i="31"/>
  <c r="O10" i="31"/>
  <c r="N10" i="31"/>
  <c r="N76" i="31"/>
  <c r="O76" i="31"/>
  <c r="N66" i="31"/>
  <c r="O66" i="31"/>
  <c r="N24" i="31"/>
  <c r="O24" i="31"/>
  <c r="N16" i="31"/>
  <c r="O16" i="31"/>
  <c r="N64" i="31"/>
  <c r="O64" i="31"/>
  <c r="O75" i="31"/>
  <c r="N75" i="31"/>
  <c r="N5" i="31"/>
  <c r="O5" i="31"/>
  <c r="O53" i="31"/>
  <c r="N53" i="31"/>
  <c r="O52" i="31"/>
  <c r="N52" i="31"/>
  <c r="O51" i="31"/>
  <c r="N51" i="31"/>
  <c r="N70" i="31"/>
  <c r="O70" i="31"/>
  <c r="N49" i="31"/>
  <c r="O49" i="31"/>
  <c r="N48" i="31"/>
  <c r="O48" i="31"/>
  <c r="N47" i="31"/>
  <c r="O47" i="31"/>
  <c r="F88" i="27" l="1"/>
  <c r="E89" i="27" s="1"/>
  <c r="H89" i="27" s="1"/>
  <c r="D88" i="27"/>
  <c r="G88" i="27"/>
  <c r="F89" i="27" l="1"/>
  <c r="L87" i="27" s="1"/>
  <c r="E141" i="27" s="1"/>
  <c r="D89" i="27"/>
  <c r="B2" i="66" s="1"/>
  <c r="G89" i="27"/>
  <c r="G77" i="31" l="1"/>
  <c r="E77" i="31" s="1"/>
  <c r="B4" i="66"/>
  <c r="D77" i="31"/>
  <c r="C77" i="31" s="1"/>
  <c r="B77" i="31" l="1"/>
  <c r="P77" i="31" s="1"/>
  <c r="F77" i="31"/>
  <c r="Q77" i="31" s="1"/>
  <c r="R77" i="31" l="1"/>
  <c r="S77" i="31" s="1"/>
  <c r="W77" i="31" s="1"/>
  <c r="T77" i="31" s="1"/>
  <c r="V77" i="31" l="1"/>
  <c r="N90" i="27"/>
  <c r="AE77" i="31"/>
  <c r="U77" i="31" l="1"/>
  <c r="P90" i="27"/>
  <c r="AF77" i="31" l="1"/>
  <c r="O90" i="27"/>
  <c r="Z77" i="31"/>
  <c r="AA77" i="31" l="1"/>
  <c r="AB77" i="31" s="1"/>
  <c r="AC77" i="31" l="1"/>
  <c r="I77" i="31" s="1"/>
  <c r="H90" i="27" s="1"/>
  <c r="H77" i="31"/>
  <c r="J77" i="31"/>
  <c r="K77" i="31" l="1"/>
  <c r="F90" i="27"/>
  <c r="E91" i="27" s="1"/>
  <c r="N77" i="31"/>
  <c r="O77" i="31"/>
  <c r="H91" i="27" l="1"/>
  <c r="G91" i="27"/>
  <c r="F91" i="27"/>
  <c r="D91" i="27"/>
  <c r="E92" i="27" l="1"/>
  <c r="H92" i="27" s="1"/>
  <c r="F92" i="27" l="1"/>
  <c r="L90" i="27" s="1"/>
  <c r="E138" i="27" s="1"/>
  <c r="D92" i="27"/>
  <c r="G92" i="27"/>
  <c r="D78" i="31" l="1"/>
  <c r="G78" i="31"/>
  <c r="F78" i="31" s="1"/>
  <c r="C78" i="31" l="1"/>
  <c r="B78" i="31"/>
  <c r="E78" i="31"/>
  <c r="Q78" i="31" s="1"/>
  <c r="P78" i="31" l="1"/>
  <c r="R78" i="31" s="1"/>
  <c r="S78" i="31" s="1"/>
  <c r="W78" i="31" s="1"/>
  <c r="T78" i="31" s="1"/>
  <c r="V78" i="31" s="1"/>
  <c r="U78" i="31" l="1"/>
  <c r="Z78" i="31" s="1"/>
  <c r="AA78" i="31" s="1"/>
  <c r="AC78" i="31" s="1"/>
  <c r="P93" i="27"/>
  <c r="AE78" i="31"/>
  <c r="N93" i="27"/>
  <c r="AF78" i="31" l="1"/>
  <c r="O93" i="27"/>
  <c r="AB78" i="31"/>
  <c r="J78" i="31" s="1"/>
  <c r="I78" i="31"/>
  <c r="H93" i="27" s="1"/>
  <c r="K78" i="31"/>
  <c r="H78" i="31" l="1"/>
  <c r="F93" i="27" s="1"/>
  <c r="N78" i="31" l="1"/>
  <c r="O78" i="31"/>
  <c r="E94" i="27"/>
  <c r="H94" i="27" s="1"/>
  <c r="G94" i="27" l="1"/>
  <c r="F94" i="27"/>
  <c r="D94" i="27"/>
  <c r="E95" i="27" l="1"/>
  <c r="H95" i="27" s="1"/>
  <c r="G95" i="27" l="1"/>
  <c r="D95" i="27"/>
  <c r="F95" i="27"/>
  <c r="L93" i="27" s="1"/>
  <c r="I135" i="27" s="1"/>
  <c r="D79" i="31" l="1"/>
  <c r="G79" i="31"/>
  <c r="F79" i="31" l="1"/>
  <c r="C79" i="31"/>
  <c r="E79" i="31"/>
  <c r="B79" i="31"/>
  <c r="P79" i="31" l="1"/>
  <c r="Q79" i="31"/>
  <c r="R79" i="31" l="1"/>
  <c r="S79" i="31" s="1"/>
  <c r="W79" i="31" s="1"/>
  <c r="T79" i="31" s="1"/>
  <c r="N96" i="27" s="1"/>
  <c r="AE79" i="31" l="1"/>
  <c r="V79" i="31"/>
  <c r="U79" i="31" l="1"/>
  <c r="P96" i="27"/>
  <c r="Z79" i="31"/>
  <c r="AF79" i="31" l="1"/>
  <c r="O96" i="27"/>
  <c r="AA79" i="31"/>
  <c r="AC79" i="31" s="1"/>
  <c r="K79" i="31" l="1"/>
  <c r="I79" i="31"/>
  <c r="H96" i="27" s="1"/>
  <c r="AB79" i="31"/>
  <c r="H79" i="31" l="1"/>
  <c r="J79" i="31"/>
  <c r="F96" i="27" l="1"/>
  <c r="E97" i="27" s="1"/>
  <c r="N79" i="31"/>
  <c r="O79" i="31"/>
  <c r="H97" i="27" l="1"/>
  <c r="F97" i="27"/>
  <c r="G97" i="27"/>
  <c r="D97" i="27"/>
  <c r="E98" i="27" l="1"/>
  <c r="H98" i="27" s="1"/>
  <c r="G98" i="27" l="1"/>
  <c r="D98" i="27"/>
  <c r="F98" i="27"/>
  <c r="L96" i="27" s="1"/>
  <c r="I141" i="27" s="1"/>
  <c r="G80" i="31" l="1"/>
  <c r="D80" i="31"/>
  <c r="C80" i="31" s="1"/>
  <c r="F80" i="31" l="1"/>
  <c r="B80" i="31"/>
  <c r="E80" i="31"/>
  <c r="Q80" i="31" l="1"/>
  <c r="P80" i="31"/>
  <c r="R80" i="31" l="1"/>
  <c r="S80" i="31" s="1"/>
  <c r="W80" i="31" s="1"/>
  <c r="T80" i="31" s="1"/>
  <c r="AE80" i="31" l="1"/>
  <c r="N99" i="27"/>
  <c r="V80" i="31"/>
  <c r="U80" i="31" l="1"/>
  <c r="AF80" i="31" s="1"/>
  <c r="P99" i="27"/>
  <c r="Z80" i="31" l="1"/>
  <c r="O99" i="27"/>
  <c r="AA80" i="31" l="1"/>
  <c r="AB80" i="31" s="1"/>
  <c r="AC80" i="31" l="1"/>
  <c r="K80" i="31" s="1"/>
  <c r="H80" i="31"/>
  <c r="J80" i="31"/>
  <c r="I80" i="31" l="1"/>
  <c r="H99" i="27" s="1"/>
  <c r="F99" i="27"/>
  <c r="N80" i="31" l="1"/>
  <c r="E100" i="27"/>
  <c r="D100" i="27" s="1"/>
  <c r="O80" i="31"/>
  <c r="F100" i="27" l="1"/>
  <c r="G100" i="27"/>
  <c r="H100" i="27"/>
  <c r="E101" i="27" l="1"/>
  <c r="H101" i="27" s="1"/>
  <c r="F101" i="27" l="1"/>
  <c r="L99" i="27" s="1"/>
  <c r="I138" i="27" s="1"/>
  <c r="D101" i="27"/>
  <c r="G101" i="27"/>
  <c r="D81" i="31" l="1"/>
  <c r="G81" i="31"/>
  <c r="E81" i="31" l="1"/>
  <c r="F81" i="31"/>
  <c r="C81" i="31"/>
  <c r="B81" i="31"/>
  <c r="P81" i="31" l="1"/>
  <c r="Q81" i="31"/>
  <c r="R81" i="31" l="1"/>
  <c r="S81" i="31" s="1"/>
  <c r="W81" i="31" s="1"/>
  <c r="T81" i="31" s="1"/>
  <c r="N102" i="27" l="1"/>
  <c r="AE81" i="31"/>
  <c r="V81" i="31"/>
  <c r="U81" i="31" l="1"/>
  <c r="P102" i="27"/>
  <c r="Z81" i="31" l="1"/>
  <c r="O102" i="27"/>
  <c r="AF81" i="31"/>
  <c r="AA81" i="31" l="1"/>
  <c r="AC81" i="31" s="1"/>
  <c r="AB81" i="31" l="1"/>
  <c r="J81" i="31" s="1"/>
  <c r="K81" i="31"/>
  <c r="I81" i="31"/>
  <c r="H102" i="27" s="1"/>
  <c r="H81" i="31" l="1"/>
  <c r="N81" i="31" s="1"/>
  <c r="F102" i="27" l="1"/>
  <c r="E103" i="27" s="1"/>
  <c r="G103" i="27" s="1"/>
  <c r="O81" i="31"/>
  <c r="F103" i="27" l="1"/>
  <c r="D103" i="27"/>
  <c r="H103" i="27"/>
  <c r="E104" i="27" l="1"/>
  <c r="D104" i="27" s="1"/>
  <c r="D82" i="31" s="1"/>
  <c r="B82" i="31" s="1"/>
  <c r="G82" i="31" l="1"/>
  <c r="F82" i="31" s="1"/>
  <c r="F104" i="27"/>
  <c r="G104" i="27"/>
  <c r="H104" i="27"/>
  <c r="C82" i="31"/>
  <c r="P82" i="31" s="1"/>
  <c r="E82" i="31" l="1"/>
  <c r="Q82" i="31" s="1"/>
  <c r="R82" i="31" s="1"/>
  <c r="S82" i="31" s="1"/>
  <c r="W82" i="31" s="1"/>
  <c r="T82" i="31" s="1"/>
  <c r="V82" i="31" s="1"/>
  <c r="L102" i="27"/>
  <c r="E144" i="27" s="1"/>
  <c r="N105" i="27" l="1"/>
  <c r="AE82" i="31"/>
  <c r="U82" i="31"/>
  <c r="Z82" i="31" s="1"/>
  <c r="AA82" i="31" s="1"/>
  <c r="AB82" i="31" s="1"/>
  <c r="P105" i="27"/>
  <c r="AF82" i="31" l="1"/>
  <c r="O105" i="27"/>
  <c r="AC82" i="31"/>
  <c r="K82" i="31" s="1"/>
  <c r="J82" i="31"/>
  <c r="H82" i="31"/>
  <c r="I82" i="31" l="1"/>
  <c r="H105" i="27" s="1"/>
  <c r="F105" i="27"/>
  <c r="N82" i="31" l="1"/>
  <c r="E106" i="27"/>
  <c r="D106" i="27" s="1"/>
  <c r="O82" i="31"/>
  <c r="G106" i="27" l="1"/>
  <c r="F106" i="27"/>
  <c r="H106" i="27"/>
  <c r="E107" i="27" l="1"/>
  <c r="H107" i="27" s="1"/>
  <c r="G107" i="27" l="1"/>
  <c r="F107" i="27"/>
  <c r="L105" i="27" s="1"/>
  <c r="I144" i="27" s="1"/>
  <c r="D107" i="27"/>
  <c r="D83" i="31" s="1"/>
  <c r="G83" i="31"/>
  <c r="F83" i="31" l="1"/>
  <c r="E83" i="31"/>
  <c r="C83" i="31"/>
  <c r="B83" i="31"/>
  <c r="P83" i="31" l="1"/>
  <c r="Q83" i="31"/>
  <c r="R83" i="31" l="1"/>
  <c r="S83" i="31" s="1"/>
  <c r="W83" i="31" s="1"/>
  <c r="T83" i="31" s="1"/>
  <c r="N108" i="27" l="1"/>
  <c r="V83" i="31"/>
  <c r="AE83" i="31"/>
  <c r="U83" i="31" l="1"/>
  <c r="Z83" i="31" s="1"/>
  <c r="AA83" i="31" s="1"/>
  <c r="AC83" i="31" s="1"/>
  <c r="P108" i="27"/>
  <c r="AB83" i="31" l="1"/>
  <c r="H83" i="31" s="1"/>
  <c r="O108" i="27"/>
  <c r="AF83" i="31"/>
  <c r="K83" i="31" s="1"/>
  <c r="I83" i="31"/>
  <c r="H108" i="27" s="1"/>
  <c r="J83" i="31" l="1"/>
  <c r="O83" i="31"/>
  <c r="F108" i="27"/>
  <c r="E109" i="27" s="1"/>
  <c r="N83" i="31"/>
  <c r="H109" i="27" l="1"/>
  <c r="D109" i="27"/>
  <c r="F109" i="27"/>
  <c r="G109" i="27"/>
  <c r="E110" i="27" l="1"/>
  <c r="D110" i="27" s="1"/>
  <c r="F110" i="27" l="1"/>
  <c r="H110" i="27"/>
  <c r="G110" i="27"/>
  <c r="G84" i="31"/>
  <c r="F84" i="31" s="1"/>
  <c r="D84" i="31"/>
  <c r="B84" i="31" s="1"/>
  <c r="L108" i="27" l="1"/>
  <c r="I150" i="27" s="1"/>
  <c r="E84" i="31"/>
  <c r="Q84" i="31" s="1"/>
  <c r="C84" i="31"/>
  <c r="P84" i="31" s="1"/>
  <c r="R84" i="31" l="1"/>
  <c r="S84" i="31" s="1"/>
  <c r="W84" i="31" s="1"/>
  <c r="T84" i="31" s="1"/>
  <c r="N111" i="27" s="1"/>
  <c r="AE84" i="31" l="1"/>
  <c r="V84" i="31"/>
  <c r="U84" i="31" s="1"/>
  <c r="P111" i="27"/>
  <c r="AF84" i="31" l="1"/>
  <c r="O111" i="27"/>
  <c r="Z84" i="31"/>
  <c r="AA84" i="31" s="1"/>
  <c r="AC84" i="31" s="1"/>
  <c r="I84" i="31" s="1"/>
  <c r="H111" i="27" s="1"/>
  <c r="AB84" i="31" l="1"/>
  <c r="J84" i="31" s="1"/>
  <c r="K84" i="31"/>
  <c r="H84" i="31" l="1"/>
  <c r="N84" i="31" s="1"/>
  <c r="O84" i="31" l="1"/>
  <c r="F111" i="27"/>
  <c r="E112" i="27" s="1"/>
  <c r="H112" i="27" s="1"/>
  <c r="F112" i="27" l="1"/>
  <c r="E113" i="27" s="1"/>
  <c r="H113" i="27" s="1"/>
  <c r="G112" i="27"/>
  <c r="D112" i="27"/>
  <c r="F113" i="27" l="1"/>
  <c r="L111" i="27" s="1"/>
  <c r="E150" i="27" s="1"/>
  <c r="D113" i="27"/>
  <c r="G113" i="27"/>
  <c r="D85" i="31"/>
  <c r="G85" i="31"/>
  <c r="E85" i="31" l="1"/>
  <c r="F85" i="31"/>
  <c r="C85" i="31"/>
  <c r="B85" i="31"/>
  <c r="P85" i="31" l="1"/>
  <c r="Q85" i="31"/>
  <c r="R85" i="31" l="1"/>
  <c r="S85" i="31" s="1"/>
  <c r="W85" i="31" s="1"/>
  <c r="T85" i="31" s="1"/>
  <c r="N114" i="27" s="1"/>
  <c r="V85" i="31" l="1"/>
  <c r="AE85" i="31"/>
  <c r="U85" i="31" l="1"/>
  <c r="Z85" i="31" s="1"/>
  <c r="AA85" i="31" s="1"/>
  <c r="AC85" i="31" s="1"/>
  <c r="P114" i="27"/>
  <c r="AB85" i="31" l="1"/>
  <c r="J85" i="31" s="1"/>
  <c r="AF85" i="31"/>
  <c r="K85" i="31" s="1"/>
  <c r="O114" i="27"/>
  <c r="I85" i="31"/>
  <c r="H114" i="27" s="1"/>
  <c r="H85" i="31" l="1"/>
  <c r="O85" i="31" s="1"/>
  <c r="F114" i="27" l="1"/>
  <c r="E115" i="27" s="1"/>
  <c r="G115" i="27" s="1"/>
  <c r="N85" i="31"/>
  <c r="F115" i="27" l="1"/>
  <c r="H115" i="27"/>
  <c r="D115" i="27"/>
  <c r="E116" i="27" l="1"/>
  <c r="H116" i="27" s="1"/>
  <c r="G116" i="27" l="1"/>
  <c r="D116" i="27"/>
  <c r="F116" i="27"/>
  <c r="L114" i="27" s="1"/>
  <c r="I147" i="27" s="1"/>
  <c r="G86" i="31"/>
  <c r="D86" i="31"/>
  <c r="C86" i="31" l="1"/>
  <c r="B86" i="31"/>
  <c r="F86" i="31"/>
  <c r="E86" i="31"/>
  <c r="Q86" i="31" l="1"/>
  <c r="P86" i="31"/>
  <c r="R86" i="31" l="1"/>
  <c r="S86" i="31" s="1"/>
  <c r="W86" i="31" s="1"/>
  <c r="T86" i="31" s="1"/>
  <c r="N117" i="27" s="1"/>
  <c r="AE86" i="31" l="1"/>
  <c r="V86" i="31"/>
  <c r="U86" i="31" s="1"/>
  <c r="Z86" i="31" s="1"/>
  <c r="AA86" i="31" s="1"/>
  <c r="AB86" i="31" s="1"/>
  <c r="P117" i="27"/>
  <c r="AC86" i="31" l="1"/>
  <c r="I86" i="31" s="1"/>
  <c r="H117" i="27" s="1"/>
  <c r="AF86" i="31"/>
  <c r="O117" i="27"/>
  <c r="H86" i="31"/>
  <c r="J86" i="31"/>
  <c r="K86" i="31" l="1"/>
  <c r="F117" i="27"/>
  <c r="E118" i="27" s="1"/>
  <c r="N86" i="31"/>
  <c r="O86" i="31"/>
  <c r="H118" i="27" l="1"/>
  <c r="F118" i="27"/>
  <c r="D118" i="27"/>
  <c r="G118" i="27"/>
  <c r="E119" i="27" l="1"/>
  <c r="H119" i="27" s="1"/>
  <c r="F119" i="27" l="1"/>
  <c r="L117" i="27" s="1"/>
  <c r="E147" i="27" s="1"/>
  <c r="G119" i="27"/>
  <c r="D119" i="27"/>
  <c r="G87" i="31" s="1"/>
  <c r="E87" i="31" s="1"/>
  <c r="D87" i="31" l="1"/>
  <c r="C87" i="31" s="1"/>
  <c r="F87" i="31"/>
  <c r="Q87" i="31" s="1"/>
  <c r="B87" i="31" l="1"/>
  <c r="P87" i="31" s="1"/>
  <c r="R87" i="31" s="1"/>
  <c r="S87" i="31" s="1"/>
  <c r="W87" i="31" s="1"/>
  <c r="T87" i="31" s="1"/>
  <c r="N120" i="27" s="1"/>
  <c r="AE87" i="31" l="1"/>
  <c r="V87" i="31"/>
  <c r="U87" i="31" l="1"/>
  <c r="Z87" i="31" s="1"/>
  <c r="AA87" i="31" s="1"/>
  <c r="AC87" i="31" s="1"/>
  <c r="P120" i="27"/>
  <c r="AF87" i="31" l="1"/>
  <c r="O120" i="27"/>
  <c r="AB87" i="31"/>
  <c r="I87" i="31"/>
  <c r="H120" i="27" s="1"/>
  <c r="K87" i="31"/>
  <c r="H87" i="31" l="1"/>
  <c r="J87" i="31"/>
  <c r="F120" i="27" l="1"/>
  <c r="E121" i="27" s="1"/>
  <c r="N87" i="31"/>
  <c r="O87" i="31"/>
  <c r="D121" i="27" l="1"/>
  <c r="G121" i="27"/>
  <c r="F121" i="27"/>
  <c r="H121" i="27"/>
  <c r="E122" i="27" l="1"/>
  <c r="G122" i="27" s="1"/>
  <c r="D122" i="27" l="1"/>
  <c r="H122" i="27"/>
  <c r="F122" i="27"/>
  <c r="L120" i="27" l="1"/>
  <c r="E156" i="27" s="1"/>
  <c r="G88" i="31"/>
  <c r="D88" i="31"/>
  <c r="C88" i="31" l="1"/>
  <c r="B88" i="31"/>
  <c r="E88" i="31"/>
  <c r="F88" i="31"/>
  <c r="Q88" i="31" l="1"/>
  <c r="P88" i="31"/>
  <c r="R88" i="31" l="1"/>
  <c r="S88" i="31" s="1"/>
  <c r="W88" i="31" s="1"/>
  <c r="T88" i="31" s="1"/>
  <c r="AE88" i="31" s="1"/>
  <c r="N123" i="27" l="1"/>
  <c r="V88" i="31"/>
  <c r="U88" i="31" s="1"/>
  <c r="P123" i="27"/>
  <c r="Z88" i="31" l="1"/>
  <c r="O123" i="27"/>
  <c r="AF88" i="31"/>
  <c r="AA88" i="31" l="1"/>
  <c r="AC88" i="31" s="1"/>
  <c r="I88" i="31" s="1"/>
  <c r="H123" i="27" s="1"/>
  <c r="AB88" i="31" l="1"/>
  <c r="K88" i="31"/>
  <c r="J88" i="31" l="1"/>
  <c r="H88" i="31"/>
  <c r="O88" i="31" l="1"/>
  <c r="N88" i="31"/>
  <c r="F123" i="27"/>
  <c r="E124" i="27" l="1"/>
  <c r="F124" i="27" l="1"/>
  <c r="D124" i="27"/>
  <c r="G124" i="27"/>
  <c r="H124" i="27"/>
  <c r="E125" i="27" l="1"/>
  <c r="D125" i="27" s="1"/>
  <c r="D89" i="31" s="1"/>
  <c r="F125" i="27" l="1"/>
  <c r="G125" i="27"/>
  <c r="H125" i="27"/>
  <c r="L123" i="27" s="1"/>
  <c r="I153" i="27" s="1"/>
  <c r="G89" i="31"/>
  <c r="F89" i="31" s="1"/>
  <c r="B89" i="31"/>
  <c r="C89" i="31" l="1"/>
  <c r="P89" i="31" s="1"/>
  <c r="E89" i="31"/>
  <c r="Q89" i="31" s="1"/>
  <c r="R89" i="31" l="1"/>
  <c r="S89" i="31" s="1"/>
  <c r="W89" i="31" s="1"/>
  <c r="T89" i="31" s="1"/>
  <c r="N126" i="27" l="1"/>
  <c r="V89" i="31"/>
  <c r="AE89" i="31"/>
  <c r="U89" i="31" l="1"/>
  <c r="Z89" i="31" s="1"/>
  <c r="AA89" i="31" s="1"/>
  <c r="P126" i="27"/>
  <c r="AC89" i="31" l="1"/>
  <c r="I89" i="31" s="1"/>
  <c r="H126" i="27" s="1"/>
  <c r="AB89" i="31"/>
  <c r="H89" i="31" s="1"/>
  <c r="O126" i="27"/>
  <c r="AF89" i="31"/>
  <c r="K89" i="31" l="1"/>
  <c r="J89" i="31"/>
  <c r="N89" i="31"/>
  <c r="O89" i="31"/>
  <c r="F126" i="27"/>
  <c r="E127" i="27" s="1"/>
  <c r="H127" i="27" l="1"/>
  <c r="G127" i="27"/>
  <c r="F127" i="27"/>
  <c r="D127" i="27"/>
  <c r="E128" i="27" l="1"/>
  <c r="F128" i="27" s="1"/>
  <c r="G128" i="27" l="1"/>
  <c r="H128" i="27"/>
  <c r="L126" i="27" s="1"/>
  <c r="E153" i="27" s="1"/>
  <c r="D128" i="27"/>
  <c r="G90" i="31" s="1"/>
  <c r="E90" i="31" s="1"/>
  <c r="D90" i="31"/>
  <c r="F90" i="31" l="1"/>
  <c r="Q90" i="31" s="1"/>
  <c r="B90" i="31"/>
  <c r="C90" i="31"/>
  <c r="P90" i="31" l="1"/>
  <c r="R90" i="31" s="1"/>
  <c r="S90" i="31" s="1"/>
  <c r="W90" i="31" s="1"/>
  <c r="T90" i="31" s="1"/>
  <c r="N129" i="27" l="1"/>
  <c r="AE90" i="31"/>
  <c r="V90" i="31"/>
  <c r="U90" i="31" l="1"/>
  <c r="P129" i="27"/>
  <c r="O129" i="27" l="1"/>
  <c r="Z90" i="31"/>
  <c r="AF90" i="31"/>
  <c r="AA90" i="31" l="1"/>
  <c r="AB90" i="31" s="1"/>
  <c r="AC90" i="31" l="1"/>
  <c r="H90" i="31"/>
  <c r="J90" i="31"/>
  <c r="F129" i="27" l="1"/>
  <c r="I90" i="31"/>
  <c r="H129" i="27" s="1"/>
  <c r="K90" i="31"/>
  <c r="E130" i="27" l="1"/>
  <c r="O90" i="31"/>
  <c r="N90" i="31"/>
  <c r="F130" i="27" l="1"/>
  <c r="D130" i="27"/>
  <c r="G130" i="27"/>
  <c r="H130" i="27"/>
  <c r="E131" i="27" l="1"/>
  <c r="F131" i="27" l="1"/>
  <c r="G131" i="27"/>
  <c r="H131" i="27"/>
  <c r="L129" i="27" s="1"/>
  <c r="I156" i="27" s="1"/>
  <c r="D131" i="27"/>
  <c r="G91" i="31" l="1"/>
  <c r="D91" i="31"/>
  <c r="C91" i="31" l="1"/>
  <c r="B91" i="31"/>
  <c r="F91" i="31"/>
  <c r="E91" i="31"/>
  <c r="Q91" i="31" l="1"/>
  <c r="P91" i="31"/>
  <c r="R91" i="31" l="1"/>
  <c r="S91" i="31" s="1"/>
  <c r="W91" i="31" s="1"/>
  <c r="T91" i="31" s="1"/>
  <c r="N135" i="27" s="1"/>
  <c r="V91" i="31" l="1"/>
  <c r="U91" i="31" s="1"/>
  <c r="Z91" i="31" s="1"/>
  <c r="AA91" i="31" s="1"/>
  <c r="AE91" i="31"/>
  <c r="P135" i="27"/>
  <c r="AF91" i="31" l="1"/>
  <c r="O135" i="27"/>
  <c r="AB91" i="31"/>
  <c r="J91" i="31" s="1"/>
  <c r="AC91" i="31"/>
  <c r="I91" i="31" s="1"/>
  <c r="H135" i="27" s="1"/>
  <c r="H91" i="31" l="1"/>
  <c r="O91" i="31" s="1"/>
  <c r="K91" i="31"/>
  <c r="F135" i="27" l="1"/>
  <c r="E136" i="27" s="1"/>
  <c r="N91" i="31"/>
  <c r="H136" i="27" l="1"/>
  <c r="F136" i="27"/>
  <c r="D136" i="27"/>
  <c r="G136" i="27"/>
  <c r="E137" i="27" l="1"/>
  <c r="F137" i="27" s="1"/>
  <c r="H137" i="27" l="1"/>
  <c r="G137" i="27"/>
  <c r="D137" i="27"/>
  <c r="L135" i="27"/>
  <c r="I162" i="27" s="1"/>
  <c r="D92" i="31" l="1"/>
  <c r="G92" i="31"/>
  <c r="F92" i="31" l="1"/>
  <c r="E92" i="31"/>
  <c r="B92" i="31"/>
  <c r="C92" i="31"/>
  <c r="P92" i="31" l="1"/>
  <c r="Q92" i="31"/>
  <c r="R92" i="31" l="1"/>
  <c r="S92" i="31" s="1"/>
  <c r="W92" i="31" s="1"/>
  <c r="T92" i="31" s="1"/>
  <c r="N138" i="27" l="1"/>
  <c r="AE92" i="31"/>
  <c r="V92" i="31"/>
  <c r="U92" i="31" l="1"/>
  <c r="P138" i="27"/>
  <c r="Z92" i="31" l="1"/>
  <c r="O138" i="27"/>
  <c r="AF92" i="31"/>
  <c r="AA92" i="31" l="1"/>
  <c r="AC92" i="31" s="1"/>
  <c r="I92" i="31" s="1"/>
  <c r="H138" i="27" s="1"/>
  <c r="AB92" i="31" l="1"/>
  <c r="K92" i="31"/>
  <c r="J92" i="31" l="1"/>
  <c r="H92" i="31"/>
  <c r="N92" i="31" l="1"/>
  <c r="O92" i="31"/>
  <c r="F138" i="27"/>
  <c r="E139" i="27" s="1"/>
  <c r="G139" i="27" l="1"/>
  <c r="D139" i="27"/>
  <c r="H139" i="27"/>
  <c r="F139" i="27"/>
  <c r="E140" i="27" l="1"/>
  <c r="F140" i="27" s="1"/>
  <c r="H140" i="27" l="1"/>
  <c r="L138" i="27" s="1"/>
  <c r="E162" i="27" s="1"/>
  <c r="G140" i="27"/>
  <c r="D140" i="27"/>
  <c r="D93" i="31" s="1"/>
  <c r="B93" i="31" s="1"/>
  <c r="G93" i="31"/>
  <c r="F93" i="31" l="1"/>
  <c r="C93" i="31"/>
  <c r="P93" i="31" s="1"/>
  <c r="E93" i="31"/>
  <c r="Q93" i="31" l="1"/>
  <c r="R93" i="31" s="1"/>
  <c r="S93" i="31" s="1"/>
  <c r="W93" i="31" s="1"/>
  <c r="T93" i="31" s="1"/>
  <c r="V93" i="31" s="1"/>
  <c r="N141" i="27" l="1"/>
  <c r="AE93" i="31"/>
  <c r="U93" i="31"/>
  <c r="Z93" i="31" s="1"/>
  <c r="AA93" i="31" s="1"/>
  <c r="AB93" i="31" s="1"/>
  <c r="P141" i="27"/>
  <c r="AF93" i="31" l="1"/>
  <c r="O141" i="27"/>
  <c r="AC93" i="31"/>
  <c r="H93" i="31"/>
  <c r="J93" i="31"/>
  <c r="K93" i="31" l="1"/>
  <c r="I93" i="31"/>
  <c r="H141" i="27" s="1"/>
  <c r="F141" i="27"/>
  <c r="O93" i="31" l="1"/>
  <c r="E142" i="27"/>
  <c r="F142" i="27" s="1"/>
  <c r="N93" i="31"/>
  <c r="G142" i="27" l="1"/>
  <c r="H142" i="27"/>
  <c r="E143" i="27" s="1"/>
  <c r="D142" i="27"/>
  <c r="H143" i="27" l="1"/>
  <c r="F143" i="27"/>
  <c r="D143" i="27"/>
  <c r="G143" i="27"/>
  <c r="L141" i="27" l="1"/>
  <c r="E168" i="27" s="1"/>
  <c r="D94" i="31"/>
  <c r="G94" i="31"/>
  <c r="F94" i="31" l="1"/>
  <c r="E94" i="31"/>
  <c r="C94" i="31"/>
  <c r="B94" i="31"/>
  <c r="P94" i="31" l="1"/>
  <c r="Q94" i="31"/>
  <c r="R94" i="31" l="1"/>
  <c r="S94" i="31" s="1"/>
  <c r="W94" i="31" s="1"/>
  <c r="T94" i="31" s="1"/>
  <c r="V94" i="31" l="1"/>
  <c r="AE94" i="31"/>
  <c r="N144" i="27"/>
  <c r="U94" i="31" l="1"/>
  <c r="Z94" i="31" s="1"/>
  <c r="AA94" i="31" s="1"/>
  <c r="AC94" i="31" s="1"/>
  <c r="P144" i="27"/>
  <c r="AB94" i="31" l="1"/>
  <c r="H94" i="31" s="1"/>
  <c r="O144" i="27"/>
  <c r="AF94" i="31"/>
  <c r="K94" i="31" s="1"/>
  <c r="I94" i="31"/>
  <c r="H144" i="27" s="1"/>
  <c r="J94" i="31" l="1"/>
  <c r="F144" i="27"/>
  <c r="E145" i="27" s="1"/>
  <c r="O94" i="31"/>
  <c r="N94" i="31"/>
  <c r="G145" i="27" l="1"/>
  <c r="D145" i="27"/>
  <c r="H145" i="27"/>
  <c r="F145" i="27"/>
  <c r="E146" i="27" l="1"/>
  <c r="H146" i="27" s="1"/>
  <c r="D146" i="27" l="1"/>
  <c r="G146" i="27"/>
  <c r="F146" i="27"/>
  <c r="L144" i="27" s="1"/>
  <c r="I168" i="27" s="1"/>
  <c r="D95" i="31"/>
  <c r="G95" i="31"/>
  <c r="E95" i="31" l="1"/>
  <c r="F95" i="31"/>
  <c r="C95" i="31"/>
  <c r="B95" i="31"/>
  <c r="P95" i="31" l="1"/>
  <c r="Q95" i="31"/>
  <c r="R95" i="31" l="1"/>
  <c r="S95" i="31" s="1"/>
  <c r="W95" i="31" s="1"/>
  <c r="T95" i="31" s="1"/>
  <c r="N147" i="27" l="1"/>
  <c r="AE95" i="31"/>
  <c r="V95" i="31"/>
  <c r="U95" i="31" l="1"/>
  <c r="P147" i="27"/>
  <c r="O147" i="27" l="1"/>
  <c r="Z95" i="31"/>
  <c r="AF95" i="31"/>
  <c r="AA95" i="31" l="1"/>
  <c r="AC95" i="31" s="1"/>
  <c r="AB95" i="31" l="1"/>
  <c r="J95" i="31" s="1"/>
  <c r="I95" i="31"/>
  <c r="H147" i="27" s="1"/>
  <c r="K95" i="31"/>
  <c r="H95" i="31" l="1"/>
  <c r="O95" i="31" s="1"/>
  <c r="N95" i="31" l="1"/>
  <c r="F147" i="27"/>
  <c r="E148" i="27" s="1"/>
  <c r="G148" i="27" s="1"/>
  <c r="F148" i="27" l="1"/>
  <c r="D148" i="27"/>
  <c r="H148" i="27"/>
  <c r="E149" i="27" l="1"/>
  <c r="D149" i="27" s="1"/>
  <c r="G96" i="31" s="1"/>
  <c r="D96" i="31" l="1"/>
  <c r="C96" i="31" s="1"/>
  <c r="G149" i="27"/>
  <c r="F149" i="27"/>
  <c r="H149" i="27"/>
  <c r="E96" i="31"/>
  <c r="F96" i="31" l="1"/>
  <c r="Q96" i="31" s="1"/>
  <c r="B96" i="31"/>
  <c r="P96" i="31" s="1"/>
  <c r="L147" i="27"/>
  <c r="E165" i="27" s="1"/>
  <c r="R96" i="31" l="1"/>
  <c r="S96" i="31" s="1"/>
  <c r="W96" i="31" s="1"/>
  <c r="T96" i="31" s="1"/>
  <c r="N150" i="27" s="1"/>
  <c r="V96" i="31" l="1"/>
  <c r="P150" i="27" s="1"/>
  <c r="AE96" i="31"/>
  <c r="U96" i="31" l="1"/>
  <c r="AF96" i="31" s="1"/>
  <c r="O150" i="27"/>
  <c r="Z96" i="31" l="1"/>
  <c r="AA96" i="31" s="1"/>
  <c r="AC96" i="31" s="1"/>
  <c r="K96" i="31" s="1"/>
  <c r="AB96" i="31" l="1"/>
  <c r="H96" i="31" s="1"/>
  <c r="I96" i="31"/>
  <c r="H150" i="27" s="1"/>
  <c r="O96" i="31" l="1"/>
  <c r="F150" i="27"/>
  <c r="E151" i="27" s="1"/>
  <c r="H151" i="27" s="1"/>
  <c r="N96" i="31"/>
  <c r="J96" i="31"/>
  <c r="F151" i="27" l="1"/>
  <c r="G151" i="27"/>
  <c r="D151" i="27"/>
  <c r="E152" i="27"/>
  <c r="G152" i="27" s="1"/>
  <c r="D152" i="27" l="1"/>
  <c r="F152" i="27"/>
  <c r="H152" i="27"/>
  <c r="L150" i="27" l="1"/>
  <c r="I165" i="27" s="1"/>
  <c r="G97" i="31"/>
  <c r="D97" i="31"/>
  <c r="B97" i="31" l="1"/>
  <c r="C97" i="31"/>
  <c r="F97" i="31"/>
  <c r="Q97" i="31" s="1"/>
  <c r="E97" i="31"/>
  <c r="P97" i="31" l="1"/>
  <c r="R97" i="31" s="1"/>
  <c r="S97" i="31" s="1"/>
  <c r="W97" i="31" s="1"/>
  <c r="T97" i="31" s="1"/>
  <c r="N153" i="27" l="1"/>
  <c r="AE97" i="31"/>
  <c r="V97" i="31"/>
  <c r="U97" i="31" l="1"/>
  <c r="P153" i="27"/>
  <c r="O153" i="27" l="1"/>
  <c r="AF97" i="31"/>
  <c r="Z97" i="31"/>
  <c r="AA97" i="31" l="1"/>
  <c r="AC97" i="31" s="1"/>
  <c r="AB97" i="31" l="1"/>
  <c r="I97" i="31"/>
  <c r="H153" i="27" s="1"/>
  <c r="K97" i="31"/>
  <c r="J97" i="31" l="1"/>
  <c r="H97" i="31"/>
  <c r="N97" i="31" l="1"/>
  <c r="O97" i="31"/>
  <c r="F153" i="27"/>
  <c r="E154" i="27" s="1"/>
  <c r="F154" i="27" l="1"/>
  <c r="H154" i="27"/>
  <c r="D154" i="27"/>
  <c r="G154" i="27"/>
  <c r="E155" i="27" l="1"/>
  <c r="G155" i="27" l="1"/>
  <c r="H155" i="27"/>
  <c r="D155" i="27"/>
  <c r="F155" i="27"/>
  <c r="L153" i="27" l="1"/>
  <c r="E171" i="27" s="1"/>
  <c r="D98" i="31"/>
  <c r="G98" i="31"/>
  <c r="E98" i="31" l="1"/>
  <c r="F98" i="31"/>
  <c r="C98" i="31"/>
  <c r="B98" i="31"/>
  <c r="P98" i="31" l="1"/>
  <c r="Q98" i="31"/>
  <c r="R98" i="31" l="1"/>
  <c r="S98" i="31" s="1"/>
  <c r="W98" i="31" s="1"/>
  <c r="T98" i="31" s="1"/>
  <c r="N156" i="27" l="1"/>
  <c r="V98" i="31"/>
  <c r="AE98" i="31"/>
  <c r="U98" i="31" l="1"/>
  <c r="Z98" i="31" s="1"/>
  <c r="P156" i="27"/>
  <c r="AA98" i="31" l="1"/>
  <c r="AB98" i="31" s="1"/>
  <c r="O156" i="27"/>
  <c r="AF98" i="31"/>
  <c r="AC98" i="31" l="1"/>
  <c r="I98" i="31" s="1"/>
  <c r="H156" i="27" s="1"/>
  <c r="J98" i="31"/>
  <c r="H98" i="31"/>
  <c r="K98" i="31" l="1"/>
  <c r="O98" i="31"/>
  <c r="F156" i="27"/>
  <c r="E157" i="27" s="1"/>
  <c r="N98" i="31"/>
  <c r="F157" i="27" l="1"/>
  <c r="D157" i="27"/>
  <c r="H157" i="27"/>
  <c r="G157" i="27"/>
  <c r="E158" i="27" l="1"/>
  <c r="H158" i="27" l="1"/>
  <c r="F158" i="27"/>
  <c r="L156" i="27" s="1"/>
  <c r="I171" i="27" s="1"/>
  <c r="G158" i="27"/>
  <c r="D158" i="27"/>
  <c r="D99" i="31" l="1"/>
  <c r="G99" i="31"/>
  <c r="E99" i="31" l="1"/>
  <c r="F99" i="31"/>
  <c r="B99" i="31"/>
  <c r="C99" i="31"/>
  <c r="P99" i="31" l="1"/>
  <c r="Q99" i="31"/>
  <c r="R99" i="31" l="1"/>
  <c r="S99" i="31" s="1"/>
  <c r="W99" i="31" s="1"/>
  <c r="T99" i="31" s="1"/>
  <c r="N162" i="27" l="1"/>
  <c r="AE99" i="31"/>
  <c r="V99" i="31"/>
  <c r="U99" i="31" l="1"/>
  <c r="Z99" i="31" s="1"/>
  <c r="P162" i="27"/>
  <c r="AA99" i="31" l="1"/>
  <c r="AC99" i="31" s="1"/>
  <c r="I99" i="31" s="1"/>
  <c r="H162" i="27" s="1"/>
  <c r="O162" i="27"/>
  <c r="AF99" i="31"/>
  <c r="K99" i="31" l="1"/>
  <c r="AB99" i="31"/>
  <c r="J99" i="31" l="1"/>
  <c r="H99" i="31"/>
  <c r="N99" i="31" l="1"/>
  <c r="F162" i="27"/>
  <c r="E163" i="27" s="1"/>
  <c r="O99" i="31"/>
  <c r="D163" i="27" l="1"/>
  <c r="F163" i="27"/>
  <c r="H163" i="27"/>
  <c r="G163" i="27"/>
  <c r="E164" i="27" l="1"/>
  <c r="F164" i="27" s="1"/>
  <c r="D164" i="27" l="1"/>
  <c r="D100" i="31" s="1"/>
  <c r="G164" i="27"/>
  <c r="H164" i="27"/>
  <c r="L162" i="27" s="1"/>
  <c r="E177" i="27" s="1"/>
  <c r="G100" i="31" l="1"/>
  <c r="E100" i="31" s="1"/>
  <c r="B100" i="31"/>
  <c r="C100" i="31"/>
  <c r="F100" i="31" l="1"/>
  <c r="Q100" i="31" s="1"/>
  <c r="P100" i="31"/>
  <c r="R100" i="31" l="1"/>
  <c r="S100" i="31" s="1"/>
  <c r="W100" i="31" s="1"/>
  <c r="T100" i="31" s="1"/>
  <c r="N165" i="27" l="1"/>
  <c r="AE100" i="31"/>
  <c r="V100" i="31"/>
  <c r="U100" i="31" l="1"/>
  <c r="Z100" i="31" s="1"/>
  <c r="AA100" i="31" s="1"/>
  <c r="AB100" i="31" s="1"/>
  <c r="H100" i="31" s="1"/>
  <c r="P165" i="27"/>
  <c r="J100" i="31" l="1"/>
  <c r="AC100" i="31"/>
  <c r="I100" i="31" s="1"/>
  <c r="H165" i="27" s="1"/>
  <c r="O165" i="27"/>
  <c r="AF100" i="31"/>
  <c r="F165" i="27"/>
  <c r="N100" i="31" l="1"/>
  <c r="O100" i="31"/>
  <c r="K100" i="31"/>
  <c r="E166" i="27"/>
  <c r="D166" i="27" l="1"/>
  <c r="F166" i="27"/>
  <c r="G166" i="27"/>
  <c r="H166" i="27"/>
  <c r="E167" i="27" l="1"/>
  <c r="D167" i="27" l="1"/>
  <c r="H167" i="27"/>
  <c r="G167" i="27"/>
  <c r="F167" i="27"/>
  <c r="L165" i="27" l="1"/>
  <c r="I177" i="27" s="1"/>
  <c r="D101" i="31"/>
  <c r="G101" i="31"/>
  <c r="F101" i="31" l="1"/>
  <c r="E101" i="31"/>
  <c r="C101" i="31"/>
  <c r="B101" i="31"/>
  <c r="P101" i="31" l="1"/>
  <c r="Q101" i="31"/>
  <c r="R101" i="31" l="1"/>
  <c r="S101" i="31" s="1"/>
  <c r="W101" i="31" s="1"/>
  <c r="T101" i="31" s="1"/>
  <c r="N168" i="27" s="1"/>
  <c r="V101" i="31" l="1"/>
  <c r="AE101" i="31"/>
  <c r="U101" i="31" l="1"/>
  <c r="P168" i="27"/>
  <c r="AF101" i="31" l="1"/>
  <c r="O168" i="27"/>
  <c r="Z101" i="31"/>
  <c r="AA101" i="31" l="1"/>
  <c r="AC101" i="31" s="1"/>
  <c r="AB101" i="31" l="1"/>
  <c r="H101" i="31" s="1"/>
  <c r="K101" i="31"/>
  <c r="I101" i="31"/>
  <c r="H168" i="27" s="1"/>
  <c r="J101" i="31" l="1"/>
  <c r="O101" i="31"/>
  <c r="N101" i="31"/>
  <c r="F168" i="27"/>
  <c r="E169" i="27" s="1"/>
  <c r="D169" i="27" l="1"/>
  <c r="F169" i="27"/>
  <c r="G169" i="27"/>
  <c r="H169" i="27"/>
  <c r="E170" i="27" l="1"/>
  <c r="G170" i="27" s="1"/>
  <c r="D170" i="27" l="1"/>
  <c r="H170" i="27"/>
  <c r="F170" i="27"/>
  <c r="G102" i="31"/>
  <c r="D102" i="31"/>
  <c r="L168" i="27" l="1"/>
  <c r="E180" i="27" s="1"/>
  <c r="B102" i="31"/>
  <c r="C102" i="31"/>
  <c r="F102" i="31"/>
  <c r="E102" i="31"/>
  <c r="Q102" i="31" l="1"/>
  <c r="P102" i="31"/>
  <c r="R102" i="31" l="1"/>
  <c r="S102" i="31" s="1"/>
  <c r="W102" i="31" s="1"/>
  <c r="T102" i="31" s="1"/>
  <c r="N171" i="27" s="1"/>
  <c r="AE102" i="31" l="1"/>
  <c r="V102" i="31"/>
  <c r="U102" i="31" s="1"/>
  <c r="Z102" i="31" s="1"/>
  <c r="AA102" i="31" s="1"/>
  <c r="AB102" i="31" s="1"/>
  <c r="P171" i="27"/>
  <c r="AC102" i="31" l="1"/>
  <c r="I102" i="31" s="1"/>
  <c r="H171" i="27" s="1"/>
  <c r="AF102" i="31"/>
  <c r="O171" i="27"/>
  <c r="J102" i="31"/>
  <c r="H102" i="31"/>
  <c r="K102" i="31" l="1"/>
  <c r="F171" i="27"/>
  <c r="E172" i="27" s="1"/>
  <c r="N102" i="31"/>
  <c r="O102" i="31"/>
  <c r="F172" i="27" l="1"/>
  <c r="G172" i="27"/>
  <c r="H172" i="27"/>
  <c r="D172" i="27"/>
  <c r="E173" i="27" l="1"/>
  <c r="H173" i="27" l="1"/>
  <c r="G173" i="27"/>
  <c r="D173" i="27"/>
  <c r="F173" i="27"/>
  <c r="L171" i="27" l="1"/>
  <c r="I180" i="27" s="1"/>
  <c r="G103" i="31"/>
  <c r="D103" i="31"/>
  <c r="B103" i="31" l="1"/>
  <c r="C103" i="31"/>
  <c r="F103" i="31"/>
  <c r="E103" i="31"/>
  <c r="Q103" i="31" l="1"/>
  <c r="P103" i="31"/>
  <c r="R103" i="31" l="1"/>
  <c r="S103" i="31" s="1"/>
  <c r="W103" i="31" s="1"/>
  <c r="T103" i="31" s="1"/>
  <c r="V103" i="31" l="1"/>
  <c r="N177" i="27"/>
  <c r="AE103" i="31"/>
  <c r="U103" i="31" l="1"/>
  <c r="P177" i="27"/>
  <c r="AF103" i="31" l="1"/>
  <c r="O177" i="27"/>
  <c r="Z103" i="31"/>
  <c r="AA103" i="31" l="1"/>
  <c r="AB103" i="31" s="1"/>
  <c r="AC103" i="31" l="1"/>
  <c r="I103" i="31" s="1"/>
  <c r="H177" i="27" s="1"/>
  <c r="J103" i="31"/>
  <c r="H103" i="31"/>
  <c r="K103" i="31" l="1"/>
  <c r="F177" i="27"/>
  <c r="O103" i="31"/>
  <c r="N103" i="31"/>
  <c r="E178" i="27" l="1"/>
  <c r="G178" i="27" l="1"/>
  <c r="H178" i="27"/>
  <c r="D178" i="27"/>
  <c r="F178" i="27"/>
  <c r="E179" i="27" l="1"/>
  <c r="D179" i="27" s="1"/>
  <c r="G179" i="27" l="1"/>
  <c r="F179" i="27"/>
  <c r="H179" i="27"/>
  <c r="G104" i="31"/>
  <c r="D104" i="31"/>
  <c r="M177" i="27" l="1"/>
  <c r="E186" i="27" s="1"/>
  <c r="L177" i="27"/>
  <c r="E195" i="27" s="1"/>
  <c r="B104" i="31"/>
  <c r="C104" i="31"/>
  <c r="E104" i="31"/>
  <c r="F104" i="31"/>
  <c r="Q104" i="31" l="1"/>
  <c r="P104" i="31"/>
  <c r="R104" i="31" l="1"/>
  <c r="S104" i="31" s="1"/>
  <c r="W104" i="31" s="1"/>
  <c r="T104" i="31" s="1"/>
  <c r="N180" i="27" s="1"/>
  <c r="V104" i="31" l="1"/>
  <c r="U104" i="31" s="1"/>
  <c r="AE104" i="31"/>
  <c r="P180" i="27" l="1"/>
  <c r="AF104" i="31"/>
  <c r="O180" i="27"/>
  <c r="Z104" i="31"/>
  <c r="AA104" i="31" l="1"/>
  <c r="AB104" i="31" s="1"/>
  <c r="AC104" i="31" l="1"/>
  <c r="K104" i="31" s="1"/>
  <c r="J104" i="31"/>
  <c r="H104" i="31"/>
  <c r="I104" i="31" l="1"/>
  <c r="H180" i="27" s="1"/>
  <c r="F180" i="27"/>
  <c r="N104" i="31" l="1"/>
  <c r="O104" i="31"/>
  <c r="E181" i="27"/>
  <c r="F181" i="27" s="1"/>
  <c r="H181" i="27" l="1"/>
  <c r="E182" i="27" s="1"/>
  <c r="D181" i="27"/>
  <c r="G181" i="27"/>
  <c r="D182" i="27" l="1"/>
  <c r="G182" i="27"/>
  <c r="F182" i="27"/>
  <c r="H182" i="27"/>
  <c r="M180" i="27" l="1"/>
  <c r="I186" i="27" s="1"/>
  <c r="G105" i="31" s="1"/>
  <c r="L180" i="27"/>
  <c r="I195" i="27" s="1"/>
  <c r="D105" i="31"/>
  <c r="B41" i="66" l="1"/>
  <c r="C42" i="66"/>
  <c r="B42" i="66"/>
  <c r="C43" i="66"/>
  <c r="B43" i="66"/>
  <c r="B17" i="66"/>
  <c r="C19" i="66"/>
  <c r="B18" i="66"/>
  <c r="C18" i="66"/>
  <c r="B19" i="66"/>
  <c r="R39" i="66"/>
  <c r="R38" i="66"/>
  <c r="Q37" i="66"/>
  <c r="Q39" i="66"/>
  <c r="Q38" i="66"/>
  <c r="Q13" i="66"/>
  <c r="R15" i="66"/>
  <c r="Q14" i="66"/>
  <c r="R14" i="66"/>
  <c r="Q15" i="66"/>
  <c r="L44" i="66"/>
  <c r="M44" i="66"/>
  <c r="M45" i="66"/>
  <c r="L43" i="66"/>
  <c r="L45" i="66"/>
  <c r="L31" i="66"/>
  <c r="L32" i="66"/>
  <c r="M32" i="66"/>
  <c r="L33" i="66"/>
  <c r="M33" i="66"/>
  <c r="L19" i="66"/>
  <c r="L21" i="66"/>
  <c r="L20" i="66"/>
  <c r="M21" i="66"/>
  <c r="M20" i="66"/>
  <c r="L7" i="66"/>
  <c r="L8" i="66"/>
  <c r="M9" i="66"/>
  <c r="L9" i="66"/>
  <c r="M8" i="66"/>
  <c r="G47" i="66"/>
  <c r="G48" i="66"/>
  <c r="H48" i="66"/>
  <c r="G46" i="66"/>
  <c r="H47" i="66"/>
  <c r="G40" i="66"/>
  <c r="G41" i="66"/>
  <c r="G42" i="66"/>
  <c r="H42" i="66"/>
  <c r="H41" i="66"/>
  <c r="G34" i="66"/>
  <c r="G35" i="66"/>
  <c r="H36" i="66"/>
  <c r="H35" i="66"/>
  <c r="G36" i="66"/>
  <c r="H30" i="66"/>
  <c r="H29" i="66"/>
  <c r="G30" i="66"/>
  <c r="G29" i="66"/>
  <c r="G28" i="66"/>
  <c r="G22" i="66"/>
  <c r="H23" i="66"/>
  <c r="G23" i="66"/>
  <c r="H24" i="66"/>
  <c r="G24" i="66"/>
  <c r="H18" i="66"/>
  <c r="G18" i="66"/>
  <c r="G16" i="66"/>
  <c r="G17" i="66"/>
  <c r="H17" i="66"/>
  <c r="H11" i="66"/>
  <c r="H12" i="66"/>
  <c r="G12" i="66"/>
  <c r="G10" i="66"/>
  <c r="G11" i="66"/>
  <c r="H6" i="66"/>
  <c r="H5" i="66"/>
  <c r="G4" i="66"/>
  <c r="G6" i="66"/>
  <c r="G5" i="66"/>
  <c r="B38" i="66"/>
  <c r="B46" i="66"/>
  <c r="B30" i="66"/>
  <c r="B39" i="66"/>
  <c r="C39" i="66"/>
  <c r="B35" i="66"/>
  <c r="B33" i="66"/>
  <c r="C37" i="66"/>
  <c r="C48" i="66"/>
  <c r="B40" i="66"/>
  <c r="C45" i="66"/>
  <c r="C40" i="66"/>
  <c r="B44" i="66"/>
  <c r="C34" i="66"/>
  <c r="B47" i="66"/>
  <c r="B29" i="66"/>
  <c r="C31" i="66"/>
  <c r="B49" i="66"/>
  <c r="B31" i="66"/>
  <c r="C36" i="66"/>
  <c r="B45" i="66"/>
  <c r="B32" i="66"/>
  <c r="C30" i="66"/>
  <c r="B36" i="66"/>
  <c r="B34" i="66"/>
  <c r="C49" i="66"/>
  <c r="C46" i="66"/>
  <c r="B48" i="66"/>
  <c r="B37" i="66"/>
  <c r="C33" i="66"/>
  <c r="B25" i="66"/>
  <c r="B24" i="66"/>
  <c r="B23" i="66"/>
  <c r="C24" i="66"/>
  <c r="C25" i="66"/>
  <c r="B20" i="66"/>
  <c r="C21" i="66"/>
  <c r="C22" i="66"/>
  <c r="B21" i="66"/>
  <c r="B22" i="66"/>
  <c r="C15" i="66"/>
  <c r="B15" i="66"/>
  <c r="C16" i="66"/>
  <c r="B14" i="66"/>
  <c r="B16" i="66"/>
  <c r="B13" i="66"/>
  <c r="C13" i="66"/>
  <c r="B12" i="66"/>
  <c r="B11" i="66"/>
  <c r="C12" i="66"/>
  <c r="B7" i="66"/>
  <c r="B6" i="66"/>
  <c r="C6" i="66"/>
  <c r="C7" i="66"/>
  <c r="B5" i="66"/>
  <c r="C4" i="66"/>
  <c r="B3" i="66"/>
  <c r="C3" i="66"/>
  <c r="B105" i="31"/>
  <c r="C105" i="31"/>
  <c r="P105" i="31" s="1"/>
  <c r="E105" i="31"/>
  <c r="F105" i="31"/>
  <c r="Q105" i="31" l="1"/>
  <c r="R105" i="31" s="1"/>
  <c r="S105" i="31" s="1"/>
  <c r="W105" i="31" s="1"/>
  <c r="T105" i="31" s="1"/>
  <c r="N186" i="27" s="1"/>
  <c r="V105" i="31" l="1"/>
  <c r="AE105" i="31"/>
  <c r="U105" i="31" l="1"/>
  <c r="P186" i="27"/>
  <c r="Z105" i="31" l="1"/>
  <c r="O186" i="27"/>
  <c r="AF105" i="31"/>
  <c r="AA105" i="31" l="1"/>
  <c r="AC105" i="31" s="1"/>
  <c r="AB105" i="31" l="1"/>
  <c r="H105" i="31" s="1"/>
  <c r="I105" i="31"/>
  <c r="H186" i="27" s="1"/>
  <c r="K105" i="31"/>
  <c r="J105" i="31" l="1"/>
  <c r="O105" i="31"/>
  <c r="N105" i="31"/>
  <c r="F186" i="27"/>
  <c r="E187" i="27" l="1"/>
  <c r="F187" i="27" l="1"/>
  <c r="D187" i="27"/>
  <c r="H187" i="27"/>
  <c r="G187" i="27"/>
  <c r="E188" i="27" l="1"/>
  <c r="D188" i="27" l="1"/>
  <c r="G188" i="27"/>
  <c r="F188" i="27"/>
  <c r="H188" i="27"/>
  <c r="W27" i="66" l="1"/>
  <c r="W26" i="66"/>
  <c r="W25" i="66"/>
  <c r="L186" i="27"/>
  <c r="E190" i="27" s="1"/>
  <c r="M186" i="27"/>
  <c r="J190" i="27" s="1"/>
  <c r="D106" i="31"/>
  <c r="G106" i="31"/>
  <c r="C106" i="31" l="1"/>
  <c r="B106" i="31"/>
  <c r="F106" i="31"/>
  <c r="E106" i="31"/>
  <c r="Q106" i="31" l="1"/>
  <c r="P106" i="31"/>
  <c r="R106" i="31" l="1"/>
  <c r="S106" i="31" s="1"/>
  <c r="W106" i="31" s="1"/>
  <c r="T106" i="31" s="1"/>
  <c r="N195" i="27" s="1"/>
  <c r="AE106" i="31" l="1"/>
  <c r="V106" i="31"/>
  <c r="U106" i="31" s="1"/>
  <c r="P195" i="27"/>
  <c r="AF106" i="31" l="1"/>
  <c r="O195" i="27"/>
  <c r="Z106" i="31"/>
  <c r="F56" i="24" s="1"/>
  <c r="D56" i="24" l="1"/>
  <c r="E56" i="24"/>
  <c r="D57" i="24"/>
  <c r="F57" i="24"/>
  <c r="E57" i="24"/>
  <c r="AA106" i="31"/>
  <c r="AC106" i="31" l="1"/>
  <c r="I106" i="31" s="1"/>
  <c r="AB106" i="31"/>
  <c r="H106" i="31" s="1"/>
  <c r="K106" i="31" l="1"/>
  <c r="J106" i="31"/>
  <c r="O106" i="31"/>
  <c r="N106" i="31"/>
  <c r="F195" i="27"/>
  <c r="X26" i="66" s="1"/>
  <c r="H107" i="31"/>
  <c r="H195" i="27"/>
  <c r="X27" i="66" s="1"/>
  <c r="I107" i="31"/>
  <c r="E196" i="27" l="1"/>
  <c r="F196" i="27" l="1"/>
  <c r="D196" i="27"/>
  <c r="G196" i="27"/>
  <c r="H196" i="27"/>
  <c r="E197" i="27" l="1"/>
  <c r="F197" i="27" l="1"/>
  <c r="D197" i="27"/>
  <c r="G197" i="27"/>
  <c r="H197" i="27"/>
  <c r="D3" i="66" l="1"/>
  <c r="J6" i="66"/>
  <c r="I23" i="66"/>
  <c r="I5" i="66"/>
  <c r="J23" i="66"/>
  <c r="J24" i="66"/>
  <c r="J5" i="66"/>
  <c r="D4" i="66"/>
  <c r="E4" i="66"/>
  <c r="N21" i="66"/>
  <c r="I17" i="66"/>
  <c r="N20" i="66"/>
  <c r="I6" i="66"/>
  <c r="I24" i="66"/>
  <c r="I18" i="66"/>
  <c r="E3" i="66"/>
  <c r="D42" i="66"/>
  <c r="D9" i="66"/>
  <c r="O45" i="66"/>
  <c r="O32" i="66"/>
  <c r="D28" i="66"/>
  <c r="D25" i="66"/>
  <c r="D13" i="66"/>
  <c r="D39" i="66"/>
  <c r="D30" i="66"/>
  <c r="S14" i="66"/>
  <c r="E12" i="66"/>
  <c r="I41" i="66"/>
  <c r="J36" i="66"/>
  <c r="T39" i="66"/>
  <c r="S38" i="66"/>
  <c r="T38" i="66"/>
  <c r="J29" i="66"/>
  <c r="D16" i="66"/>
  <c r="O9" i="66"/>
  <c r="J18" i="66"/>
  <c r="J11" i="66"/>
  <c r="E40" i="66"/>
  <c r="S39" i="66"/>
  <c r="O21" i="66"/>
  <c r="D31" i="66"/>
  <c r="N9" i="66"/>
  <c r="E27" i="66"/>
  <c r="I29" i="66"/>
  <c r="J17" i="66"/>
  <c r="E43" i="66"/>
  <c r="E30" i="66"/>
  <c r="E15" i="66"/>
  <c r="O8" i="66"/>
  <c r="E45" i="66"/>
  <c r="I48" i="66"/>
  <c r="D46" i="66"/>
  <c r="D40" i="66"/>
  <c r="N45" i="66"/>
  <c r="E22" i="66"/>
  <c r="D48" i="66"/>
  <c r="D27" i="66"/>
  <c r="E49" i="66"/>
  <c r="O20" i="66"/>
  <c r="D49" i="66"/>
  <c r="D24" i="66"/>
  <c r="J41" i="66"/>
  <c r="D45" i="66"/>
  <c r="E34" i="66"/>
  <c r="E7" i="66"/>
  <c r="E16" i="66"/>
  <c r="E10" i="66"/>
  <c r="J12" i="66"/>
  <c r="E19" i="66"/>
  <c r="N32" i="66"/>
  <c r="E33" i="66"/>
  <c r="I36" i="66"/>
  <c r="Y27" i="66"/>
  <c r="T14" i="66"/>
  <c r="D33" i="66"/>
  <c r="O44" i="66"/>
  <c r="I35" i="66"/>
  <c r="Y26" i="66"/>
  <c r="D7" i="66"/>
  <c r="E42" i="66"/>
  <c r="D21" i="66"/>
  <c r="J42" i="66"/>
  <c r="E37" i="66"/>
  <c r="Z26" i="66"/>
  <c r="J35" i="66"/>
  <c r="T15" i="66"/>
  <c r="E9" i="66"/>
  <c r="I11" i="66"/>
  <c r="D15" i="66"/>
  <c r="D22" i="66"/>
  <c r="Z27" i="66"/>
  <c r="J47" i="66"/>
  <c r="E13" i="66"/>
  <c r="D36" i="66"/>
  <c r="D34" i="66"/>
  <c r="E48" i="66"/>
  <c r="E25" i="66"/>
  <c r="E31" i="66"/>
  <c r="N8" i="66"/>
  <c r="E28" i="66"/>
  <c r="E46" i="66"/>
  <c r="E24" i="66"/>
  <c r="D19" i="66"/>
  <c r="E6" i="66"/>
  <c r="N33" i="66"/>
  <c r="D37" i="66"/>
  <c r="D6" i="66"/>
  <c r="O33" i="66"/>
  <c r="E18" i="66"/>
  <c r="I30" i="66"/>
  <c r="D18" i="66"/>
  <c r="D12" i="66"/>
  <c r="I42" i="66"/>
  <c r="N44" i="66"/>
  <c r="D10" i="66"/>
  <c r="D43" i="66"/>
  <c r="I12" i="66"/>
  <c r="S15" i="66"/>
  <c r="E39" i="66"/>
  <c r="E36" i="66"/>
  <c r="J30" i="66"/>
  <c r="J48" i="66"/>
  <c r="E21" i="66"/>
  <c r="I47" i="66"/>
  <c r="L195" i="27"/>
  <c r="E199" i="27" s="1"/>
  <c r="AC25" i="66" s="1"/>
  <c r="M195" i="27"/>
  <c r="J199" i="27" s="1"/>
</calcChain>
</file>

<file path=xl/sharedStrings.xml><?xml version="1.0" encoding="utf-8"?>
<sst xmlns="http://schemas.openxmlformats.org/spreadsheetml/2006/main" count="9070" uniqueCount="1373">
  <si>
    <t>Away</t>
  </si>
  <si>
    <t>Home</t>
  </si>
  <si>
    <t>Home -Team</t>
  </si>
  <si>
    <t>Away -Team</t>
  </si>
  <si>
    <t>Game No</t>
  </si>
  <si>
    <t>Rating 0</t>
  </si>
  <si>
    <t>No</t>
  </si>
  <si>
    <t>H/D/A</t>
  </si>
  <si>
    <t>Team No</t>
  </si>
  <si>
    <t>Index</t>
  </si>
  <si>
    <t>Rating H</t>
  </si>
  <si>
    <t>Rating A</t>
  </si>
  <si>
    <t>Difference</t>
  </si>
  <si>
    <t>Rtg Dif</t>
  </si>
  <si>
    <t>H</t>
  </si>
  <si>
    <t>D</t>
  </si>
  <si>
    <t>A</t>
  </si>
  <si>
    <t>K=</t>
  </si>
  <si>
    <t>Home Team</t>
  </si>
  <si>
    <t>Away Team</t>
  </si>
  <si>
    <t>Factor</t>
  </si>
  <si>
    <t>New H</t>
  </si>
  <si>
    <t>New A</t>
  </si>
  <si>
    <t>Average</t>
  </si>
  <si>
    <t>Lookup</t>
  </si>
  <si>
    <t>Draw</t>
  </si>
  <si>
    <t>Total</t>
  </si>
  <si>
    <t>Cumul</t>
  </si>
  <si>
    <t>Odds</t>
  </si>
  <si>
    <t>20/1</t>
  </si>
  <si>
    <t>16/1</t>
  </si>
  <si>
    <t>1/20</t>
  </si>
  <si>
    <t>1/16</t>
  </si>
  <si>
    <t>1/14</t>
  </si>
  <si>
    <t>1/12</t>
  </si>
  <si>
    <t>1/11</t>
  </si>
  <si>
    <t>1/10</t>
  </si>
  <si>
    <t>1/9</t>
  </si>
  <si>
    <t>1/8</t>
  </si>
  <si>
    <t>1/7</t>
  </si>
  <si>
    <t>1/6</t>
  </si>
  <si>
    <t>1/5</t>
  </si>
  <si>
    <t>1/4</t>
  </si>
  <si>
    <t>1/3</t>
  </si>
  <si>
    <t>1/2</t>
  </si>
  <si>
    <t>2/11</t>
  </si>
  <si>
    <t>2/9</t>
  </si>
  <si>
    <t>2/7</t>
  </si>
  <si>
    <t>4/11</t>
  </si>
  <si>
    <t>Evens</t>
  </si>
  <si>
    <t>21/20</t>
  </si>
  <si>
    <t>11/10</t>
  </si>
  <si>
    <t>5/4</t>
  </si>
  <si>
    <t>6/4</t>
  </si>
  <si>
    <t>3/10</t>
  </si>
  <si>
    <t>2/5</t>
  </si>
  <si>
    <t>4/9</t>
  </si>
  <si>
    <t>8/15</t>
  </si>
  <si>
    <t>4/7</t>
  </si>
  <si>
    <t>8/13</t>
  </si>
  <si>
    <t>4/6</t>
  </si>
  <si>
    <t>8/11</t>
  </si>
  <si>
    <t>4/5</t>
  </si>
  <si>
    <t>5/6</t>
  </si>
  <si>
    <t>10/11</t>
  </si>
  <si>
    <t>6/5</t>
  </si>
  <si>
    <t>11/8</t>
  </si>
  <si>
    <t>13/8</t>
  </si>
  <si>
    <t>7/4</t>
  </si>
  <si>
    <t>15/8</t>
  </si>
  <si>
    <t>2/1</t>
  </si>
  <si>
    <t>9/4</t>
  </si>
  <si>
    <t>5/2</t>
  </si>
  <si>
    <t>11/4</t>
  </si>
  <si>
    <t>3/1</t>
  </si>
  <si>
    <t>7/2</t>
  </si>
  <si>
    <t>4/1</t>
  </si>
  <si>
    <t>9/2</t>
  </si>
  <si>
    <t>5/1</t>
  </si>
  <si>
    <t>11/2</t>
  </si>
  <si>
    <t>6/1</t>
  </si>
  <si>
    <t>13/2</t>
  </si>
  <si>
    <t>7/1</t>
  </si>
  <si>
    <t>15/2</t>
  </si>
  <si>
    <t>8/1</t>
  </si>
  <si>
    <t>17/2</t>
  </si>
  <si>
    <t>9/1</t>
  </si>
  <si>
    <t>10/1</t>
  </si>
  <si>
    <t>11/1</t>
  </si>
  <si>
    <t>12/1</t>
  </si>
  <si>
    <t>14/1</t>
  </si>
  <si>
    <t>2/15</t>
  </si>
  <si>
    <t>2/13</t>
  </si>
  <si>
    <t>10/3</t>
  </si>
  <si>
    <t>M</t>
  </si>
  <si>
    <t>20/21</t>
  </si>
  <si>
    <t>25/1</t>
  </si>
  <si>
    <t>1/25</t>
  </si>
  <si>
    <t>H-Odds</t>
  </si>
  <si>
    <t>D-Odds</t>
  </si>
  <si>
    <t>A-Odds</t>
  </si>
  <si>
    <t>Forecast</t>
  </si>
  <si>
    <t>F'cast</t>
  </si>
  <si>
    <t>Performance</t>
  </si>
  <si>
    <t>Result</t>
  </si>
  <si>
    <t>Forecast for Best Fit</t>
  </si>
  <si>
    <t>Result (F) for Best Fit</t>
  </si>
  <si>
    <t>Book</t>
  </si>
  <si>
    <t>Margin</t>
  </si>
  <si>
    <t>%</t>
  </si>
  <si>
    <t/>
  </si>
  <si>
    <t>Date</t>
  </si>
  <si>
    <t>Number of Teams in League</t>
  </si>
  <si>
    <t>Number of Rounds i.e. games to be played by each team</t>
  </si>
  <si>
    <t>Goodness of Fit is a number between -1 and +1 summarising the fit between the forecast odds and the actual results. The Goodness of Fit between the forecast odds and actual results to date is;</t>
  </si>
  <si>
    <t>Goal Diff</t>
  </si>
  <si>
    <t>Number</t>
  </si>
  <si>
    <t>Rounds</t>
  </si>
  <si>
    <t>Bonus</t>
  </si>
  <si>
    <t>Rating Factor</t>
  </si>
  <si>
    <t>GoF - Forecast</t>
  </si>
  <si>
    <t>The R factor is a number between 1 and 100 that weights the influence between recent and past results.
1 indicates a low influence of recent results over historic results. Recommend between 20 and 50.</t>
  </si>
  <si>
    <t>Enter here a bonus to add to the Rating Factor for victories by more than 2.5 goals. 
Recommend between 0-10</t>
  </si>
  <si>
    <t>Forecast Odds</t>
  </si>
  <si>
    <t>1/99</t>
  </si>
  <si>
    <t>1/66</t>
  </si>
  <si>
    <t>1/50</t>
  </si>
  <si>
    <t>1/33</t>
  </si>
  <si>
    <t>1/15</t>
  </si>
  <si>
    <t>1/13</t>
  </si>
  <si>
    <t>7/50</t>
  </si>
  <si>
    <t>7/25</t>
  </si>
  <si>
    <t>8/25</t>
  </si>
  <si>
    <t>17/50</t>
  </si>
  <si>
    <t>9/25</t>
  </si>
  <si>
    <t>19/50</t>
  </si>
  <si>
    <t>21/50</t>
  </si>
  <si>
    <t>11/25</t>
  </si>
  <si>
    <t>23/50</t>
  </si>
  <si>
    <t>12/25</t>
  </si>
  <si>
    <t>13/25</t>
  </si>
  <si>
    <t>27/50</t>
  </si>
  <si>
    <t>14/25</t>
  </si>
  <si>
    <t>3/5</t>
  </si>
  <si>
    <t>16/25</t>
  </si>
  <si>
    <t>33/50</t>
  </si>
  <si>
    <t>17/25</t>
  </si>
  <si>
    <t>7/10</t>
  </si>
  <si>
    <t>18/25</t>
  </si>
  <si>
    <t>37/50</t>
  </si>
  <si>
    <t>19/25</t>
  </si>
  <si>
    <t>39/50</t>
  </si>
  <si>
    <t>43/50</t>
  </si>
  <si>
    <t>22/25</t>
  </si>
  <si>
    <t>9/10</t>
  </si>
  <si>
    <t>23/25</t>
  </si>
  <si>
    <t>47/50</t>
  </si>
  <si>
    <t>24/25</t>
  </si>
  <si>
    <t>49/50</t>
  </si>
  <si>
    <t>51/50</t>
  </si>
  <si>
    <t>13/10</t>
  </si>
  <si>
    <t>7/5</t>
  </si>
  <si>
    <t>8/5</t>
  </si>
  <si>
    <t>17/10</t>
  </si>
  <si>
    <t>9/5</t>
  </si>
  <si>
    <t>19/10</t>
  </si>
  <si>
    <t>21/10</t>
  </si>
  <si>
    <t>11/5</t>
  </si>
  <si>
    <t>23/10</t>
  </si>
  <si>
    <t>12/5</t>
  </si>
  <si>
    <t>13/5</t>
  </si>
  <si>
    <t>14/5</t>
  </si>
  <si>
    <t>31/10</t>
  </si>
  <si>
    <t>16/5</t>
  </si>
  <si>
    <t>33/10</t>
  </si>
  <si>
    <t>19/2</t>
  </si>
  <si>
    <t>21/2</t>
  </si>
  <si>
    <t>23/2</t>
  </si>
  <si>
    <t>25/2</t>
  </si>
  <si>
    <t>13/1</t>
  </si>
  <si>
    <t>27/2</t>
  </si>
  <si>
    <t>29/2</t>
  </si>
  <si>
    <t>15/1</t>
  </si>
  <si>
    <t>31/2</t>
  </si>
  <si>
    <t>33/2</t>
  </si>
  <si>
    <t>17/1</t>
  </si>
  <si>
    <t>35/2</t>
  </si>
  <si>
    <t>18/1</t>
  </si>
  <si>
    <t>37/2</t>
  </si>
  <si>
    <t>19/1</t>
  </si>
  <si>
    <t>39/2</t>
  </si>
  <si>
    <t>21/1</t>
  </si>
  <si>
    <t>22/1</t>
  </si>
  <si>
    <t>23/1</t>
  </si>
  <si>
    <t>24/1</t>
  </si>
  <si>
    <t>26/1</t>
  </si>
  <si>
    <t>27/1</t>
  </si>
  <si>
    <t>28/1</t>
  </si>
  <si>
    <t>29/1</t>
  </si>
  <si>
    <t>30/1</t>
  </si>
  <si>
    <t>31/1</t>
  </si>
  <si>
    <t>32/1</t>
  </si>
  <si>
    <t>33/1</t>
  </si>
  <si>
    <t>34/1</t>
  </si>
  <si>
    <t>35/1</t>
  </si>
  <si>
    <t>36/1</t>
  </si>
  <si>
    <t>37/1</t>
  </si>
  <si>
    <t>38/1</t>
  </si>
  <si>
    <t>39/1</t>
  </si>
  <si>
    <t>40/1</t>
  </si>
  <si>
    <t>41/1</t>
  </si>
  <si>
    <t>42/1</t>
  </si>
  <si>
    <t>43/1</t>
  </si>
  <si>
    <t>44/1</t>
  </si>
  <si>
    <t>45/1</t>
  </si>
  <si>
    <t>46/1</t>
  </si>
  <si>
    <t>47/1</t>
  </si>
  <si>
    <t>48/1</t>
  </si>
  <si>
    <t>49/1</t>
  </si>
  <si>
    <t>50/1</t>
  </si>
  <si>
    <t>51/1</t>
  </si>
  <si>
    <t>52/1</t>
  </si>
  <si>
    <t>53/1</t>
  </si>
  <si>
    <t>54/1</t>
  </si>
  <si>
    <t>55/1</t>
  </si>
  <si>
    <t>56/1</t>
  </si>
  <si>
    <t>57/1</t>
  </si>
  <si>
    <t>58/1</t>
  </si>
  <si>
    <t>59/1</t>
  </si>
  <si>
    <t>60/1</t>
  </si>
  <si>
    <t>61/1</t>
  </si>
  <si>
    <t>62/1</t>
  </si>
  <si>
    <t>63/1</t>
  </si>
  <si>
    <t>64/1</t>
  </si>
  <si>
    <t>65/1</t>
  </si>
  <si>
    <t>66/1</t>
  </si>
  <si>
    <t>67/1</t>
  </si>
  <si>
    <t>68/1</t>
  </si>
  <si>
    <t>69/1</t>
  </si>
  <si>
    <t>70/1</t>
  </si>
  <si>
    <t>71/1</t>
  </si>
  <si>
    <t>72/1</t>
  </si>
  <si>
    <t>73/1</t>
  </si>
  <si>
    <t>74/1</t>
  </si>
  <si>
    <t>75/1</t>
  </si>
  <si>
    <t>76/1</t>
  </si>
  <si>
    <t>77/1</t>
  </si>
  <si>
    <t>78/1</t>
  </si>
  <si>
    <t>79/1</t>
  </si>
  <si>
    <t>80/1</t>
  </si>
  <si>
    <t>81/1</t>
  </si>
  <si>
    <t>82/1</t>
  </si>
  <si>
    <t>83/1</t>
  </si>
  <si>
    <t>84/1</t>
  </si>
  <si>
    <t>85/1</t>
  </si>
  <si>
    <t>86/1</t>
  </si>
  <si>
    <t>87/1</t>
  </si>
  <si>
    <t>88/1</t>
  </si>
  <si>
    <t>89/1</t>
  </si>
  <si>
    <t>90/1</t>
  </si>
  <si>
    <t>91/1</t>
  </si>
  <si>
    <t>92/1</t>
  </si>
  <si>
    <t>93/1</t>
  </si>
  <si>
    <t>94/1</t>
  </si>
  <si>
    <t>95/1</t>
  </si>
  <si>
    <t>96/1</t>
  </si>
  <si>
    <t>97/1</t>
  </si>
  <si>
    <t>98/1</t>
  </si>
  <si>
    <t>Teams</t>
  </si>
  <si>
    <t>The D factor is a percentage between 0 and 100 that represents the expected percentage of draws over the season from all matches in the particular League. Recommend a percentage between 24% and 32%</t>
  </si>
  <si>
    <t>Ranking</t>
  </si>
  <si>
    <t>Rating</t>
  </si>
  <si>
    <t>Germany</t>
  </si>
  <si>
    <t>Season</t>
  </si>
  <si>
    <t>Saudi Arabia</t>
  </si>
  <si>
    <t>Brazil</t>
  </si>
  <si>
    <t>Australia</t>
  </si>
  <si>
    <t>2018</t>
  </si>
  <si>
    <t>Belgium</t>
  </si>
  <si>
    <t>% Actual</t>
  </si>
  <si>
    <t>Uruguay</t>
  </si>
  <si>
    <t>% F'Cast</t>
  </si>
  <si>
    <t>2014</t>
  </si>
  <si>
    <t>Spain</t>
  </si>
  <si>
    <t>2010</t>
  </si>
  <si>
    <t>Morocco</t>
  </si>
  <si>
    <t>2006</t>
  </si>
  <si>
    <t>2002</t>
  </si>
  <si>
    <t>1998</t>
  </si>
  <si>
    <t>Switzerland</t>
  </si>
  <si>
    <t>1994</t>
  </si>
  <si>
    <t>1990</t>
  </si>
  <si>
    <t>1986</t>
  </si>
  <si>
    <t>Mexico</t>
  </si>
  <si>
    <t>1982</t>
  </si>
  <si>
    <t>1978</t>
  </si>
  <si>
    <t>Japan</t>
  </si>
  <si>
    <t>Tunisia</t>
  </si>
  <si>
    <t>POINTS</t>
  </si>
  <si>
    <t>Win Points</t>
  </si>
  <si>
    <t>Draw Points</t>
  </si>
  <si>
    <t>Loss Points</t>
  </si>
  <si>
    <t>Total Goals</t>
  </si>
  <si>
    <t>Group A</t>
  </si>
  <si>
    <t>Played</t>
  </si>
  <si>
    <t>W</t>
  </si>
  <si>
    <t>L</t>
  </si>
  <si>
    <t>F</t>
  </si>
  <si>
    <t>GD</t>
  </si>
  <si>
    <t>Points</t>
  </si>
  <si>
    <t>Team</t>
  </si>
  <si>
    <t>P</t>
  </si>
  <si>
    <t>Group B</t>
  </si>
  <si>
    <t>Group C</t>
  </si>
  <si>
    <t>Group D</t>
  </si>
  <si>
    <t>Group E</t>
  </si>
  <si>
    <t>Group F</t>
  </si>
  <si>
    <t>Group G</t>
  </si>
  <si>
    <t>Group H</t>
  </si>
  <si>
    <t>BST</t>
  </si>
  <si>
    <t>Group</t>
  </si>
  <si>
    <t>Stadium</t>
  </si>
  <si>
    <t>Gp</t>
  </si>
  <si>
    <t>Winner</t>
  </si>
  <si>
    <t>Loser</t>
  </si>
  <si>
    <t>Rank</t>
  </si>
  <si>
    <t>B</t>
  </si>
  <si>
    <t xml:space="preserve"> </t>
  </si>
  <si>
    <t>C</t>
  </si>
  <si>
    <t>E</t>
  </si>
  <si>
    <t>G</t>
  </si>
  <si>
    <t xml:space="preserve">   </t>
  </si>
  <si>
    <r>
      <t>3</t>
    </r>
    <r>
      <rPr>
        <vertAlign val="superscript"/>
        <sz val="14"/>
        <color theme="3"/>
        <rFont val="Verdana"/>
        <family val="2"/>
      </rPr>
      <t>rd</t>
    </r>
    <r>
      <rPr>
        <sz val="14"/>
        <color theme="3"/>
        <rFont val="Verdana"/>
        <family val="2"/>
      </rPr>
      <t xml:space="preserve"> Place</t>
    </r>
  </si>
  <si>
    <r>
      <t>4</t>
    </r>
    <r>
      <rPr>
        <vertAlign val="superscript"/>
        <sz val="14"/>
        <color theme="3"/>
        <rFont val="Verdana"/>
        <family val="2"/>
      </rPr>
      <t>th</t>
    </r>
    <r>
      <rPr>
        <sz val="14"/>
        <color theme="3"/>
        <rFont val="Verdana"/>
        <family val="2"/>
      </rPr>
      <t xml:space="preserve"> Place</t>
    </r>
  </si>
  <si>
    <t>Final</t>
  </si>
  <si>
    <t>Winner:</t>
  </si>
  <si>
    <t>Runner-up</t>
  </si>
  <si>
    <t>Score</t>
  </si>
  <si>
    <t>Random</t>
  </si>
  <si>
    <t xml:space="preserve">Home  </t>
  </si>
  <si>
    <t>Selector</t>
  </si>
  <si>
    <t>AET</t>
  </si>
  <si>
    <t>Penalties</t>
  </si>
  <si>
    <t>Random AET</t>
  </si>
  <si>
    <t>Random Penalties</t>
  </si>
  <si>
    <t>Random 90 Mins</t>
  </si>
  <si>
    <t>PEN</t>
  </si>
  <si>
    <t>90M</t>
  </si>
  <si>
    <t>Title</t>
  </si>
  <si>
    <t>Enter a random number for the 90 minute Forecast between 1 and 100
Or Enter 0 for a random forecast however Forecast will keep changing</t>
  </si>
  <si>
    <t>Enter a random number for the Extra Time Forecast between 1 and 100
Or Enter 0 for a random forecast however Forecast will keep changing</t>
  </si>
  <si>
    <t>Enter a random number for the Penalties Forecast between 1 and 100 
Or Enter 0 for a random forecast however Forecast will keep changing</t>
  </si>
  <si>
    <t>A1</t>
  </si>
  <si>
    <t>A2</t>
  </si>
  <si>
    <t>A3</t>
  </si>
  <si>
    <t>A4</t>
  </si>
  <si>
    <t>B1</t>
  </si>
  <si>
    <t>B2</t>
  </si>
  <si>
    <t>B3</t>
  </si>
  <si>
    <t>B4</t>
  </si>
  <si>
    <t>C1</t>
  </si>
  <si>
    <t>C2</t>
  </si>
  <si>
    <t>C3</t>
  </si>
  <si>
    <t>C4</t>
  </si>
  <si>
    <t>D1</t>
  </si>
  <si>
    <t>D2</t>
  </si>
  <si>
    <t>D3</t>
  </si>
  <si>
    <t>D4</t>
  </si>
  <si>
    <t>E1</t>
  </si>
  <si>
    <t>E2</t>
  </si>
  <si>
    <t>E3</t>
  </si>
  <si>
    <t>E4</t>
  </si>
  <si>
    <t>F1</t>
  </si>
  <si>
    <t>F2</t>
  </si>
  <si>
    <t>F3</t>
  </si>
  <si>
    <t>F4</t>
  </si>
  <si>
    <t>G1</t>
  </si>
  <si>
    <t>G2</t>
  </si>
  <si>
    <t>G3</t>
  </si>
  <si>
    <t>G4</t>
  </si>
  <si>
    <t>H1</t>
  </si>
  <si>
    <t>H2</t>
  </si>
  <si>
    <t>H3</t>
  </si>
  <si>
    <t>H4</t>
  </si>
  <si>
    <t>Group Winner</t>
  </si>
  <si>
    <t>Book
Odds</t>
  </si>
  <si>
    <t>Forecast %</t>
  </si>
  <si>
    <t>Outright Winner</t>
  </si>
  <si>
    <t>3rd Place Play-Off</t>
  </si>
  <si>
    <t>FIFA</t>
  </si>
  <si>
    <t>100/1</t>
  </si>
  <si>
    <t>Fair Play</t>
  </si>
  <si>
    <t>Goals</t>
  </si>
  <si>
    <t>Book
Margin</t>
  </si>
  <si>
    <t>Semi-Final</t>
  </si>
  <si>
    <t>Quarter-Final</t>
  </si>
  <si>
    <t>Qatar</t>
  </si>
  <si>
    <t>Netherlands</t>
  </si>
  <si>
    <t>USA</t>
  </si>
  <si>
    <t>Canada</t>
  </si>
  <si>
    <t>Capacity</t>
  </si>
  <si>
    <t>Stadium 3</t>
  </si>
  <si>
    <t>Stadium 4</t>
  </si>
  <si>
    <t>Stadium 5</t>
  </si>
  <si>
    <t>Stadium 6</t>
  </si>
  <si>
    <t>Stadium 7</t>
  </si>
  <si>
    <t>Stadium 8</t>
  </si>
  <si>
    <t>Stadium 1</t>
  </si>
  <si>
    <t>Stadium 2</t>
  </si>
  <si>
    <t>2022</t>
  </si>
  <si>
    <t>four points for a straight red card.</t>
  </si>
  <si>
    <t>Fair Play Points</t>
  </si>
  <si>
    <t>Fair</t>
  </si>
  <si>
    <t>Play</t>
  </si>
  <si>
    <t>Red</t>
  </si>
  <si>
    <t>First</t>
  </si>
  <si>
    <t>Second</t>
  </si>
  <si>
    <t>Straight</t>
  </si>
  <si>
    <t>Yellow</t>
  </si>
  <si>
    <t>one point for a yellow card.</t>
  </si>
  <si>
    <t>two points for a second yellow card.</t>
  </si>
  <si>
    <t>Personal
Adj + / -</t>
  </si>
  <si>
    <t>FIFA
Rating</t>
  </si>
  <si>
    <t>Adjusted
Rating</t>
  </si>
  <si>
    <t>FIFA
Rank</t>
  </si>
  <si>
    <t>Book
%</t>
  </si>
  <si>
    <t>2026 FIFA World Cup Americas</t>
  </si>
  <si>
    <t>I1</t>
  </si>
  <si>
    <t>I2</t>
  </si>
  <si>
    <t>I3</t>
  </si>
  <si>
    <t>I4</t>
  </si>
  <si>
    <t>J1</t>
  </si>
  <si>
    <t>J2</t>
  </si>
  <si>
    <t>J3</t>
  </si>
  <si>
    <t>J4</t>
  </si>
  <si>
    <t>K1</t>
  </si>
  <si>
    <t>K2</t>
  </si>
  <si>
    <t>K3</t>
  </si>
  <si>
    <t>K4</t>
  </si>
  <si>
    <t>L1</t>
  </si>
  <si>
    <t>L2</t>
  </si>
  <si>
    <t>L3</t>
  </si>
  <si>
    <t>L4</t>
  </si>
  <si>
    <t>South Africa</t>
  </si>
  <si>
    <t>Haiti</t>
  </si>
  <si>
    <t>Scotland</t>
  </si>
  <si>
    <t>Paraguay</t>
  </si>
  <si>
    <t>Egypt</t>
  </si>
  <si>
    <t>New Zealand</t>
  </si>
  <si>
    <t>Cabo Verde</t>
  </si>
  <si>
    <t>2026</t>
  </si>
  <si>
    <t>Korea Republic</t>
  </si>
  <si>
    <t>Czechia</t>
  </si>
  <si>
    <t>Bosnia-Herzegovina</t>
  </si>
  <si>
    <t>Turkiye</t>
  </si>
  <si>
    <t>Cote d'Ivorie</t>
  </si>
  <si>
    <t>Sweden</t>
  </si>
  <si>
    <t>IR Iran</t>
  </si>
  <si>
    <t>France</t>
  </si>
  <si>
    <t>Senegal</t>
  </si>
  <si>
    <t>Iraq</t>
  </si>
  <si>
    <t>Norway</t>
  </si>
  <si>
    <t>Argentina</t>
  </si>
  <si>
    <t>Algeria</t>
  </si>
  <si>
    <t>Austria</t>
  </si>
  <si>
    <t>Jordan</t>
  </si>
  <si>
    <t>Portugal</t>
  </si>
  <si>
    <t>Congo DR</t>
  </si>
  <si>
    <t>Uzbekistan</t>
  </si>
  <si>
    <t>Colombia</t>
  </si>
  <si>
    <t>England</t>
  </si>
  <si>
    <t>Croatia</t>
  </si>
  <si>
    <t>Ghana</t>
  </si>
  <si>
    <t>Panama</t>
  </si>
  <si>
    <t>Mexico City Stadium</t>
  </si>
  <si>
    <t>Mexico City</t>
  </si>
  <si>
    <t>Opened</t>
  </si>
  <si>
    <t>Stadium 9</t>
  </si>
  <si>
    <t>Stadium 10</t>
  </si>
  <si>
    <t>Stadium 11</t>
  </si>
  <si>
    <t>Stadium 12</t>
  </si>
  <si>
    <t>Stadium 13</t>
  </si>
  <si>
    <t>Stadium 14</t>
  </si>
  <si>
    <t>Stadium 15</t>
  </si>
  <si>
    <t>Stadium 16</t>
  </si>
  <si>
    <t>Toronto Stadium</t>
  </si>
  <si>
    <t>BC Place Vancouver</t>
  </si>
  <si>
    <t>Estadio Guadalajara</t>
  </si>
  <si>
    <t>Estadio Monterrey</t>
  </si>
  <si>
    <t>Atlanta Stadium</t>
  </si>
  <si>
    <t>Country</t>
  </si>
  <si>
    <t>City</t>
  </si>
  <si>
    <t>Toronto</t>
  </si>
  <si>
    <t>Vancouver</t>
  </si>
  <si>
    <t xml:space="preserve"> Zapopan</t>
  </si>
  <si>
    <t>Guadalupe</t>
  </si>
  <si>
    <t>Atlanta</t>
  </si>
  <si>
    <t>Boston Stadium</t>
  </si>
  <si>
    <t>Foxborough</t>
  </si>
  <si>
    <t>Dallas Stadium</t>
  </si>
  <si>
    <t>Arlington</t>
  </si>
  <si>
    <t>Texas USA</t>
  </si>
  <si>
    <t>Masachusetts USA</t>
  </si>
  <si>
    <t>Georgia USA</t>
  </si>
  <si>
    <t>Houston Stadium</t>
  </si>
  <si>
    <t>Houston</t>
  </si>
  <si>
    <t>Kansas City Stadium</t>
  </si>
  <si>
    <t>Kansas City</t>
  </si>
  <si>
    <t>Missouri USA</t>
  </si>
  <si>
    <t>Los Angeles Stadium</t>
  </si>
  <si>
    <t>Inglewood</t>
  </si>
  <si>
    <t>California USA</t>
  </si>
  <si>
    <t>Miami Stadium</t>
  </si>
  <si>
    <t>Miami Gardens</t>
  </si>
  <si>
    <t>Florida USA</t>
  </si>
  <si>
    <t>East Rutherford</t>
  </si>
  <si>
    <t>New Jersey</t>
  </si>
  <si>
    <t>MetLife Stadium</t>
  </si>
  <si>
    <t>Philadelphia Stadium</t>
  </si>
  <si>
    <t>Pennsylvania USA</t>
  </si>
  <si>
    <t>Philadelphia</t>
  </si>
  <si>
    <t>San Franciso Bay Stadium</t>
  </si>
  <si>
    <t>Santa Clara</t>
  </si>
  <si>
    <t>Seattle Stadium</t>
  </si>
  <si>
    <t>Seattle</t>
  </si>
  <si>
    <t>Washington USA</t>
  </si>
  <si>
    <t>Reference</t>
  </si>
  <si>
    <t>Group I</t>
  </si>
  <si>
    <t>Group J</t>
  </si>
  <si>
    <t>Group K</t>
  </si>
  <si>
    <t>Group L</t>
  </si>
  <si>
    <t>Round of 16</t>
  </si>
  <si>
    <t>Round of 32</t>
  </si>
  <si>
    <t>Hidden</t>
  </si>
  <si>
    <t>Group Tables</t>
  </si>
  <si>
    <t>3rd Place Teams</t>
  </si>
  <si>
    <t>-</t>
  </si>
  <si>
    <t>1 v 2</t>
  </si>
  <si>
    <t>1 v 3</t>
  </si>
  <si>
    <t>4 v 1</t>
  </si>
  <si>
    <t>2 v 3</t>
  </si>
  <si>
    <t>4 v 2</t>
  </si>
  <si>
    <t>3 v 4</t>
  </si>
  <si>
    <t>A1A2</t>
  </si>
  <si>
    <t>A3A4</t>
  </si>
  <si>
    <t>D1D2</t>
  </si>
  <si>
    <t>B3B4</t>
  </si>
  <si>
    <t>C1C2</t>
  </si>
  <si>
    <t>C3C4</t>
  </si>
  <si>
    <t>D3D4</t>
  </si>
  <si>
    <t>E1E2</t>
  </si>
  <si>
    <t>F1F2</t>
  </si>
  <si>
    <t>E3E4</t>
  </si>
  <si>
    <t>F3F4</t>
  </si>
  <si>
    <t>H1H2</t>
  </si>
  <si>
    <t>G1G2</t>
  </si>
  <si>
    <t>H3H4</t>
  </si>
  <si>
    <t>G3G4</t>
  </si>
  <si>
    <t>I1I2</t>
  </si>
  <si>
    <t>I3I4</t>
  </si>
  <si>
    <t>J1J2</t>
  </si>
  <si>
    <t>J3J4</t>
  </si>
  <si>
    <t>K1K2</t>
  </si>
  <si>
    <t>L1L2</t>
  </si>
  <si>
    <t>L3L4</t>
  </si>
  <si>
    <t>K3K4</t>
  </si>
  <si>
    <t>Pts</t>
  </si>
  <si>
    <t>A4A2</t>
  </si>
  <si>
    <t>B4B2</t>
  </si>
  <si>
    <t>B1B3</t>
  </si>
  <si>
    <t>A1A3</t>
  </si>
  <si>
    <t>B1B2</t>
  </si>
  <si>
    <t>D1D3</t>
  </si>
  <si>
    <t>C4C2</t>
  </si>
  <si>
    <t>C1C3</t>
  </si>
  <si>
    <t>D4D2</t>
  </si>
  <si>
    <t>F1F3</t>
  </si>
  <si>
    <t>E1E3</t>
  </si>
  <si>
    <t>E4E2</t>
  </si>
  <si>
    <t>F4F2</t>
  </si>
  <si>
    <t>H1H3</t>
  </si>
  <si>
    <t>G1G3</t>
  </si>
  <si>
    <t>H4H2</t>
  </si>
  <si>
    <t>G4G2</t>
  </si>
  <si>
    <t>J1J3</t>
  </si>
  <si>
    <t>I1I3</t>
  </si>
  <si>
    <t>I4I2</t>
  </si>
  <si>
    <t>J4J2</t>
  </si>
  <si>
    <t>K1K3</t>
  </si>
  <si>
    <t>L1L3</t>
  </si>
  <si>
    <t>L4L2</t>
  </si>
  <si>
    <t>K4K2</t>
  </si>
  <si>
    <t>B4B1</t>
  </si>
  <si>
    <t>B2B3</t>
  </si>
  <si>
    <t>C4C1</t>
  </si>
  <si>
    <t>C2C3</t>
  </si>
  <si>
    <t>A4A1</t>
  </si>
  <si>
    <t>A2A3</t>
  </si>
  <si>
    <t>E2E3</t>
  </si>
  <si>
    <t>E4E1</t>
  </si>
  <si>
    <t>F2F3</t>
  </si>
  <si>
    <t>F4F1</t>
  </si>
  <si>
    <t>D4D1</t>
  </si>
  <si>
    <t>D2D3</t>
  </si>
  <si>
    <t>I4I1</t>
  </si>
  <si>
    <t>I2I3</t>
  </si>
  <si>
    <t>H2H3</t>
  </si>
  <si>
    <t>H4H1</t>
  </si>
  <si>
    <t>G2G3</t>
  </si>
  <si>
    <t>G4G1</t>
  </si>
  <si>
    <t>L4L1</t>
  </si>
  <si>
    <t>L2L3</t>
  </si>
  <si>
    <t>K4K1</t>
  </si>
  <si>
    <t>K2K3</t>
  </si>
  <si>
    <t>J2J3</t>
  </si>
  <si>
    <t>J4J1</t>
  </si>
  <si>
    <t>FP</t>
  </si>
  <si>
    <t>Ecuador</t>
  </si>
  <si>
    <t>Match</t>
  </si>
  <si>
    <t>World Cups</t>
  </si>
  <si>
    <t>Curaçao</t>
  </si>
  <si>
    <t>I</t>
  </si>
  <si>
    <t>J</t>
  </si>
  <si>
    <t>K</t>
  </si>
  <si>
    <t>+Adj 1</t>
  </si>
  <si>
    <t>Goals Scored Table</t>
  </si>
  <si>
    <t>Goals Scored between teams on equal points</t>
  </si>
  <si>
    <t>Goal Difference Table</t>
  </si>
  <si>
    <t>Goal Difference between teams on equal points</t>
  </si>
  <si>
    <t>Points between Teams Table</t>
  </si>
  <si>
    <t>Teams on equal points</t>
  </si>
  <si>
    <t>Goals For</t>
  </si>
  <si>
    <t>Goals Against</t>
  </si>
  <si>
    <t>Goal Difference</t>
  </si>
  <si>
    <t>Total Points</t>
  </si>
  <si>
    <t>Final Rank</t>
  </si>
  <si>
    <t>Ranking Order</t>
  </si>
  <si>
    <t>Games Played</t>
  </si>
  <si>
    <t>Score H</t>
  </si>
  <si>
    <t>Score A</t>
  </si>
  <si>
    <t>Points H</t>
  </si>
  <si>
    <t>Points A</t>
  </si>
  <si>
    <t>FairPlay H</t>
  </si>
  <si>
    <t>FairPlay A</t>
  </si>
  <si>
    <t>Position</t>
  </si>
  <si>
    <t>GF</t>
  </si>
  <si>
    <t>GA</t>
  </si>
  <si>
    <t>Regulations</t>
  </si>
  <si>
    <t>Step 1:</t>
  </si>
  <si>
    <t>Step 2:</t>
  </si>
  <si>
    <t>d) superior goal difference in all group matches;</t>
  </si>
  <si>
    <t>e) greatest number of goals scored in all group matches;</t>
  </si>
  <si>
    <t>Step 3:</t>
  </si>
  <si>
    <t>a) greatest number of points obtained in all group matches;</t>
  </si>
  <si>
    <t>b) goal difference resulting from all group matches;</t>
  </si>
  <si>
    <t>c) greatest number of goals scored in all group matches;</t>
  </si>
  <si>
    <t>If two or more teams in the same group are equal on points after the completion of the group stage, the following criteria, in the order below, shall be applied to determine the ranking:</t>
  </si>
  <si>
    <t>a) greatest number of points obtained in the group matches between the teams concerned;</t>
  </si>
  <si>
    <t>b) superior goal difference resulting from the group matches between the teams concerned;</t>
  </si>
  <si>
    <t>c) greatest number of goals scored in all group matches between the teams concerned.</t>
  </si>
  <si>
    <t>If, after having applied criteria a) to c) above, teams still have an equal ranking, and in order to determine their final rankings, criteria a) to c) above are applied to the matches between the remaining teams only. If no decision can be made through this procedure, criteria d) to f) below shall apply as follows to the two or more teams still equal on points:</t>
  </si>
  <si>
    <t>Eufa Ranking</t>
  </si>
  <si>
    <t>With respect to the second step, all affected teams will be ranked by applying the criteria d) to f) in order. If one team qualifies for a higher or lower ranking pursuant to one criterion, but it is not possible to rank all teams on the basis of the same criterion, the remaining two or three teams will be ranked pursuant to the next criterion, and so on. In any case, the second step of the ranking does not restart for the two or three teams remaining after application of a criterion.</t>
  </si>
  <si>
    <t>If no decision can be made through the procedures of step 1 and 2, the following shall apply:</t>
  </si>
  <si>
    <t>g) the two or more teams still equal on points shall be ranked according to the most recent published edition of the FIFA/Coca‑Cola Men’s World Ranking;</t>
  </si>
  <si>
    <t>Third Places</t>
  </si>
  <si>
    <t>The eight best‑ranked teams among those finishing third (third‑placed teams from 1 to 8) will be determined as follows:</t>
  </si>
  <si>
    <t>d) highest team conduct score (players and team officials) relating to the number of yellow and red cards obtained in all group matches and calculated as per article 13 paragraph 1, step 2;</t>
  </si>
  <si>
    <t>Group Cross Tables</t>
  </si>
  <si>
    <t>Won</t>
  </si>
  <si>
    <t>Drawn</t>
  </si>
  <si>
    <t>Lost</t>
  </si>
  <si>
    <t>Adj</t>
  </si>
  <si>
    <t>Adjusted Points between Teams Table - Pass 1</t>
  </si>
  <si>
    <t>Adjusted Points between Teams Table - Pass 2</t>
  </si>
  <si>
    <t>Adjusted Points between Teams Table - Pass 3</t>
  </si>
  <si>
    <t>Ranking Points</t>
  </si>
  <si>
    <t>Third Place</t>
  </si>
  <si>
    <t>EUFA Ranking</t>
  </si>
  <si>
    <t>Option</t>
  </si>
  <si>
    <t>1A</t>
  </si>
  <si>
    <t>1B</t>
  </si>
  <si>
    <t>1D</t>
  </si>
  <si>
    <t>1E</t>
  </si>
  <si>
    <t>1G</t>
  </si>
  <si>
    <t>1I</t>
  </si>
  <si>
    <t>1K</t>
  </si>
  <si>
    <t>1L</t>
  </si>
  <si>
    <t>EFGHIJKL</t>
  </si>
  <si>
    <t>3E</t>
  </si>
  <si>
    <t>3J</t>
  </si>
  <si>
    <t>3I</t>
  </si>
  <si>
    <t>3F</t>
  </si>
  <si>
    <t>3H</t>
  </si>
  <si>
    <t>3G</t>
  </si>
  <si>
    <t>3L</t>
  </si>
  <si>
    <t>3K</t>
  </si>
  <si>
    <t>DFGHIJKL</t>
  </si>
  <si>
    <t>3D</t>
  </si>
  <si>
    <t>DEGHIJKL</t>
  </si>
  <si>
    <t>DEFHIJKL</t>
  </si>
  <si>
    <t>DEFGIJKL</t>
  </si>
  <si>
    <t>DEFGHJKL</t>
  </si>
  <si>
    <t>DEFGHIKL</t>
  </si>
  <si>
    <t>DEFGHIJL</t>
  </si>
  <si>
    <t>DEFGHIJK</t>
  </si>
  <si>
    <t>CFGHIJKL</t>
  </si>
  <si>
    <t>3C</t>
  </si>
  <si>
    <t>CEGHIJKL</t>
  </si>
  <si>
    <t>CEFHIJKL</t>
  </si>
  <si>
    <t>CEFGIJKL</t>
  </si>
  <si>
    <t>CEFGHJKL</t>
  </si>
  <si>
    <t>CEFGHIKL</t>
  </si>
  <si>
    <t>CEFGHIJL</t>
  </si>
  <si>
    <t>CEFGHIJK</t>
  </si>
  <si>
    <t>CDGHIJKL</t>
  </si>
  <si>
    <t>CDFHIJKL</t>
  </si>
  <si>
    <t>CDFGIJKL</t>
  </si>
  <si>
    <t>CDFGHJKL</t>
  </si>
  <si>
    <t>CDFGHIKL</t>
  </si>
  <si>
    <t>CDFGHIJL</t>
  </si>
  <si>
    <t>CDFGHIJK</t>
  </si>
  <si>
    <t>CDEHIJKL</t>
  </si>
  <si>
    <t>CDEGIJKL</t>
  </si>
  <si>
    <t>CDEGHJKL</t>
  </si>
  <si>
    <t>CDEGHIKL</t>
  </si>
  <si>
    <t>CDEGHIJL</t>
  </si>
  <si>
    <t>CDEGHIJK</t>
  </si>
  <si>
    <t>CDEFIJKL</t>
  </si>
  <si>
    <t>CDEFHJKL</t>
  </si>
  <si>
    <t>CDEFHIKL</t>
  </si>
  <si>
    <t>CDEFHIJL</t>
  </si>
  <si>
    <t>CDEFHIJK</t>
  </si>
  <si>
    <t>CDEFGJKL</t>
  </si>
  <si>
    <t>CDEFGIKL</t>
  </si>
  <si>
    <t>CDEFGIJL</t>
  </si>
  <si>
    <t>CDEFGIJK</t>
  </si>
  <si>
    <t>CDEFGHKL</t>
  </si>
  <si>
    <t>CDEFGHJL</t>
  </si>
  <si>
    <t>CDEFGHJK</t>
  </si>
  <si>
    <t>CDEFGHIL</t>
  </si>
  <si>
    <t>CDEFGHIK</t>
  </si>
  <si>
    <t>CDEFGHIJ</t>
  </si>
  <si>
    <t>BFGHIJKL</t>
  </si>
  <si>
    <t>3B</t>
  </si>
  <si>
    <t>BEGHIJKL</t>
  </si>
  <si>
    <t>BEFHIJKL</t>
  </si>
  <si>
    <t>BEFGIJKL</t>
  </si>
  <si>
    <t>BEFGHJKL</t>
  </si>
  <si>
    <t>BEFGHIKL</t>
  </si>
  <si>
    <t>BEFGHIJL</t>
  </si>
  <si>
    <t>BEFGHIJK</t>
  </si>
  <si>
    <t>BDGHIJKL</t>
  </si>
  <si>
    <t>BDFHIJKL</t>
  </si>
  <si>
    <t>BDFGIJKL</t>
  </si>
  <si>
    <t>BDFGHJKL</t>
  </si>
  <si>
    <t>BDFGHIKL</t>
  </si>
  <si>
    <t>BDFGHIJL</t>
  </si>
  <si>
    <t>BDFGHIJK</t>
  </si>
  <si>
    <t>BDEHIJKL</t>
  </si>
  <si>
    <t>BDEGIJKL</t>
  </si>
  <si>
    <t>BDEGHJKL</t>
  </si>
  <si>
    <t>BDEGHIKL</t>
  </si>
  <si>
    <t>BDEGHIJL</t>
  </si>
  <si>
    <t>BDEGHIJK</t>
  </si>
  <si>
    <t>BDEFIJKL</t>
  </si>
  <si>
    <t>BDEFHJKL</t>
  </si>
  <si>
    <t>BDEFHIKL</t>
  </si>
  <si>
    <t>BDEFHIJL</t>
  </si>
  <si>
    <t>BDEFHIJK</t>
  </si>
  <si>
    <t>BDEFGJKL</t>
  </si>
  <si>
    <t>BDEFGIKL</t>
  </si>
  <si>
    <t>BDEFGIJL</t>
  </si>
  <si>
    <t>BDEFGIJK</t>
  </si>
  <si>
    <t>BDEFGHKL</t>
  </si>
  <si>
    <t>BDEFGHJL</t>
  </si>
  <si>
    <t>BDEFGHJK</t>
  </si>
  <si>
    <t>BDEFGHIL</t>
  </si>
  <si>
    <t>BDEFGHIK</t>
  </si>
  <si>
    <t>BDEFGHIJ</t>
  </si>
  <si>
    <t>BCGHIJKL</t>
  </si>
  <si>
    <t>BCFHIJKL</t>
  </si>
  <si>
    <t>BCFGIJKL</t>
  </si>
  <si>
    <t>BCFGHJKL</t>
  </si>
  <si>
    <t>BCFGHIKL</t>
  </si>
  <si>
    <t>BCFGHIJL</t>
  </si>
  <si>
    <t>BCFGHIJK</t>
  </si>
  <si>
    <t>BCEHIJKL</t>
  </si>
  <si>
    <t>BCEGIJKL</t>
  </si>
  <si>
    <t>BCEGHJKL</t>
  </si>
  <si>
    <t>BCEGHIKL</t>
  </si>
  <si>
    <t>BCEGHIJL</t>
  </si>
  <si>
    <t>BCEGHIJK</t>
  </si>
  <si>
    <t>BCEFIJKL</t>
  </si>
  <si>
    <t>BCEFHJKL</t>
  </si>
  <si>
    <t>BCEFHIKL</t>
  </si>
  <si>
    <t>BCEFHIJL</t>
  </si>
  <si>
    <t>BCEFHIJK</t>
  </si>
  <si>
    <t>BCEFGJKL</t>
  </si>
  <si>
    <t>BCEFGIKL</t>
  </si>
  <si>
    <t>BCEFGIJL</t>
  </si>
  <si>
    <t>BCEFGIJK</t>
  </si>
  <si>
    <t>BCEFGHKL</t>
  </si>
  <si>
    <t>BCEFGHJL</t>
  </si>
  <si>
    <t>BCEFGHJK</t>
  </si>
  <si>
    <t>BCEFGHIL</t>
  </si>
  <si>
    <t>BCEFGHIK</t>
  </si>
  <si>
    <t>BCEFGHIJ</t>
  </si>
  <si>
    <t>BCDHIJKL</t>
  </si>
  <si>
    <t>BCDGIJKL</t>
  </si>
  <si>
    <t>BCDGHJKL</t>
  </si>
  <si>
    <t>BCDGHIKL</t>
  </si>
  <si>
    <t>BCDGHIJL</t>
  </si>
  <si>
    <t>BCDGHIJK</t>
  </si>
  <si>
    <t>BCDFIJKL</t>
  </si>
  <si>
    <t>BCDFHJKL</t>
  </si>
  <si>
    <t>BCDFHIKL</t>
  </si>
  <si>
    <t>BCDFHIJL</t>
  </si>
  <si>
    <t>BCDFHIJK</t>
  </si>
  <si>
    <t>BCDFGJKL</t>
  </si>
  <si>
    <t>BCDFGIKL</t>
  </si>
  <si>
    <t>BCDFGIJL</t>
  </si>
  <si>
    <t>BCDFGIJK</t>
  </si>
  <si>
    <t>BCDFGHKL</t>
  </si>
  <si>
    <t>BCDFGHJL</t>
  </si>
  <si>
    <t>BCDFGHJK</t>
  </si>
  <si>
    <t>BCDFGHIL</t>
  </si>
  <si>
    <t>BCDFGHIK</t>
  </si>
  <si>
    <t>BCDFGHIJ</t>
  </si>
  <si>
    <t>BCDEIJKL</t>
  </si>
  <si>
    <t>BCDEHJKL</t>
  </si>
  <si>
    <t>BCDEHIKL</t>
  </si>
  <si>
    <t>BCDEHIJL</t>
  </si>
  <si>
    <t>BCDEHIJK</t>
  </si>
  <si>
    <t>BCDEGJKL</t>
  </si>
  <si>
    <t>BCDEGIKL</t>
  </si>
  <si>
    <t>BCDEGIJL</t>
  </si>
  <si>
    <t>BCDEGIJK</t>
  </si>
  <si>
    <t>BCDEGHKL</t>
  </si>
  <si>
    <t>BCDEGHJL</t>
  </si>
  <si>
    <t>BCDEGHJK</t>
  </si>
  <si>
    <t>BCDEGHIL</t>
  </si>
  <si>
    <t>BCDEGHIK</t>
  </si>
  <si>
    <t>BCDEGHIJ</t>
  </si>
  <si>
    <t>BCDEFJKL</t>
  </si>
  <si>
    <t>BCDEFIKL</t>
  </si>
  <si>
    <t>BCDEFIJL</t>
  </si>
  <si>
    <t>BCDEFIJK</t>
  </si>
  <si>
    <t>BCDEFHKL</t>
  </si>
  <si>
    <t>BCDEFHJL</t>
  </si>
  <si>
    <t>BCDEFHJK</t>
  </si>
  <si>
    <t>BCDEFHIL</t>
  </si>
  <si>
    <t>BCDEFHIK</t>
  </si>
  <si>
    <t>BCDEFHIJ</t>
  </si>
  <si>
    <t>BCDEFGKL</t>
  </si>
  <si>
    <t>BCDEFGJL</t>
  </si>
  <si>
    <t>BCDEFGJK</t>
  </si>
  <si>
    <t>BCDEFGIL</t>
  </si>
  <si>
    <t>BCDEFGIK</t>
  </si>
  <si>
    <t>BCDEFGIJ</t>
  </si>
  <si>
    <t>BCDEFGHL</t>
  </si>
  <si>
    <t>BCDEFGHK</t>
  </si>
  <si>
    <t>BCDEFGHJ</t>
  </si>
  <si>
    <t>BCDEFGHI</t>
  </si>
  <si>
    <t>AFGHIJKL</t>
  </si>
  <si>
    <t>3A</t>
  </si>
  <si>
    <t>AEGHIJKL</t>
  </si>
  <si>
    <t>AEFHIJKL</t>
  </si>
  <si>
    <t>AEFGIJKL</t>
  </si>
  <si>
    <t>AEFGHJKL</t>
  </si>
  <si>
    <t>AEFGHIKL</t>
  </si>
  <si>
    <t>AEFGHIJL</t>
  </si>
  <si>
    <t>AEFGHIJK</t>
  </si>
  <si>
    <t>ADGHIJKL</t>
  </si>
  <si>
    <t>ADFHIJKL</t>
  </si>
  <si>
    <t>ADFGIJKL</t>
  </si>
  <si>
    <t>ADFGHJKL</t>
  </si>
  <si>
    <t>ADFGHIKL</t>
  </si>
  <si>
    <t>ADFGHIJL</t>
  </si>
  <si>
    <t>ADFGHIJK</t>
  </si>
  <si>
    <t>ADEHIJKL</t>
  </si>
  <si>
    <t>ADEGIJKL</t>
  </si>
  <si>
    <t>ADEGHJKL</t>
  </si>
  <si>
    <t>ADEGHIKL</t>
  </si>
  <si>
    <t>ADEGHIJL</t>
  </si>
  <si>
    <t>ADEGHIJK</t>
  </si>
  <si>
    <t>ADEFIJKL</t>
  </si>
  <si>
    <t>ADEFHJKL</t>
  </si>
  <si>
    <t>ADEFHIKL</t>
  </si>
  <si>
    <t>ADEFHIJL</t>
  </si>
  <si>
    <t>ADEFHIJK</t>
  </si>
  <si>
    <t>ADEFGJKL</t>
  </si>
  <si>
    <t>ADEFGIKL</t>
  </si>
  <si>
    <t>ADEFGIJL</t>
  </si>
  <si>
    <t>ADEFGIJK</t>
  </si>
  <si>
    <t>ADEFGHKL</t>
  </si>
  <si>
    <t>ADEFGHJL</t>
  </si>
  <si>
    <t>ADEFGHJK</t>
  </si>
  <si>
    <t>ADEFGHIL</t>
  </si>
  <si>
    <t>ADEFGHIK</t>
  </si>
  <si>
    <t>ADEFGHIJ</t>
  </si>
  <si>
    <t>ACGHIJKL</t>
  </si>
  <si>
    <t>ACFHIJKL</t>
  </si>
  <si>
    <t>ACFGIJKL</t>
  </si>
  <si>
    <t>ACFGHJKL</t>
  </si>
  <si>
    <t>ACFGHIKL</t>
  </si>
  <si>
    <t>ACFGHIJL</t>
  </si>
  <si>
    <t>ACFGHIJK</t>
  </si>
  <si>
    <t>ACEHIJKL</t>
  </si>
  <si>
    <t>ACEGIJKL</t>
  </si>
  <si>
    <t>ACEGHJKL</t>
  </si>
  <si>
    <t>ACEGHIKL</t>
  </si>
  <si>
    <t>ACEGHIJL</t>
  </si>
  <si>
    <t>ACEGHIJK</t>
  </si>
  <si>
    <t>ACEFIJKL</t>
  </si>
  <si>
    <t>ACEFHJKL</t>
  </si>
  <si>
    <t>ACEFHIKL</t>
  </si>
  <si>
    <t>ACEFHIJL</t>
  </si>
  <si>
    <t>ACEFHIJK</t>
  </si>
  <si>
    <t>ACEFGJKL</t>
  </si>
  <si>
    <t>ACEFGIKL</t>
  </si>
  <si>
    <t>ACEFGIJL</t>
  </si>
  <si>
    <t>ACEFGIJK</t>
  </si>
  <si>
    <t>ACEFGHKL</t>
  </si>
  <si>
    <t>ACEFGHJL</t>
  </si>
  <si>
    <t>ACEFGHJK</t>
  </si>
  <si>
    <t>ACEFGHIL</t>
  </si>
  <si>
    <t>ACEFGHIK</t>
  </si>
  <si>
    <t>ACEFGHIJ</t>
  </si>
  <si>
    <t>ACDHIJKL</t>
  </si>
  <si>
    <t>ACDGIJKL</t>
  </si>
  <si>
    <t>ACDGHJKL</t>
  </si>
  <si>
    <t>ACDGHIKL</t>
  </si>
  <si>
    <t>ACDGHIJL</t>
  </si>
  <si>
    <t>ACDGHIJK</t>
  </si>
  <si>
    <t>ACDFIJKL</t>
  </si>
  <si>
    <t>ACDFHJKL</t>
  </si>
  <si>
    <t>ACDFHIKL</t>
  </si>
  <si>
    <t>ACDFHIJL</t>
  </si>
  <si>
    <t>ACDFHIJK</t>
  </si>
  <si>
    <t>ACDFGJKL</t>
  </si>
  <si>
    <t>ACDFGIKL</t>
  </si>
  <si>
    <t>ACDFGIJL</t>
  </si>
  <si>
    <t>ACDFGIJK</t>
  </si>
  <si>
    <t>ACDFGHKL</t>
  </si>
  <si>
    <t>ACDFGHJL</t>
  </si>
  <si>
    <t>ACDFGHJK</t>
  </si>
  <si>
    <t>ACDFGHIL</t>
  </si>
  <si>
    <t>ACDFGHIK</t>
  </si>
  <si>
    <t>ACDFGHIJ</t>
  </si>
  <si>
    <t>ACDEIJKL</t>
  </si>
  <si>
    <t>ACDEHJKL</t>
  </si>
  <si>
    <t>ACDEHIKL</t>
  </si>
  <si>
    <t>ACDEHIJL</t>
  </si>
  <si>
    <t>ACDEHIJK</t>
  </si>
  <si>
    <t>ACDEGJKL</t>
  </si>
  <si>
    <t>ACDEGIKL</t>
  </si>
  <si>
    <t>ACDEGIJL</t>
  </si>
  <si>
    <t>ACDEGIJK</t>
  </si>
  <si>
    <t>ACDEGHKL</t>
  </si>
  <si>
    <t>ACDEGHJL</t>
  </si>
  <si>
    <t>ACDEGHJK</t>
  </si>
  <si>
    <t>ACDEGHIL</t>
  </si>
  <si>
    <t>ACDEGHIK</t>
  </si>
  <si>
    <t>ACDEGHIJ</t>
  </si>
  <si>
    <t>ACDEFJKL</t>
  </si>
  <si>
    <t>ACDEFIKL</t>
  </si>
  <si>
    <t>ACDEFIJL</t>
  </si>
  <si>
    <t>ACDEFIJK</t>
  </si>
  <si>
    <t>ACDEFHKL</t>
  </si>
  <si>
    <t>ACDEFHJL</t>
  </si>
  <si>
    <t>ACDEFHJK</t>
  </si>
  <si>
    <t>ACDEFHIL</t>
  </si>
  <si>
    <t>ACDEFHIK</t>
  </si>
  <si>
    <t>ACDEFHIJ</t>
  </si>
  <si>
    <t>ACDEFGKL</t>
  </si>
  <si>
    <t>ACDEFGJL</t>
  </si>
  <si>
    <t>ACDEFGJK</t>
  </si>
  <si>
    <t>ACDEFGIL</t>
  </si>
  <si>
    <t>ACDEFGIK</t>
  </si>
  <si>
    <t>ACDEFGIJ</t>
  </si>
  <si>
    <t>ACDEFGHL</t>
  </si>
  <si>
    <t>ACDEFGHK</t>
  </si>
  <si>
    <t>ACDEFGHJ</t>
  </si>
  <si>
    <t>ACDEFGHI</t>
  </si>
  <si>
    <t>ABGHIJKL</t>
  </si>
  <si>
    <t>ABFHIJKL</t>
  </si>
  <si>
    <t>ABFGIJKL</t>
  </si>
  <si>
    <t>ABFGHJKL</t>
  </si>
  <si>
    <t>ABFGHIKL</t>
  </si>
  <si>
    <t>ABFGHIJL</t>
  </si>
  <si>
    <t>ABFGHIJK</t>
  </si>
  <si>
    <t>ABEHIJKL</t>
  </si>
  <si>
    <t>ABEGIJKL</t>
  </si>
  <si>
    <t>ABEGHJKL</t>
  </si>
  <si>
    <t>ABEGHIKL</t>
  </si>
  <si>
    <t>ABEGHIJL</t>
  </si>
  <si>
    <t>ABEGHIJK</t>
  </si>
  <si>
    <t>ABEFIJKL</t>
  </si>
  <si>
    <t>ABEFHJKL</t>
  </si>
  <si>
    <t>ABEFHIKL</t>
  </si>
  <si>
    <t>ABEFHIJL</t>
  </si>
  <si>
    <t>ABEFHIJK</t>
  </si>
  <si>
    <t>ABEFGJKL</t>
  </si>
  <si>
    <t>ABEFGIKL</t>
  </si>
  <si>
    <t>ABEFGIJL</t>
  </si>
  <si>
    <t>ABEFGIJK</t>
  </si>
  <si>
    <t>ABEFGHKL</t>
  </si>
  <si>
    <t>ABEFGHJL</t>
  </si>
  <si>
    <t>ABEFGHJK</t>
  </si>
  <si>
    <t>ABEFGHIL</t>
  </si>
  <si>
    <t>ABEFGHIK</t>
  </si>
  <si>
    <t>ABEFGHIJ</t>
  </si>
  <si>
    <t>ABDHIJKL</t>
  </si>
  <si>
    <t>ABDGIJKL</t>
  </si>
  <si>
    <t>ABDGHJKL</t>
  </si>
  <si>
    <t>ABDGHIKL</t>
  </si>
  <si>
    <t>ABDGHIJL</t>
  </si>
  <si>
    <t>ABDGHIJK</t>
  </si>
  <si>
    <t>ABDFIJKL</t>
  </si>
  <si>
    <t>ABDFHJKL</t>
  </si>
  <si>
    <t>ABDFHIKL</t>
  </si>
  <si>
    <t>ABDFHIJL</t>
  </si>
  <si>
    <t>ABDFHIJK</t>
  </si>
  <si>
    <t>ABDFGJKL</t>
  </si>
  <si>
    <t>ABDFGIKL</t>
  </si>
  <si>
    <t>ABDFGIJL</t>
  </si>
  <si>
    <t>ABDFGIJK</t>
  </si>
  <si>
    <t>ABDFGHKL</t>
  </si>
  <si>
    <t>ABDFGHJL</t>
  </si>
  <si>
    <t>ABDFGHJK</t>
  </si>
  <si>
    <t>ABDFGHIL</t>
  </si>
  <si>
    <t>ABDFGHIK</t>
  </si>
  <si>
    <t>ABDFGHIJ</t>
  </si>
  <si>
    <t>ABDEIJKL</t>
  </si>
  <si>
    <t>ABDEHJKL</t>
  </si>
  <si>
    <t>ABDEHIKL</t>
  </si>
  <si>
    <t>ABDEHIJL</t>
  </si>
  <si>
    <t>ABDEHIJK</t>
  </si>
  <si>
    <t>ABDEGJKL</t>
  </si>
  <si>
    <t>ABDEGIKL</t>
  </si>
  <si>
    <t>ABDEGIJL</t>
  </si>
  <si>
    <t>ABDEGIJK</t>
  </si>
  <si>
    <t>ABDEGHKL</t>
  </si>
  <si>
    <t>ABDEGHJL</t>
  </si>
  <si>
    <t>ABDEGHJK</t>
  </si>
  <si>
    <t>ABDEGHIL</t>
  </si>
  <si>
    <t>ABDEGHIK</t>
  </si>
  <si>
    <t>ABDEGHIJ</t>
  </si>
  <si>
    <t>ABDEFJKL</t>
  </si>
  <si>
    <t>ABDEFIKL</t>
  </si>
  <si>
    <t>ABDEFIJL</t>
  </si>
  <si>
    <t>ABDEFIJK</t>
  </si>
  <si>
    <t>ABDEFHKL</t>
  </si>
  <si>
    <t>ABDEFHJL</t>
  </si>
  <si>
    <t>ABDEFHJK</t>
  </si>
  <si>
    <t>ABDEFHIL</t>
  </si>
  <si>
    <t>ABDEFHIK</t>
  </si>
  <si>
    <t>ABDEFHIJ</t>
  </si>
  <si>
    <t>ABDEFGKL</t>
  </si>
  <si>
    <t>ABDEFGJL</t>
  </si>
  <si>
    <t>ABDEFGJK</t>
  </si>
  <si>
    <t>ABDEFGIL</t>
  </si>
  <si>
    <t>ABDEFGIK</t>
  </si>
  <si>
    <t>ABDEFGIJ</t>
  </si>
  <si>
    <t>ABDEFGHL</t>
  </si>
  <si>
    <t>ABDEFGHK</t>
  </si>
  <si>
    <t>ABDEFGHJ</t>
  </si>
  <si>
    <t>ABDEFGHI</t>
  </si>
  <si>
    <t>ABCHIJKL</t>
  </si>
  <si>
    <t>ABCGIJKL</t>
  </si>
  <si>
    <t>ABCGHJKL</t>
  </si>
  <si>
    <t>ABCGHIKL</t>
  </si>
  <si>
    <t>ABCGHIJL</t>
  </si>
  <si>
    <t>ABCGHIJK</t>
  </si>
  <si>
    <t>ABCFIJKL</t>
  </si>
  <si>
    <t>ABCFHJKL</t>
  </si>
  <si>
    <t>ABCFHIKL</t>
  </si>
  <si>
    <t>ABCFHIJL</t>
  </si>
  <si>
    <t>ABCFHIJK</t>
  </si>
  <si>
    <t>ABCFGJKL</t>
  </si>
  <si>
    <t>ABCFGIKL</t>
  </si>
  <si>
    <t>ABCFGIJL</t>
  </si>
  <si>
    <t>ABCFGIJK</t>
  </si>
  <si>
    <t>ABCFGHKL</t>
  </si>
  <si>
    <t>ABCFGHJL</t>
  </si>
  <si>
    <t>ABCFGHJK</t>
  </si>
  <si>
    <t>ABCFGHIL</t>
  </si>
  <si>
    <t>ABCFGHIK</t>
  </si>
  <si>
    <t>ABCFGHIJ</t>
  </si>
  <si>
    <t>ABCEIJKL</t>
  </si>
  <si>
    <t>ABCEHJKL</t>
  </si>
  <si>
    <t>ABCEHIKL</t>
  </si>
  <si>
    <t>ABCEHIJL</t>
  </si>
  <si>
    <t>ABCEHIJK</t>
  </si>
  <si>
    <t>ABCEGJKL</t>
  </si>
  <si>
    <t>ABCEGIKL</t>
  </si>
  <si>
    <t>ABCEGIJL</t>
  </si>
  <si>
    <t>ABCEGIJK</t>
  </si>
  <si>
    <t>ABCEGHKL</t>
  </si>
  <si>
    <t>ABCEGHJL</t>
  </si>
  <si>
    <t>ABCEGHJK</t>
  </si>
  <si>
    <t>ABCEGHIL</t>
  </si>
  <si>
    <t>ABCEGHIK</t>
  </si>
  <si>
    <t>ABCEGHIJ</t>
  </si>
  <si>
    <t>ABCEFJKL</t>
  </si>
  <si>
    <t>ABCEFIKL</t>
  </si>
  <si>
    <t>ABCEFIJL</t>
  </si>
  <si>
    <t>ABCEFIJK</t>
  </si>
  <si>
    <t>ABCEFHKL</t>
  </si>
  <si>
    <t>ABCEFHJL</t>
  </si>
  <si>
    <t>ABCEFHJK</t>
  </si>
  <si>
    <t>ABCEFHIL</t>
  </si>
  <si>
    <t>ABCEFHIK</t>
  </si>
  <si>
    <t>ABCEFHIJ</t>
  </si>
  <si>
    <t>ABCEFGKL</t>
  </si>
  <si>
    <t>ABCEFGJL</t>
  </si>
  <si>
    <t>ABCEFGJK</t>
  </si>
  <si>
    <t>ABCEFGIL</t>
  </si>
  <si>
    <t>ABCEFGIK</t>
  </si>
  <si>
    <t>ABCEFGIJ</t>
  </si>
  <si>
    <t>ABCEFGHL</t>
  </si>
  <si>
    <t>ABCEFGHK</t>
  </si>
  <si>
    <t>ABCEFGHJ</t>
  </si>
  <si>
    <t>ABCEFGHI</t>
  </si>
  <si>
    <t>ABCDIJKL</t>
  </si>
  <si>
    <t>ABCDHJKL</t>
  </si>
  <si>
    <t>ABCDHIKL</t>
  </si>
  <si>
    <t>ABCDHIJL</t>
  </si>
  <si>
    <t>ABCDHIJK</t>
  </si>
  <si>
    <t>ABCDGJKL</t>
  </si>
  <si>
    <t>ABCDGIKL</t>
  </si>
  <si>
    <t>ABCDGIJL</t>
  </si>
  <si>
    <t>ABCDGIJK</t>
  </si>
  <si>
    <t>ABCDGHKL</t>
  </si>
  <si>
    <t>ABCDGHJL</t>
  </si>
  <si>
    <t>ABCDGHJK</t>
  </si>
  <si>
    <t>ABCDGHIL</t>
  </si>
  <si>
    <t>ABCDGHIK</t>
  </si>
  <si>
    <t>ABCDGHIJ</t>
  </si>
  <si>
    <t>ABCDFJKL</t>
  </si>
  <si>
    <t>ABCDFIKL</t>
  </si>
  <si>
    <t>ABCDFIJL</t>
  </si>
  <si>
    <t>ABCDFIJK</t>
  </si>
  <si>
    <t>ABCDFHKL</t>
  </si>
  <si>
    <t>ABCDFHJL</t>
  </si>
  <si>
    <t>ABCDFHJK</t>
  </si>
  <si>
    <t>ABCDFHIL</t>
  </si>
  <si>
    <t>ABCDFHIK</t>
  </si>
  <si>
    <t>ABCDFHIJ</t>
  </si>
  <si>
    <t>ABCDFGKL</t>
  </si>
  <si>
    <t>ABCDFGJL</t>
  </si>
  <si>
    <t>ABCDFGJK</t>
  </si>
  <si>
    <t>ABCDFGIL</t>
  </si>
  <si>
    <t>ABCDFGIK</t>
  </si>
  <si>
    <t>ABCDFGIJ</t>
  </si>
  <si>
    <t>ABCDFGHL</t>
  </si>
  <si>
    <t>ABCDFGHK</t>
  </si>
  <si>
    <t>ABCDFGHJ</t>
  </si>
  <si>
    <t>ABCDFGHI</t>
  </si>
  <si>
    <t>ABCDEJKL</t>
  </si>
  <si>
    <t>ABCDEIKL</t>
  </si>
  <si>
    <t>ABCDEIJL</t>
  </si>
  <si>
    <t>ABCDEIJK</t>
  </si>
  <si>
    <t>ABCDEHKL</t>
  </si>
  <si>
    <t>ABCDEHJL</t>
  </si>
  <si>
    <t>ABCDEHJK</t>
  </si>
  <si>
    <t>ABCDEHIL</t>
  </si>
  <si>
    <t>ABCDEHIK</t>
  </si>
  <si>
    <t>ABCDEHIJ</t>
  </si>
  <si>
    <t>ABCDEGKL</t>
  </si>
  <si>
    <t>ABCDEGJL</t>
  </si>
  <si>
    <t>ABCDEGJK</t>
  </si>
  <si>
    <t>ABCDEGIL</t>
  </si>
  <si>
    <t>ABCDEGIK</t>
  </si>
  <si>
    <t>ABCDEGIJ</t>
  </si>
  <si>
    <t>ABCDEGHL</t>
  </si>
  <si>
    <t>ABCDEGHK</t>
  </si>
  <si>
    <t>ABCDEGHJ</t>
  </si>
  <si>
    <t>ABCDEGHI</t>
  </si>
  <si>
    <t>ABCDEFKL</t>
  </si>
  <si>
    <t>ABCDEFJL</t>
  </si>
  <si>
    <t>ABCDEFJK</t>
  </si>
  <si>
    <t>ABCDEFIL</t>
  </si>
  <si>
    <t>ABCDEFIK</t>
  </si>
  <si>
    <t>ABCDEFIJ</t>
  </si>
  <si>
    <t>ABCDEFHL</t>
  </si>
  <si>
    <t>ABCDEFHK</t>
  </si>
  <si>
    <t>ABCDEFHJ</t>
  </si>
  <si>
    <t>ABCDEFHI</t>
  </si>
  <si>
    <t>ABCDEFGL</t>
  </si>
  <si>
    <t>ABCDEFGK</t>
  </si>
  <si>
    <t>ABCDEFGJ</t>
  </si>
  <si>
    <t>ABCDEFGI</t>
  </si>
  <si>
    <t>ABCDEFGH</t>
  </si>
  <si>
    <t>Qualifying</t>
  </si>
  <si>
    <t>AnnexeC</t>
  </si>
  <si>
    <t>1A vs</t>
  </si>
  <si>
    <t>1B vs</t>
  </si>
  <si>
    <t>1D vs</t>
  </si>
  <si>
    <t>1E vs</t>
  </si>
  <si>
    <t>1G vs</t>
  </si>
  <si>
    <t>1I vs</t>
  </si>
  <si>
    <t>1K vs</t>
  </si>
  <si>
    <t>3rd Team</t>
  </si>
  <si>
    <t>Ref</t>
  </si>
  <si>
    <t>2A2B</t>
  </si>
  <si>
    <t>1C2F</t>
  </si>
  <si>
    <t>1F2C</t>
  </si>
  <si>
    <t>2E2I</t>
  </si>
  <si>
    <t>f) highest team conduct score relating to the number of yellow and red cards obtained:</t>
  </si>
  <si>
    <t>e) the two or more teams still equal on points shall be ranked according to the most recent published edition of the FIFA Men’s World Ranking;</t>
  </si>
  <si>
    <t>f) the two or more teams still equal on points shall be ranked according to the published edition of the FIFAMen’s World Ranking immediately preceding the most recent published edition continually until a decision can be made.</t>
  </si>
  <si>
    <t>h) the two or more teams still equal on points shall be ranked according to the published edition of the FIFA Men’s World Ranking immediately preceding the most recent published edition continually until a decision can be made.</t>
  </si>
  <si>
    <t>1L vs</t>
  </si>
  <si>
    <t>First Stage</t>
  </si>
  <si>
    <t>Grp</t>
  </si>
  <si>
    <t>1H2J</t>
  </si>
  <si>
    <t>2K2L</t>
  </si>
  <si>
    <t>2D2G</t>
  </si>
  <si>
    <t>1J2H</t>
  </si>
  <si>
    <t>7375</t>
  </si>
  <si>
    <t>7477</t>
  </si>
  <si>
    <t>7678</t>
  </si>
  <si>
    <t>7980</t>
  </si>
  <si>
    <t>8384</t>
  </si>
  <si>
    <t>8182</t>
  </si>
  <si>
    <t>8688</t>
  </si>
  <si>
    <t>8587</t>
  </si>
  <si>
    <t>73</t>
  </si>
  <si>
    <t>75</t>
  </si>
  <si>
    <t>76</t>
  </si>
  <si>
    <t>74</t>
  </si>
  <si>
    <t>78</t>
  </si>
  <si>
    <t>77</t>
  </si>
  <si>
    <t>79</t>
  </si>
  <si>
    <t>80</t>
  </si>
  <si>
    <t>82</t>
  </si>
  <si>
    <t>81</t>
  </si>
  <si>
    <t>84</t>
  </si>
  <si>
    <t>83</t>
  </si>
  <si>
    <t>85</t>
  </si>
  <si>
    <t>88</t>
  </si>
  <si>
    <t>86</t>
  </si>
  <si>
    <t>87</t>
  </si>
  <si>
    <t>89</t>
  </si>
  <si>
    <t>90</t>
  </si>
  <si>
    <t>8990</t>
  </si>
  <si>
    <t>9394</t>
  </si>
  <si>
    <t>9192</t>
  </si>
  <si>
    <t>9596</t>
  </si>
  <si>
    <t>91</t>
  </si>
  <si>
    <t>92</t>
  </si>
  <si>
    <t>93</t>
  </si>
  <si>
    <t>94</t>
  </si>
  <si>
    <t>95</t>
  </si>
  <si>
    <t>96</t>
  </si>
  <si>
    <t>101</t>
  </si>
  <si>
    <t>102</t>
  </si>
  <si>
    <t>103</t>
  </si>
  <si>
    <t>104</t>
  </si>
  <si>
    <t>9798</t>
  </si>
  <si>
    <t>97</t>
  </si>
  <si>
    <t>98</t>
  </si>
  <si>
    <t>99</t>
  </si>
  <si>
    <t>100</t>
  </si>
  <si>
    <t>99100</t>
  </si>
  <si>
    <t>FT</t>
  </si>
  <si>
    <t>ET</t>
  </si>
  <si>
    <t>Knock Out - Round of 32</t>
  </si>
  <si>
    <t>101102</t>
  </si>
  <si>
    <t>Knock Out - Round of 16</t>
  </si>
  <si>
    <t>Knock Out - Quarter Finals</t>
  </si>
  <si>
    <t>Knock Out - Semi Finals</t>
  </si>
  <si>
    <t>Away Win</t>
  </si>
  <si>
    <t>Home Win</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</si>
  <si>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</si>
  <si>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</si>
  <si>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</si>
  <si>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</si>
  <si>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</si>
  <si>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</si>
  <si>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</si>
  <si>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</si>
  <si>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</si>
  <si>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</si>
  <si>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</si>
  <si>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</si>
  <si>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</si>
  <si>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</si>
  <si>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</si>
  <si>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</si>
  <si>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</si>
  <si>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</si>
  <si>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</si>
  <si>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</si>
  <si>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</si>
  <si>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</si>
  <si>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</si>
  <si>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</si>
  <si>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</si>
  <si>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</si>
  <si>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</si>
  <si>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</si>
  <si>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</si>
  <si>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</si>
  <si>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</si>
  <si>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</si>
  <si>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</si>
  <si>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</si>
  <si>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</si>
  <si>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</si>
  <si>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</si>
  <si>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</si>
  <si>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</si>
  <si>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</si>
  <si>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</si>
  <si>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</si>
  <si>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</si>
  <si>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</si>
  <si>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</si>
  <si>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</si>
  <si>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</si>
  <si>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</si>
  <si>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</si>
  <si>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</si>
  <si>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</si>
  <si>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</si>
  <si>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</si>
  <si>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</si>
  <si>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</si>
  <si>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</si>
  <si>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</si>
  <si>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</si>
  <si>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</si>
  <si>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</si>
  <si>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</si>
  <si>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</si>
  <si>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</si>
  <si>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</si>
  <si>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</si>
  <si>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</si>
  <si>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</si>
  <si>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</si>
  <si>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</si>
  <si>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</si>
  <si>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</si>
  <si>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</si>
  <si>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105</t>
  </si>
  <si>
    <t>106</t>
  </si>
  <si>
    <t>Pen</t>
  </si>
  <si>
    <t>Fourth Place</t>
  </si>
  <si>
    <t>Calc</t>
  </si>
  <si>
    <t>Finalist</t>
  </si>
  <si>
    <t>Semi-Finalist</t>
  </si>
  <si>
    <t>Press F9
to update</t>
  </si>
  <si>
    <t>Press F9 to update</t>
  </si>
  <si>
    <t>Forecast Results are based upon FIFA Ratings +/- an Adj that the user can change</t>
  </si>
  <si>
    <t>TAB</t>
  </si>
  <si>
    <t>Outright Predictions</t>
  </si>
  <si>
    <t>Forecast &amp; Forecast KO</t>
  </si>
  <si>
    <t>HELP</t>
  </si>
  <si>
    <t>Shows the expected % liklihood for Group Winners, Outright Winner, Finalist and Semi Finalist</t>
  </si>
  <si>
    <t>Poster</t>
  </si>
  <si>
    <t>Enter results as they come in and then press F9 this will change the expected % outcomes</t>
  </si>
  <si>
    <t>The calculation may take a while as it runs the simulation 1000 times</t>
  </si>
  <si>
    <t>When entering KO Stage results if a draw is added a new line for Extra time and if necessay Penalties</t>
  </si>
  <si>
    <t>Number of Yellow and Red cards can be added which may be required in determining Group Leagues</t>
  </si>
  <si>
    <t>Pressing F9</t>
  </si>
  <si>
    <t>Saving</t>
  </si>
  <si>
    <t>When Saving the spreadsheet locally it will perform an update first which can take some time</t>
  </si>
  <si>
    <t>Shows a one off forecast - press del while on these Tabs for a new forecast</t>
  </si>
  <si>
    <t>ver 2026.04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</si>
</sst>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64" formatCode="0;;"/>
    <numFmt numFmtId="165" formatCode="0.00000"/>
    <numFmt numFmtId="166" formatCode="0.00;;"/>
    <numFmt numFmtId="167" formatCode="0.0%"/>
    <numFmt numFmtId="168" formatCode="0.0000"/>
    <numFmt numFmtId="169" formatCode="&quot;/ &quot;0"/>
    <numFmt numFmtId="170" formatCode="ddd\ dd\ mmm\ yyyy"/>
    <numFmt numFmtId="171" formatCode="\+0;\-0;"/>
    <numFmt numFmtId="172" formatCode="0.0"/>
    <numFmt numFmtId="173" formatCode="&quot;Actual &quot;0.0%"/>
    <numFmt numFmtId="174" formatCode="\+0.0;\-0.0"/>
    <numFmt numFmtId="175" formatCode="ddd\ dd\ mmm"/>
    <numFmt numFmtId="176" formatCode="0.000"/>
    <numFmt numFmtId="177" formatCode="0&quot;-&quot;"/>
    <numFmt numFmtId="178" formatCode="#,##0.0000"/>
    <numFmt numFmtId="179" formatCode="\+0;\-0;0"/>
    <numFmt numFmtId="180" formatCode="ddd\ dd\ mmm\ hh:mm"/>
    <numFmt numFmtId="181" formatCode="&quot;Forecast &quot;0"/>
  </numFmts>
  <fonts count="49" x14ac:knownFonts="1">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sz val="24"/>
      <color theme="1"/>
      <name val="Calibri"/>
      <family val="2"/>
      <scheme val="minor"/>
    </font>
    <font>
      <b/>
      <sz val="14"/>
      <color theme="1"/>
      <name val="Calibri"/>
      <family val="2"/>
      <scheme val="minor"/>
    </font>
    <font>
      <sz val="14"/>
      <color theme="1"/>
      <name val="Calibri"/>
      <family val="2"/>
      <scheme val="minor"/>
    </font>
    <font>
      <sz val="10"/>
      <name val="Arial"/>
      <family val="2"/>
    </font>
    <font>
      <b/>
      <sz val="10"/>
      <name val="Verdana"/>
      <family val="2"/>
    </font>
    <font>
      <sz val="10"/>
      <name val="Verdana"/>
      <family val="2"/>
    </font>
    <font>
      <b/>
      <sz val="10"/>
      <name val="Arial"/>
      <family val="2"/>
    </font>
    <font>
      <sz val="32"/>
      <name val="Verdana"/>
      <family val="2"/>
    </font>
    <font>
      <b/>
      <sz val="12"/>
      <color indexed="9"/>
      <name val="Verdana"/>
      <family val="2"/>
    </font>
    <font>
      <b/>
      <sz val="10"/>
      <color indexed="12"/>
      <name val="Courier New"/>
      <family val="3"/>
    </font>
    <font>
      <sz val="8"/>
      <color theme="1"/>
      <name val="Verdana"/>
      <family val="2"/>
    </font>
    <font>
      <sz val="10"/>
      <color indexed="12"/>
      <name val="Verdana"/>
      <family val="2"/>
    </font>
    <font>
      <b/>
      <sz val="10"/>
      <color theme="1"/>
      <name val="Verdana"/>
      <family val="2"/>
    </font>
    <font>
      <sz val="10"/>
      <color theme="1"/>
      <name val="Verdana"/>
      <family val="2"/>
    </font>
    <font>
      <sz val="8"/>
      <color rgb="FF0070C0"/>
      <name val="Verdana"/>
      <family val="2"/>
    </font>
    <font>
      <b/>
      <sz val="8"/>
      <color rgb="FF0070C0"/>
      <name val="Courier New"/>
      <family val="3"/>
    </font>
    <font>
      <sz val="8"/>
      <color rgb="FFFF0000"/>
      <name val="Verdana"/>
      <family val="2"/>
    </font>
    <font>
      <b/>
      <sz val="8"/>
      <color rgb="FFFF0000"/>
      <name val="Courier New"/>
      <family val="3"/>
    </font>
    <font>
      <sz val="10"/>
      <color theme="3"/>
      <name val="Verdana"/>
      <family val="2"/>
    </font>
    <font>
      <sz val="14"/>
      <color theme="3"/>
      <name val="Verdana"/>
      <family val="2"/>
    </font>
    <font>
      <vertAlign val="superscript"/>
      <sz val="14"/>
      <color theme="3"/>
      <name val="Verdana"/>
      <family val="2"/>
    </font>
    <font>
      <b/>
      <sz val="14"/>
      <name val="Verdana"/>
      <family val="2"/>
    </font>
    <font>
      <b/>
      <sz val="12"/>
      <color theme="1"/>
      <name val="Verdana"/>
      <family val="2"/>
    </font>
    <font>
      <b/>
      <sz val="11"/>
      <color rgb="FFFF0000"/>
      <name val="Calibri"/>
      <family val="2"/>
      <scheme val="minor"/>
    </font>
    <font>
      <b/>
      <sz val="12"/>
      <color theme="1"/>
      <name val="Calibri"/>
      <family val="2"/>
      <scheme val="minor"/>
    </font>
    <font>
      <b/>
      <sz val="11"/>
      <color theme="1"/>
      <name val="Verdana"/>
      <family val="2"/>
    </font>
    <font>
      <sz val="8"/>
      <name val="Calibri"/>
      <family val="2"/>
      <scheme val="minor"/>
    </font>
    <font>
      <b/>
      <sz val="12"/>
      <name val="Verdana"/>
      <family val="2"/>
    </font>
    <font>
      <sz val="11"/>
      <color indexed="8"/>
      <name val="Calibri"/>
      <family val="2"/>
    </font>
    <font>
      <sz val="11"/>
      <name val="Calibri"/>
      <family val="2"/>
    </font>
    <font>
      <b/>
      <sz val="11"/>
      <color indexed="8"/>
      <name val="Calibri"/>
      <family val="2"/>
    </font>
    <font>
      <b/>
      <sz val="11"/>
      <name val="Calibri"/>
      <family val="2"/>
    </font>
    <font>
      <b/>
      <sz val="11"/>
      <color indexed="9"/>
      <name val="Calibri"/>
      <family val="2"/>
    </font>
    <font>
      <sz val="11"/>
      <color theme="0"/>
      <name val="Calibri"/>
      <family val="2"/>
    </font>
    <font>
      <sz val="8"/>
      <color theme="0"/>
      <name val="Calibri"/>
      <family val="2"/>
    </font>
    <font>
      <sz val="8"/>
      <color indexed="8"/>
      <name val="Calibri"/>
      <family val="2"/>
    </font>
    <font>
      <b/>
      <sz val="8"/>
      <color indexed="9"/>
      <name val="Calibri"/>
      <family val="2"/>
    </font>
    <font>
      <sz val="8"/>
      <name val="Calibri"/>
      <family val="2"/>
    </font>
    <font>
      <b/>
      <sz val="24"/>
      <color rgb="FFFF0000"/>
      <name val="Calibri"/>
      <family val="2"/>
    </font>
    <font>
      <sz val="32"/>
      <color theme="1"/>
      <name val="Calibri"/>
      <family val="2"/>
      <scheme val="minor"/>
    </font>
    <font>
      <sz val="10"/>
      <color theme="0"/>
      <name val="Verdana"/>
      <family val="2"/>
    </font>
    <font>
      <b/>
      <sz val="10"/>
      <color theme="0"/>
      <name val="Verdana"/>
      <family val="2"/>
    </font>
    <font>
      <sz val="11"/>
      <color theme="1"/>
      <name val="Verdana"/>
      <family val="2"/>
    </font>
    <font>
      <sz val="11"/>
      <color rgb="FFFF0000"/>
      <name val="Calibri"/>
      <family val="2"/>
      <scheme val="minor"/>
    </font>
    <font>
      <sz val="11"/>
      <color rgb="FFFF0000"/>
      <name val="Verdana"/>
      <family val="2"/>
    </font>
  </fonts>
  <fills count="46">
    <fill>
      <patternFill patternType="none"/>
    </fill>
    <fill>
      <patternFill patternType="gray125"/>
    </fill>
    <fill>
      <patternFill patternType="solid">
        <fgColor rgb="FFCCCCCC"/>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rgb="FF00B0F0"/>
        <bgColor indexed="64"/>
      </patternFill>
    </fill>
    <fill>
      <patternFill patternType="solid">
        <fgColor theme="3" tint="0.59999389629810485"/>
        <bgColor indexed="64"/>
      </patternFill>
    </fill>
    <fill>
      <patternFill patternType="solid">
        <fgColor indexed="43"/>
        <bgColor indexed="26"/>
      </patternFill>
    </fill>
    <fill>
      <patternFill patternType="solid">
        <fgColor rgb="FFFFFF99"/>
        <bgColor indexed="41"/>
      </patternFill>
    </fill>
    <fill>
      <patternFill patternType="solid">
        <fgColor theme="0" tint="-0.14999847407452621"/>
        <bgColor indexed="60"/>
      </patternFill>
    </fill>
    <fill>
      <patternFill patternType="solid">
        <fgColor theme="3" tint="0.59999389629810485"/>
        <bgColor indexed="39"/>
      </patternFill>
    </fill>
    <fill>
      <patternFill patternType="solid">
        <fgColor theme="3" tint="0.59999389629810485"/>
        <bgColor indexed="30"/>
      </patternFill>
    </fill>
    <fill>
      <patternFill patternType="solid">
        <fgColor theme="0" tint="-0.14996795556505021"/>
        <bgColor indexed="64"/>
      </patternFill>
    </fill>
    <fill>
      <patternFill patternType="solid">
        <fgColor theme="3" tint="0.79998168889431442"/>
        <bgColor indexed="64"/>
      </patternFill>
    </fill>
    <fill>
      <patternFill patternType="solid">
        <fgColor theme="0" tint="-0.14996795556505021"/>
        <bgColor indexed="26"/>
      </patternFill>
    </fill>
    <fill>
      <patternFill patternType="solid">
        <fgColor theme="2"/>
        <bgColor indexed="64"/>
      </patternFill>
    </fill>
    <fill>
      <patternFill patternType="solid">
        <fgColor theme="3" tint="0.79998168889431442"/>
        <bgColor indexed="30"/>
      </patternFill>
    </fill>
    <fill>
      <patternFill patternType="solid">
        <fgColor theme="7" tint="0.79998168889431442"/>
        <bgColor indexed="64"/>
      </patternFill>
    </fill>
    <fill>
      <patternFill patternType="solid">
        <fgColor theme="7" tint="0.79998168889431442"/>
        <bgColor indexed="60"/>
      </patternFill>
    </fill>
    <fill>
      <patternFill patternType="solid">
        <fgColor theme="7" tint="0.79998168889431442"/>
        <bgColor indexed="30"/>
      </patternFill>
    </fill>
    <fill>
      <patternFill patternType="solid">
        <fgColor theme="6"/>
        <bgColor indexed="64"/>
      </patternFill>
    </fill>
    <fill>
      <patternFill patternType="solid">
        <fgColor theme="9" tint="0.79998168889431442"/>
        <bgColor indexed="64"/>
      </patternFill>
    </fill>
    <fill>
      <patternFill patternType="solid">
        <fgColor theme="8"/>
        <bgColor indexed="64"/>
      </patternFill>
    </fill>
    <fill>
      <patternFill patternType="solid">
        <fgColor theme="7" tint="0.59999389629810485"/>
        <bgColor indexed="64"/>
      </patternFill>
    </fill>
    <fill>
      <patternFill patternType="solid">
        <fgColor theme="9"/>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indexed="38"/>
        <bgColor indexed="62"/>
      </patternFill>
    </fill>
    <fill>
      <patternFill patternType="solid">
        <fgColor indexed="9"/>
        <bgColor indexed="41"/>
      </patternFill>
    </fill>
    <fill>
      <patternFill patternType="solid">
        <fgColor theme="6"/>
        <bgColor indexed="41"/>
      </patternFill>
    </fill>
    <fill>
      <patternFill patternType="solid">
        <fgColor theme="3"/>
        <bgColor indexed="41"/>
      </patternFill>
    </fill>
    <fill>
      <patternFill patternType="solid">
        <fgColor theme="6" tint="0.59999389629810485"/>
        <bgColor indexed="41"/>
      </patternFill>
    </fill>
    <fill>
      <patternFill patternType="solid">
        <fgColor indexed="10"/>
        <bgColor indexed="16"/>
      </patternFill>
    </fill>
    <fill>
      <patternFill patternType="solid">
        <fgColor rgb="FFFFC000"/>
        <bgColor indexed="64"/>
      </patternFill>
    </fill>
    <fill>
      <patternFill patternType="solid">
        <fgColor theme="4" tint="0.39997558519241921"/>
        <bgColor indexed="64"/>
      </patternFill>
    </fill>
    <fill>
      <patternFill patternType="solid">
        <fgColor rgb="FFFFFF99"/>
        <bgColor indexed="26"/>
      </patternFill>
    </fill>
    <fill>
      <patternFill patternType="solid">
        <fgColor rgb="FFFFFF99"/>
        <bgColor indexed="64"/>
      </patternFill>
    </fill>
  </fills>
  <borders count="104">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rgb="FF000000"/>
      </right>
      <top style="thin">
        <color indexed="64"/>
      </top>
      <bottom/>
      <diagonal/>
    </border>
    <border>
      <left style="thin">
        <color rgb="FF000000"/>
      </left>
      <right style="thin">
        <color rgb="FF000000"/>
      </right>
      <top style="thin">
        <color indexed="64"/>
      </top>
      <bottom/>
      <diagonal/>
    </border>
    <border>
      <left style="thin">
        <color rgb="FF000000"/>
      </left>
      <right style="thin">
        <color indexed="64"/>
      </right>
      <top style="thin">
        <color indexed="64"/>
      </top>
      <bottom/>
      <diagonal/>
    </border>
    <border>
      <left/>
      <right style="thin">
        <color rgb="FF000000"/>
      </right>
      <top style="thin">
        <color rgb="FF000000"/>
      </top>
      <bottom style="thin">
        <color rgb="FF000000"/>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indexed="64"/>
      </left>
      <right style="thin">
        <color rgb="FF000000"/>
      </right>
      <top style="thin">
        <color rgb="FF000000"/>
      </top>
      <bottom/>
      <diagonal/>
    </border>
    <border>
      <left style="thin">
        <color indexed="64"/>
      </left>
      <right style="thin">
        <color rgb="FF000000"/>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medium">
        <color indexed="64"/>
      </left>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rgb="FF000000"/>
      </right>
      <top style="thin">
        <color rgb="FF000000"/>
      </top>
      <bottom style="thin">
        <color rgb="FF000000"/>
      </bottom>
      <diagonal/>
    </border>
    <border>
      <left style="thin">
        <color indexed="64"/>
      </left>
      <right style="medium">
        <color indexed="64"/>
      </right>
      <top/>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thin">
        <color rgb="FF000000"/>
      </right>
      <top/>
      <bottom style="medium">
        <color indexed="64"/>
      </bottom>
      <diagonal/>
    </border>
    <border>
      <left style="thin">
        <color indexed="64"/>
      </left>
      <right style="thin">
        <color rgb="FF000000"/>
      </right>
      <top/>
      <bottom style="medium">
        <color indexed="64"/>
      </bottom>
      <diagonal/>
    </border>
    <border>
      <left/>
      <right style="thin">
        <color indexed="64"/>
      </right>
      <top/>
      <bottom style="medium">
        <color indexed="64"/>
      </bottom>
      <diagonal/>
    </border>
    <border>
      <left style="thin">
        <color rgb="FF000000"/>
      </left>
      <right style="thin">
        <color rgb="FF000000"/>
      </right>
      <top/>
      <bottom style="medium">
        <color indexed="64"/>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8"/>
      </top>
      <bottom style="thin">
        <color indexed="8"/>
      </bottom>
      <diagonal/>
    </border>
    <border>
      <left style="thin">
        <color indexed="64"/>
      </left>
      <right/>
      <top style="thin">
        <color indexed="8"/>
      </top>
      <bottom/>
      <diagonal/>
    </border>
    <border>
      <left style="thin">
        <color indexed="64"/>
      </left>
      <right/>
      <top/>
      <bottom style="thin">
        <color indexed="8"/>
      </bottom>
      <diagonal/>
    </border>
    <border>
      <left style="thin">
        <color rgb="FF000000"/>
      </left>
      <right/>
      <top/>
      <bottom style="medium">
        <color indexed="64"/>
      </bottom>
      <diagonal/>
    </border>
    <border>
      <left/>
      <right/>
      <top/>
      <bottom style="medium">
        <color indexed="64"/>
      </bottom>
      <diagonal/>
    </border>
    <border>
      <left style="medium">
        <color indexed="64"/>
      </left>
      <right style="thin">
        <color rgb="FF000000"/>
      </right>
      <top/>
      <bottom style="thin">
        <color rgb="FF000000"/>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s>
  <cellStyleXfs count="3">
    <xf numFmtId="0" fontId="0" fillId="0" borderId="0"/>
    <xf numFmtId="0" fontId="7" fillId="0" borderId="0"/>
    <xf numFmtId="0" fontId="32" fillId="0" borderId="0"/>
  </cellStyleXfs>
  <cellXfs count="753">
    <xf numFmtId="0" fontId="0" fillId="0" borderId="0" xfId="0"/>
    <xf numFmtId="0" fontId="0" fillId="4" borderId="1" xfId="0" quotePrefix="1" applyFill="1" applyBorder="1" applyAlignment="1" applyProtection="1">
      <alignment horizontal="center" vertical="center" wrapText="1"/>
      <protection locked="0"/>
    </xf>
    <xf numFmtId="2" fontId="0" fillId="0" borderId="0" xfId="0" applyNumberFormat="1" applyAlignment="1">
      <alignment horizontal="right" vertical="center" indent="1"/>
    </xf>
    <xf numFmtId="49" fontId="0" fillId="2" borderId="4" xfId="0" applyNumberFormat="1" applyFill="1" applyBorder="1" applyAlignment="1">
      <alignment horizontal="right" vertical="center" wrapText="1" indent="1"/>
    </xf>
    <xf numFmtId="49" fontId="0" fillId="0" borderId="0" xfId="0" applyNumberFormat="1" applyAlignment="1">
      <alignment horizontal="right" vertical="center" indent="1"/>
    </xf>
    <xf numFmtId="1" fontId="0" fillId="2" borderId="4" xfId="0" applyNumberFormat="1" applyFill="1" applyBorder="1" applyAlignment="1">
      <alignment horizontal="right" vertical="center" wrapText="1" indent="1"/>
    </xf>
    <xf numFmtId="1" fontId="0" fillId="0" borderId="0" xfId="0" applyNumberFormat="1" applyAlignment="1">
      <alignment horizontal="right" vertical="center" indent="1"/>
    </xf>
    <xf numFmtId="165" fontId="0" fillId="2" borderId="4" xfId="0" applyNumberFormat="1" applyFill="1" applyBorder="1" applyAlignment="1">
      <alignment horizontal="right" vertical="center" wrapText="1" indent="1"/>
    </xf>
    <xf numFmtId="165" fontId="0" fillId="0" borderId="0" xfId="0" applyNumberFormat="1" applyAlignment="1">
      <alignment horizontal="right" vertical="center" indent="1"/>
    </xf>
    <xf numFmtId="0" fontId="0" fillId="8" borderId="5" xfId="0" applyFill="1" applyBorder="1" applyAlignment="1">
      <alignment horizontal="left"/>
    </xf>
    <xf numFmtId="0" fontId="0" fillId="0" borderId="0" xfId="0" applyAlignment="1">
      <alignment horizontal="left" vertical="center" indent="1"/>
    </xf>
    <xf numFmtId="0" fontId="1" fillId="5" borderId="2" xfId="0" applyFont="1" applyFill="1" applyBorder="1" applyAlignment="1">
      <alignment horizontal="left" vertical="center" indent="1"/>
    </xf>
    <xf numFmtId="0" fontId="3" fillId="11" borderId="2" xfId="0" applyFont="1" applyFill="1" applyBorder="1" applyAlignment="1">
      <alignment horizontal="left" vertical="center" wrapText="1" indent="1"/>
    </xf>
    <xf numFmtId="0" fontId="1" fillId="0" borderId="0" xfId="0" applyFont="1" applyAlignment="1">
      <alignment horizontal="left" vertical="center" indent="1"/>
    </xf>
    <xf numFmtId="0" fontId="1" fillId="5" borderId="2" xfId="0" quotePrefix="1" applyFont="1" applyFill="1" applyBorder="1" applyAlignment="1">
      <alignment horizontal="center" vertical="center" wrapText="1"/>
    </xf>
    <xf numFmtId="0" fontId="0" fillId="0" borderId="2" xfId="0" applyBorder="1" applyAlignment="1">
      <alignment horizontal="right" vertical="center" indent="2"/>
    </xf>
    <xf numFmtId="0" fontId="1" fillId="6" borderId="2" xfId="0" applyFont="1" applyFill="1" applyBorder="1" applyAlignment="1">
      <alignment horizontal="left" vertical="center" indent="1"/>
    </xf>
    <xf numFmtId="1" fontId="0" fillId="6" borderId="2" xfId="0" applyNumberFormat="1" applyFill="1" applyBorder="1" applyAlignment="1">
      <alignment horizontal="center" vertical="center"/>
    </xf>
    <xf numFmtId="0" fontId="0" fillId="0" borderId="0" xfId="0" applyAlignment="1">
      <alignment horizontal="center" vertical="center"/>
    </xf>
    <xf numFmtId="0" fontId="0" fillId="3" borderId="4" xfId="0" applyFill="1" applyBorder="1" applyAlignment="1">
      <alignment horizontal="right"/>
    </xf>
    <xf numFmtId="0" fontId="0" fillId="2" borderId="4" xfId="0" applyFill="1" applyBorder="1" applyAlignment="1">
      <alignment horizontal="center" vertical="top" wrapText="1"/>
    </xf>
    <xf numFmtId="0" fontId="0" fillId="2" borderId="5" xfId="0" applyFill="1" applyBorder="1" applyAlignment="1">
      <alignment horizontal="center" vertical="top" wrapText="1"/>
    </xf>
    <xf numFmtId="0" fontId="0" fillId="2" borderId="4" xfId="0" applyFill="1" applyBorder="1" applyAlignment="1">
      <alignment horizontal="center" vertical="center" wrapText="1"/>
    </xf>
    <xf numFmtId="0" fontId="0" fillId="2" borderId="6" xfId="0" applyFill="1" applyBorder="1" applyAlignment="1">
      <alignment horizontal="center" vertical="center" wrapText="1"/>
    </xf>
    <xf numFmtId="0" fontId="0" fillId="2" borderId="5" xfId="0" applyFill="1" applyBorder="1" applyAlignment="1">
      <alignment horizontal="center" vertical="center" wrapText="1"/>
    </xf>
    <xf numFmtId="2" fontId="0" fillId="0" borderId="0" xfId="0" applyNumberFormat="1" applyAlignment="1">
      <alignment horizontal="center" vertical="top" wrapText="1"/>
    </xf>
    <xf numFmtId="0" fontId="0" fillId="0" borderId="7" xfId="0" applyBorder="1" applyAlignment="1">
      <alignment horizontal="center" vertical="top" wrapText="1"/>
    </xf>
    <xf numFmtId="0" fontId="0" fillId="0" borderId="7" xfId="0" quotePrefix="1" applyBorder="1" applyAlignment="1">
      <alignment horizontal="center" vertical="top" wrapText="1"/>
    </xf>
    <xf numFmtId="0" fontId="0" fillId="0" borderId="9" xfId="0" applyBorder="1" applyAlignment="1">
      <alignment horizontal="center" vertical="top" wrapText="1"/>
    </xf>
    <xf numFmtId="2" fontId="0" fillId="0" borderId="10" xfId="0" applyNumberFormat="1" applyBorder="1" applyAlignment="1">
      <alignment horizontal="center" vertical="top" wrapText="1"/>
    </xf>
    <xf numFmtId="0" fontId="1" fillId="0" borderId="0" xfId="0" applyFont="1" applyAlignment="1">
      <alignment horizontal="center" vertical="center"/>
    </xf>
    <xf numFmtId="0" fontId="0" fillId="0" borderId="0" xfId="0" applyAlignment="1">
      <alignment horizontal="right" vertical="center" indent="1"/>
    </xf>
    <xf numFmtId="0" fontId="1" fillId="5" borderId="26" xfId="0" applyFont="1" applyFill="1" applyBorder="1" applyAlignment="1">
      <alignment horizontal="center" vertical="center" wrapText="1"/>
    </xf>
    <xf numFmtId="170" fontId="0" fillId="0" borderId="0" xfId="0" applyNumberFormat="1" applyAlignment="1">
      <alignment horizontal="left" vertical="center" indent="1"/>
    </xf>
    <xf numFmtId="0" fontId="1" fillId="5" borderId="1" xfId="0" applyFont="1" applyFill="1" applyBorder="1" applyAlignment="1">
      <alignment horizontal="center" vertical="center" wrapText="1"/>
    </xf>
    <xf numFmtId="0" fontId="1" fillId="5" borderId="1" xfId="0" applyFont="1" applyFill="1" applyBorder="1" applyAlignment="1">
      <alignment horizontal="left" vertical="center" wrapText="1" indent="1"/>
    </xf>
    <xf numFmtId="0" fontId="1" fillId="5" borderId="18" xfId="0" applyFont="1" applyFill="1" applyBorder="1" applyAlignment="1">
      <alignment horizontal="center" vertical="center" wrapText="1"/>
    </xf>
    <xf numFmtId="0" fontId="1" fillId="5" borderId="19" xfId="0" applyFont="1" applyFill="1" applyBorder="1" applyAlignment="1">
      <alignment horizontal="center" vertical="center" wrapText="1"/>
    </xf>
    <xf numFmtId="0" fontId="1" fillId="5" borderId="20" xfId="0" applyFont="1" applyFill="1" applyBorder="1" applyAlignment="1">
      <alignment horizontal="center" vertical="center" wrapText="1"/>
    </xf>
    <xf numFmtId="0" fontId="1" fillId="5" borderId="21" xfId="0" applyFont="1" applyFill="1" applyBorder="1" applyAlignment="1">
      <alignment horizontal="center" vertical="center" wrapText="1"/>
    </xf>
    <xf numFmtId="1" fontId="1" fillId="5" borderId="21" xfId="0" applyNumberFormat="1" applyFont="1" applyFill="1" applyBorder="1" applyAlignment="1">
      <alignment horizontal="center" vertical="center" wrapText="1"/>
    </xf>
    <xf numFmtId="1" fontId="1" fillId="5" borderId="1" xfId="0" applyNumberFormat="1" applyFont="1" applyFill="1" applyBorder="1" applyAlignment="1">
      <alignment horizontal="center" vertical="center" wrapText="1"/>
    </xf>
    <xf numFmtId="0" fontId="1" fillId="5" borderId="27" xfId="0" applyFont="1" applyFill="1" applyBorder="1" applyAlignment="1">
      <alignment horizontal="center" vertical="center" wrapText="1"/>
    </xf>
    <xf numFmtId="170" fontId="1" fillId="5" borderId="2" xfId="0" applyNumberFormat="1" applyFont="1" applyFill="1" applyBorder="1" applyAlignment="1">
      <alignment horizontal="left" vertical="center" wrapText="1" indent="1"/>
    </xf>
    <xf numFmtId="0" fontId="1" fillId="5" borderId="1" xfId="0" quotePrefix="1" applyFont="1" applyFill="1" applyBorder="1" applyAlignment="1">
      <alignment horizontal="center" vertical="center" wrapText="1"/>
    </xf>
    <xf numFmtId="0" fontId="0" fillId="0" borderId="1" xfId="0" quotePrefix="1" applyBorder="1" applyAlignment="1">
      <alignment horizontal="center" vertical="center" wrapText="1"/>
    </xf>
    <xf numFmtId="0" fontId="0" fillId="0" borderId="1" xfId="0" applyBorder="1" applyAlignment="1">
      <alignment horizontal="left" vertical="center" wrapText="1" indent="1"/>
    </xf>
    <xf numFmtId="164" fontId="0" fillId="0" borderId="4" xfId="0" applyNumberFormat="1" applyBorder="1" applyAlignment="1">
      <alignment horizontal="center" vertical="center"/>
    </xf>
    <xf numFmtId="164" fontId="0" fillId="0" borderId="6" xfId="0" applyNumberFormat="1" applyBorder="1" applyAlignment="1">
      <alignment horizontal="center" vertical="center"/>
    </xf>
    <xf numFmtId="164" fontId="0" fillId="0" borderId="5" xfId="0" applyNumberFormat="1" applyBorder="1" applyAlignment="1">
      <alignment horizontal="center" vertical="center"/>
    </xf>
    <xf numFmtId="2" fontId="0" fillId="0" borderId="2" xfId="0" applyNumberFormat="1" applyBorder="1" applyAlignment="1">
      <alignment horizontal="right" vertical="center" indent="1"/>
    </xf>
    <xf numFmtId="0" fontId="0" fillId="0" borderId="2" xfId="0" applyBorder="1" applyAlignment="1">
      <alignment horizontal="right" vertical="center" indent="1"/>
    </xf>
    <xf numFmtId="164" fontId="0" fillId="0" borderId="2" xfId="0" applyNumberFormat="1" applyBorder="1" applyAlignment="1">
      <alignment horizontal="right" vertical="center" indent="1"/>
    </xf>
    <xf numFmtId="166" fontId="0" fillId="0" borderId="2" xfId="0" applyNumberFormat="1" applyBorder="1" applyAlignment="1">
      <alignment horizontal="right" vertical="center" indent="1"/>
    </xf>
    <xf numFmtId="1" fontId="0" fillId="0" borderId="2" xfId="0" applyNumberFormat="1" applyBorder="1" applyAlignment="1">
      <alignment horizontal="right" vertical="center" indent="1"/>
    </xf>
    <xf numFmtId="167" fontId="0" fillId="0" borderId="2" xfId="0" applyNumberFormat="1" applyBorder="1" applyAlignment="1">
      <alignment horizontal="center" vertical="center"/>
    </xf>
    <xf numFmtId="0" fontId="1" fillId="0" borderId="2" xfId="0" applyFont="1" applyBorder="1" applyAlignment="1">
      <alignment horizontal="center" vertical="center"/>
    </xf>
    <xf numFmtId="166" fontId="0" fillId="0" borderId="5" xfId="0" applyNumberFormat="1" applyBorder="1" applyAlignment="1">
      <alignment horizontal="center" vertical="center"/>
    </xf>
    <xf numFmtId="167" fontId="0" fillId="0" borderId="4" xfId="0" applyNumberFormat="1" applyBorder="1" applyAlignment="1">
      <alignment horizontal="center" vertical="center"/>
    </xf>
    <xf numFmtId="167" fontId="0" fillId="0" borderId="6" xfId="0" applyNumberFormat="1" applyBorder="1" applyAlignment="1">
      <alignment horizontal="center" vertical="center"/>
    </xf>
    <xf numFmtId="167" fontId="0" fillId="0" borderId="5" xfId="0" applyNumberFormat="1" applyBorder="1" applyAlignment="1">
      <alignment horizontal="center" vertical="center"/>
    </xf>
    <xf numFmtId="0" fontId="0" fillId="0" borderId="22" xfId="0" applyBorder="1" applyAlignment="1">
      <alignment horizontal="center" vertical="center" wrapText="1"/>
    </xf>
    <xf numFmtId="0" fontId="0" fillId="0" borderId="23" xfId="0" applyBorder="1" applyAlignment="1">
      <alignment horizontal="center" vertical="center" wrapText="1"/>
    </xf>
    <xf numFmtId="0" fontId="0" fillId="0" borderId="24" xfId="0" applyBorder="1" applyAlignment="1">
      <alignment horizontal="center" vertical="center" wrapText="1"/>
    </xf>
    <xf numFmtId="172" fontId="1" fillId="4" borderId="2" xfId="0" applyNumberFormat="1" applyFont="1" applyFill="1" applyBorder="1" applyAlignment="1">
      <alignment horizontal="center" vertical="center"/>
    </xf>
    <xf numFmtId="171" fontId="0" fillId="0" borderId="2" xfId="0" applyNumberFormat="1" applyBorder="1" applyAlignment="1">
      <alignment horizontal="center" vertical="center"/>
    </xf>
    <xf numFmtId="0" fontId="0" fillId="0" borderId="2" xfId="0" applyBorder="1" applyAlignment="1">
      <alignment horizontal="center" vertical="center"/>
    </xf>
    <xf numFmtId="0" fontId="1" fillId="5" borderId="2" xfId="0" applyFont="1" applyFill="1" applyBorder="1" applyAlignment="1">
      <alignment horizontal="center" vertical="center"/>
    </xf>
    <xf numFmtId="172" fontId="0" fillId="0" borderId="7" xfId="0" applyNumberFormat="1" applyBorder="1" applyAlignment="1">
      <alignment horizontal="center" vertical="center"/>
    </xf>
    <xf numFmtId="172" fontId="0" fillId="0" borderId="0" xfId="0" applyNumberFormat="1" applyAlignment="1">
      <alignment horizontal="center" vertical="center"/>
    </xf>
    <xf numFmtId="172" fontId="0" fillId="0" borderId="8" xfId="0" applyNumberFormat="1" applyBorder="1" applyAlignment="1">
      <alignment horizontal="center" vertical="center"/>
    </xf>
    <xf numFmtId="172" fontId="0" fillId="0" borderId="7" xfId="0" applyNumberFormat="1" applyBorder="1" applyAlignment="1">
      <alignment horizontal="center"/>
    </xf>
    <xf numFmtId="172" fontId="0" fillId="0" borderId="0" xfId="0" applyNumberFormat="1" applyAlignment="1">
      <alignment horizontal="center"/>
    </xf>
    <xf numFmtId="172" fontId="0" fillId="0" borderId="8" xfId="0" applyNumberFormat="1" applyBorder="1" applyAlignment="1">
      <alignment horizontal="center"/>
    </xf>
    <xf numFmtId="2" fontId="0" fillId="0" borderId="13" xfId="0" applyNumberFormat="1" applyBorder="1" applyAlignment="1">
      <alignment horizontal="center" vertical="top" wrapText="1"/>
    </xf>
    <xf numFmtId="172" fontId="0" fillId="0" borderId="12" xfId="0" applyNumberFormat="1" applyBorder="1" applyAlignment="1">
      <alignment horizontal="center" vertical="center"/>
    </xf>
    <xf numFmtId="172" fontId="0" fillId="0" borderId="13" xfId="0" applyNumberFormat="1" applyBorder="1" applyAlignment="1">
      <alignment horizontal="center" vertical="center"/>
    </xf>
    <xf numFmtId="172" fontId="0" fillId="0" borderId="14" xfId="0" applyNumberFormat="1" applyBorder="1" applyAlignment="1">
      <alignment horizontal="center" vertical="center"/>
    </xf>
    <xf numFmtId="172" fontId="0" fillId="0" borderId="12" xfId="0" applyNumberFormat="1" applyBorder="1" applyAlignment="1">
      <alignment horizontal="center"/>
    </xf>
    <xf numFmtId="172" fontId="0" fillId="0" borderId="13" xfId="0" applyNumberFormat="1" applyBorder="1" applyAlignment="1">
      <alignment horizontal="center"/>
    </xf>
    <xf numFmtId="172" fontId="0" fillId="0" borderId="14" xfId="0" applyNumberFormat="1" applyBorder="1" applyAlignment="1">
      <alignment horizontal="center"/>
    </xf>
    <xf numFmtId="172" fontId="0" fillId="0" borderId="9" xfId="0" applyNumberFormat="1" applyBorder="1" applyAlignment="1">
      <alignment horizontal="center" vertical="center"/>
    </xf>
    <xf numFmtId="172" fontId="0" fillId="0" borderId="10" xfId="0" applyNumberFormat="1" applyBorder="1" applyAlignment="1">
      <alignment horizontal="center" vertical="center"/>
    </xf>
    <xf numFmtId="172" fontId="0" fillId="0" borderId="11" xfId="0" applyNumberFormat="1" applyBorder="1" applyAlignment="1">
      <alignment horizontal="center" vertical="center"/>
    </xf>
    <xf numFmtId="172" fontId="0" fillId="0" borderId="9" xfId="0" applyNumberFormat="1" applyBorder="1" applyAlignment="1">
      <alignment horizontal="center"/>
    </xf>
    <xf numFmtId="172" fontId="0" fillId="0" borderId="10" xfId="0" applyNumberFormat="1" applyBorder="1" applyAlignment="1">
      <alignment horizontal="center"/>
    </xf>
    <xf numFmtId="172" fontId="0" fillId="0" borderId="11" xfId="0" applyNumberFormat="1" applyBorder="1" applyAlignment="1">
      <alignment horizontal="center"/>
    </xf>
    <xf numFmtId="0" fontId="1" fillId="5" borderId="15" xfId="0" applyFont="1" applyFill="1" applyBorder="1" applyAlignment="1">
      <alignment horizontal="center" vertical="center"/>
    </xf>
    <xf numFmtId="0" fontId="1" fillId="5" borderId="16" xfId="0" applyFont="1" applyFill="1" applyBorder="1" applyAlignment="1">
      <alignment horizontal="center" vertical="center"/>
    </xf>
    <xf numFmtId="1" fontId="0" fillId="0" borderId="2" xfId="0" applyNumberFormat="1" applyBorder="1" applyAlignment="1">
      <alignment horizontal="center" vertical="center"/>
    </xf>
    <xf numFmtId="0" fontId="0" fillId="0" borderId="12" xfId="0" applyBorder="1" applyAlignment="1">
      <alignment horizontal="center" vertical="top" wrapText="1"/>
    </xf>
    <xf numFmtId="172" fontId="1" fillId="5" borderId="2" xfId="0" applyNumberFormat="1" applyFont="1" applyFill="1" applyBorder="1" applyAlignment="1">
      <alignment horizontal="center" vertical="center"/>
    </xf>
    <xf numFmtId="172" fontId="0" fillId="0" borderId="2" xfId="0" applyNumberFormat="1" applyBorder="1" applyAlignment="1">
      <alignment horizontal="right" vertical="center" indent="2"/>
    </xf>
    <xf numFmtId="1" fontId="0" fillId="0" borderId="0" xfId="0" applyNumberFormat="1" applyAlignment="1">
      <alignment horizontal="center" vertical="center"/>
    </xf>
    <xf numFmtId="1" fontId="1" fillId="5" borderId="2" xfId="0" applyNumberFormat="1" applyFont="1" applyFill="1" applyBorder="1" applyAlignment="1">
      <alignment horizontal="center" vertical="center"/>
    </xf>
    <xf numFmtId="174" fontId="0" fillId="0" borderId="2" xfId="0" applyNumberFormat="1" applyBorder="1" applyAlignment="1">
      <alignment horizontal="right" vertical="center" indent="2"/>
    </xf>
    <xf numFmtId="0" fontId="8" fillId="0" borderId="0" xfId="1" applyFont="1"/>
    <xf numFmtId="0" fontId="9" fillId="0" borderId="0" xfId="1" applyFont="1"/>
    <xf numFmtId="0" fontId="9" fillId="0" borderId="0" xfId="1" applyFont="1" applyAlignment="1">
      <alignment horizontal="center"/>
    </xf>
    <xf numFmtId="0" fontId="9" fillId="0" borderId="0" xfId="1" applyFont="1" applyProtection="1">
      <protection locked="0"/>
    </xf>
    <xf numFmtId="0" fontId="9" fillId="0" borderId="0" xfId="1" applyFont="1" applyAlignment="1">
      <alignment horizontal="right" indent="1"/>
    </xf>
    <xf numFmtId="0" fontId="9" fillId="0" borderId="0" xfId="1" applyFont="1" applyAlignment="1">
      <alignment horizontal="left" indent="1"/>
    </xf>
    <xf numFmtId="0" fontId="15" fillId="0" borderId="0" xfId="1" applyFont="1" applyAlignment="1">
      <alignment horizontal="right"/>
    </xf>
    <xf numFmtId="0" fontId="21" fillId="0" borderId="0" xfId="1" applyFont="1" applyAlignment="1" applyProtection="1">
      <alignment horizontal="center" vertical="center"/>
      <protection locked="0"/>
    </xf>
    <xf numFmtId="0" fontId="0" fillId="0" borderId="0" xfId="0" applyAlignment="1">
      <alignment horizontal="center"/>
    </xf>
    <xf numFmtId="0" fontId="0" fillId="0" borderId="0" xfId="0" applyAlignment="1">
      <alignment horizontal="right" indent="1"/>
    </xf>
    <xf numFmtId="1" fontId="0" fillId="0" borderId="0" xfId="0" applyNumberFormat="1" applyAlignment="1">
      <alignment horizontal="center"/>
    </xf>
    <xf numFmtId="167" fontId="0" fillId="0" borderId="0" xfId="0" applyNumberFormat="1" applyAlignment="1">
      <alignment horizontal="right" indent="1"/>
    </xf>
    <xf numFmtId="0" fontId="1" fillId="5" borderId="15" xfId="0" applyFont="1" applyFill="1" applyBorder="1" applyAlignment="1">
      <alignment horizontal="left" vertical="center" indent="1"/>
    </xf>
    <xf numFmtId="0" fontId="1" fillId="5" borderId="15" xfId="0" applyFont="1" applyFill="1" applyBorder="1" applyAlignment="1">
      <alignment horizontal="left" vertical="center" indent="4"/>
    </xf>
    <xf numFmtId="176" fontId="0" fillId="0" borderId="0" xfId="0" applyNumberFormat="1"/>
    <xf numFmtId="1" fontId="1" fillId="0" borderId="0" xfId="0" applyNumberFormat="1" applyFont="1" applyAlignment="1">
      <alignment horizontal="right" indent="1"/>
    </xf>
    <xf numFmtId="1" fontId="1" fillId="0" borderId="0" xfId="0" quotePrefix="1" applyNumberFormat="1" applyFont="1" applyAlignment="1">
      <alignment horizontal="right" indent="1"/>
    </xf>
    <xf numFmtId="1" fontId="27" fillId="0" borderId="0" xfId="0" applyNumberFormat="1" applyFont="1" applyAlignment="1">
      <alignment horizontal="center"/>
    </xf>
    <xf numFmtId="176" fontId="1" fillId="5" borderId="15" xfId="0" applyNumberFormat="1" applyFont="1" applyFill="1" applyBorder="1" applyAlignment="1">
      <alignment horizontal="center" vertical="center"/>
    </xf>
    <xf numFmtId="176" fontId="1" fillId="5" borderId="16" xfId="0" applyNumberFormat="1" applyFont="1" applyFill="1" applyBorder="1" applyAlignment="1">
      <alignment horizontal="center" vertical="center"/>
    </xf>
    <xf numFmtId="176" fontId="0" fillId="0" borderId="2" xfId="0" applyNumberFormat="1" applyBorder="1" applyAlignment="1">
      <alignment horizontal="right" vertical="center" indent="1"/>
    </xf>
    <xf numFmtId="176" fontId="0" fillId="0" borderId="0" xfId="0" applyNumberFormat="1" applyAlignment="1">
      <alignment horizontal="left" vertical="center" indent="1"/>
    </xf>
    <xf numFmtId="0" fontId="2" fillId="18" borderId="2" xfId="0" quotePrefix="1" applyFont="1" applyFill="1" applyBorder="1" applyAlignment="1">
      <alignment horizontal="left" vertical="center" wrapText="1" indent="1"/>
    </xf>
    <xf numFmtId="0" fontId="0" fillId="0" borderId="0" xfId="0" applyAlignment="1">
      <alignment horizontal="left" vertical="center"/>
    </xf>
    <xf numFmtId="0" fontId="8" fillId="12" borderId="2" xfId="1" applyFont="1" applyFill="1" applyBorder="1" applyAlignment="1">
      <alignment horizontal="left" vertical="center" indent="1"/>
    </xf>
    <xf numFmtId="0" fontId="9" fillId="4" borderId="2" xfId="1" applyFont="1" applyFill="1" applyBorder="1" applyAlignment="1" applyProtection="1">
      <alignment horizontal="left" indent="1"/>
      <protection locked="0"/>
    </xf>
    <xf numFmtId="0" fontId="9" fillId="4" borderId="2" xfId="1" applyFont="1" applyFill="1" applyBorder="1" applyAlignment="1" applyProtection="1">
      <alignment horizontal="center"/>
      <protection locked="0"/>
    </xf>
    <xf numFmtId="49" fontId="0" fillId="0" borderId="0" xfId="0" quotePrefix="1" applyNumberFormat="1" applyAlignment="1">
      <alignment horizontal="right" vertical="center" indent="1"/>
    </xf>
    <xf numFmtId="170" fontId="0" fillId="4" borderId="2" xfId="0" applyNumberFormat="1" applyFill="1" applyBorder="1" applyAlignment="1">
      <alignment horizontal="left" vertical="center" indent="1"/>
    </xf>
    <xf numFmtId="0" fontId="13" fillId="13" borderId="2" xfId="1" applyFont="1" applyFill="1" applyBorder="1" applyAlignment="1" applyProtection="1">
      <alignment horizontal="center" vertical="center"/>
      <protection locked="0"/>
    </xf>
    <xf numFmtId="0" fontId="13" fillId="13" borderId="2" xfId="1" quotePrefix="1" applyFont="1" applyFill="1" applyBorder="1" applyAlignment="1" applyProtection="1">
      <alignment horizontal="center" vertical="center"/>
      <protection locked="0"/>
    </xf>
    <xf numFmtId="1" fontId="2" fillId="5" borderId="2" xfId="0" quotePrefix="1" applyNumberFormat="1" applyFont="1" applyFill="1" applyBorder="1" applyAlignment="1">
      <alignment horizontal="center" vertical="center"/>
    </xf>
    <xf numFmtId="0" fontId="3" fillId="19" borderId="2" xfId="0" applyFont="1" applyFill="1" applyBorder="1" applyAlignment="1">
      <alignment horizontal="left" vertical="center" wrapText="1" indent="1"/>
    </xf>
    <xf numFmtId="0" fontId="1" fillId="19" borderId="2" xfId="0" applyFont="1" applyFill="1" applyBorder="1" applyAlignment="1">
      <alignment horizontal="left" vertical="center" indent="1"/>
    </xf>
    <xf numFmtId="0" fontId="1" fillId="19" borderId="2" xfId="0" applyFont="1" applyFill="1" applyBorder="1" applyAlignment="1">
      <alignment horizontal="center" vertical="center"/>
    </xf>
    <xf numFmtId="171" fontId="0" fillId="4" borderId="2" xfId="0" applyNumberFormat="1" applyFill="1" applyBorder="1" applyAlignment="1" applyProtection="1">
      <alignment horizontal="center" vertical="center"/>
      <protection locked="0"/>
    </xf>
    <xf numFmtId="0" fontId="0" fillId="4" borderId="57" xfId="0" applyFill="1" applyBorder="1" applyAlignment="1" applyProtection="1">
      <alignment horizontal="right" vertical="center"/>
      <protection locked="0"/>
    </xf>
    <xf numFmtId="169" fontId="0" fillId="4" borderId="48" xfId="0" applyNumberFormat="1" applyFill="1" applyBorder="1" applyAlignment="1" applyProtection="1">
      <alignment horizontal="left" vertical="center"/>
      <protection locked="0"/>
    </xf>
    <xf numFmtId="0" fontId="0" fillId="4" borderId="63" xfId="0" applyFill="1" applyBorder="1" applyAlignment="1" applyProtection="1">
      <alignment horizontal="right" vertical="center"/>
      <protection locked="0"/>
    </xf>
    <xf numFmtId="169" fontId="0" fillId="4" borderId="64" xfId="0" applyNumberFormat="1" applyFill="1" applyBorder="1" applyAlignment="1" applyProtection="1">
      <alignment horizontal="left" vertical="center"/>
      <protection locked="0"/>
    </xf>
    <xf numFmtId="0" fontId="9" fillId="0" borderId="0" xfId="1" applyFont="1" applyAlignment="1">
      <alignment horizontal="center" vertical="center"/>
    </xf>
    <xf numFmtId="0" fontId="13" fillId="13" borderId="5" xfId="1" applyFont="1" applyFill="1" applyBorder="1" applyAlignment="1" applyProtection="1">
      <alignment horizontal="left" vertical="center"/>
      <protection locked="0"/>
    </xf>
    <xf numFmtId="0" fontId="13" fillId="13" borderId="4" xfId="1" applyFont="1" applyFill="1" applyBorder="1" applyAlignment="1" applyProtection="1">
      <alignment horizontal="right" vertical="center"/>
      <protection locked="0"/>
    </xf>
    <xf numFmtId="0" fontId="19" fillId="0" borderId="0" xfId="1" quotePrefix="1" applyFont="1" applyAlignment="1" applyProtection="1">
      <alignment horizontal="center" vertical="center"/>
      <protection locked="0"/>
    </xf>
    <xf numFmtId="0" fontId="13" fillId="13" borderId="4" xfId="1" quotePrefix="1" applyFont="1" applyFill="1" applyBorder="1" applyAlignment="1" applyProtection="1">
      <alignment horizontal="center" vertical="center"/>
      <protection locked="0"/>
    </xf>
    <xf numFmtId="0" fontId="13" fillId="13" borderId="5" xfId="1" quotePrefix="1" applyFont="1" applyFill="1" applyBorder="1" applyAlignment="1" applyProtection="1">
      <alignment horizontal="center" vertical="center"/>
      <protection locked="0"/>
    </xf>
    <xf numFmtId="0" fontId="21" fillId="0" borderId="0" xfId="1" quotePrefix="1" applyFont="1" applyAlignment="1" applyProtection="1">
      <alignment horizontal="center" vertical="center"/>
      <protection locked="0"/>
    </xf>
    <xf numFmtId="0" fontId="32" fillId="0" borderId="0" xfId="2"/>
    <xf numFmtId="0" fontId="33" fillId="0" borderId="0" xfId="2" applyFont="1" applyAlignment="1">
      <alignment horizontal="left" indent="1"/>
    </xf>
    <xf numFmtId="0" fontId="33" fillId="0" borderId="0" xfId="2" applyFont="1" applyAlignment="1">
      <alignment horizontal="left"/>
    </xf>
    <xf numFmtId="0" fontId="33" fillId="0" borderId="0" xfId="2" applyFont="1" applyAlignment="1">
      <alignment horizontal="center"/>
    </xf>
    <xf numFmtId="0" fontId="33" fillId="30" borderId="75" xfId="2" applyFont="1" applyFill="1" applyBorder="1" applyAlignment="1">
      <alignment horizontal="center"/>
    </xf>
    <xf numFmtId="0" fontId="33" fillId="30" borderId="75" xfId="2" applyFont="1" applyFill="1" applyBorder="1" applyAlignment="1">
      <alignment horizontal="left" indent="1"/>
    </xf>
    <xf numFmtId="0" fontId="32" fillId="26" borderId="76" xfId="2" applyFill="1" applyBorder="1" applyAlignment="1">
      <alignment horizontal="left" indent="1"/>
    </xf>
    <xf numFmtId="0" fontId="32" fillId="9" borderId="76" xfId="2" applyFill="1" applyBorder="1" applyAlignment="1">
      <alignment horizontal="left" indent="1"/>
    </xf>
    <xf numFmtId="0" fontId="32" fillId="26" borderId="77" xfId="2" applyFill="1" applyBorder="1" applyAlignment="1">
      <alignment horizontal="left" indent="1"/>
    </xf>
    <xf numFmtId="0" fontId="32" fillId="9" borderId="77" xfId="2" applyFill="1" applyBorder="1" applyAlignment="1">
      <alignment horizontal="left" indent="1"/>
    </xf>
    <xf numFmtId="0" fontId="33" fillId="28" borderId="80" xfId="2" applyFont="1" applyFill="1" applyBorder="1" applyAlignment="1">
      <alignment horizontal="left"/>
    </xf>
    <xf numFmtId="0" fontId="33" fillId="28" borderId="80" xfId="2" applyFont="1" applyFill="1" applyBorder="1" applyAlignment="1">
      <alignment horizontal="center"/>
    </xf>
    <xf numFmtId="0" fontId="32" fillId="0" borderId="0" xfId="2" applyAlignment="1">
      <alignment horizontal="center"/>
    </xf>
    <xf numFmtId="0" fontId="33" fillId="31" borderId="80" xfId="2" applyFont="1" applyFill="1" applyBorder="1" applyAlignment="1">
      <alignment horizontal="left"/>
    </xf>
    <xf numFmtId="0" fontId="33" fillId="31" borderId="80" xfId="2" applyFont="1" applyFill="1" applyBorder="1" applyAlignment="1">
      <alignment horizontal="center"/>
    </xf>
    <xf numFmtId="0" fontId="32" fillId="9" borderId="76" xfId="2" applyFill="1" applyBorder="1" applyAlignment="1">
      <alignment horizontal="center"/>
    </xf>
    <xf numFmtId="0" fontId="32" fillId="9" borderId="77" xfId="2" applyFill="1" applyBorder="1" applyAlignment="1">
      <alignment horizontal="center"/>
    </xf>
    <xf numFmtId="0" fontId="33" fillId="26" borderId="78" xfId="2" applyFont="1" applyFill="1" applyBorder="1" applyAlignment="1">
      <alignment horizontal="left"/>
    </xf>
    <xf numFmtId="0" fontId="33" fillId="26" borderId="79" xfId="2" applyFont="1" applyFill="1" applyBorder="1" applyAlignment="1">
      <alignment horizontal="left"/>
    </xf>
    <xf numFmtId="0" fontId="33" fillId="26" borderId="81" xfId="2" applyFont="1" applyFill="1" applyBorder="1" applyAlignment="1">
      <alignment horizontal="left"/>
    </xf>
    <xf numFmtId="0" fontId="33" fillId="6" borderId="7" xfId="2" applyFont="1" applyFill="1" applyBorder="1" applyAlignment="1">
      <alignment horizontal="left"/>
    </xf>
    <xf numFmtId="0" fontId="33" fillId="6" borderId="0" xfId="2" applyFont="1" applyFill="1" applyAlignment="1">
      <alignment horizontal="center"/>
    </xf>
    <xf numFmtId="0" fontId="33" fillId="6" borderId="8" xfId="2" applyFont="1" applyFill="1" applyBorder="1" applyAlignment="1">
      <alignment horizontal="center"/>
    </xf>
    <xf numFmtId="0" fontId="33" fillId="6" borderId="9" xfId="2" applyFont="1" applyFill="1" applyBorder="1" applyAlignment="1">
      <alignment horizontal="left"/>
    </xf>
    <xf numFmtId="0" fontId="33" fillId="6" borderId="10" xfId="2" applyFont="1" applyFill="1" applyBorder="1" applyAlignment="1">
      <alignment horizontal="center"/>
    </xf>
    <xf numFmtId="0" fontId="33" fillId="6" borderId="11" xfId="2" applyFont="1" applyFill="1" applyBorder="1" applyAlignment="1">
      <alignment horizontal="center"/>
    </xf>
    <xf numFmtId="0" fontId="33" fillId="19" borderId="7" xfId="2" applyFont="1" applyFill="1" applyBorder="1" applyAlignment="1">
      <alignment horizontal="left"/>
    </xf>
    <xf numFmtId="0" fontId="33" fillId="19" borderId="0" xfId="2" applyFont="1" applyFill="1" applyAlignment="1">
      <alignment horizontal="center"/>
    </xf>
    <xf numFmtId="0" fontId="33" fillId="19" borderId="8" xfId="2" applyFont="1" applyFill="1" applyBorder="1" applyAlignment="1">
      <alignment horizontal="center"/>
    </xf>
    <xf numFmtId="0" fontId="33" fillId="19" borderId="9" xfId="2" applyFont="1" applyFill="1" applyBorder="1" applyAlignment="1">
      <alignment horizontal="left"/>
    </xf>
    <xf numFmtId="0" fontId="33" fillId="19" borderId="10" xfId="2" applyFont="1" applyFill="1" applyBorder="1" applyAlignment="1">
      <alignment horizontal="center"/>
    </xf>
    <xf numFmtId="0" fontId="33" fillId="19" borderId="11" xfId="2" applyFont="1" applyFill="1" applyBorder="1" applyAlignment="1">
      <alignment horizontal="center"/>
    </xf>
    <xf numFmtId="0" fontId="33" fillId="26" borderId="81" xfId="2" applyFont="1" applyFill="1" applyBorder="1" applyAlignment="1">
      <alignment horizontal="center"/>
    </xf>
    <xf numFmtId="0" fontId="33" fillId="8" borderId="7" xfId="2" applyFont="1" applyFill="1" applyBorder="1" applyAlignment="1">
      <alignment horizontal="left"/>
    </xf>
    <xf numFmtId="0" fontId="33" fillId="8" borderId="0" xfId="2" applyFont="1" applyFill="1" applyAlignment="1">
      <alignment horizontal="center"/>
    </xf>
    <xf numFmtId="0" fontId="33" fillId="8" borderId="8" xfId="2" applyFont="1" applyFill="1" applyBorder="1" applyAlignment="1">
      <alignment horizontal="center"/>
    </xf>
    <xf numFmtId="179" fontId="33" fillId="8" borderId="0" xfId="2" applyNumberFormat="1" applyFont="1" applyFill="1" applyAlignment="1">
      <alignment horizontal="center"/>
    </xf>
    <xf numFmtId="0" fontId="33" fillId="8" borderId="9" xfId="2" applyFont="1" applyFill="1" applyBorder="1" applyAlignment="1">
      <alignment horizontal="left"/>
    </xf>
    <xf numFmtId="179" fontId="33" fillId="8" borderId="10" xfId="2" applyNumberFormat="1" applyFont="1" applyFill="1" applyBorder="1" applyAlignment="1">
      <alignment horizontal="center"/>
    </xf>
    <xf numFmtId="0" fontId="33" fillId="8" borderId="11" xfId="2" applyFont="1" applyFill="1" applyBorder="1" applyAlignment="1">
      <alignment horizontal="center"/>
    </xf>
    <xf numFmtId="0" fontId="33" fillId="9" borderId="7" xfId="2" applyFont="1" applyFill="1" applyBorder="1" applyAlignment="1">
      <alignment horizontal="left"/>
    </xf>
    <xf numFmtId="0" fontId="33" fillId="9" borderId="0" xfId="2" applyFont="1" applyFill="1" applyAlignment="1">
      <alignment horizontal="center"/>
    </xf>
    <xf numFmtId="0" fontId="33" fillId="9" borderId="8" xfId="2" applyFont="1" applyFill="1" applyBorder="1" applyAlignment="1">
      <alignment horizontal="center"/>
    </xf>
    <xf numFmtId="0" fontId="33" fillId="9" borderId="9" xfId="2" applyFont="1" applyFill="1" applyBorder="1" applyAlignment="1">
      <alignment horizontal="left"/>
    </xf>
    <xf numFmtId="0" fontId="33" fillId="9" borderId="10" xfId="2" applyFont="1" applyFill="1" applyBorder="1" applyAlignment="1">
      <alignment horizontal="center"/>
    </xf>
    <xf numFmtId="0" fontId="33" fillId="9" borderId="11" xfId="2" applyFont="1" applyFill="1" applyBorder="1" applyAlignment="1">
      <alignment horizontal="center"/>
    </xf>
    <xf numFmtId="0" fontId="33" fillId="23" borderId="7" xfId="2" applyFont="1" applyFill="1" applyBorder="1" applyAlignment="1">
      <alignment horizontal="left"/>
    </xf>
    <xf numFmtId="0" fontId="33" fillId="23" borderId="0" xfId="2" applyFont="1" applyFill="1" applyAlignment="1">
      <alignment horizontal="center"/>
    </xf>
    <xf numFmtId="0" fontId="33" fillId="23" borderId="8" xfId="2" applyFont="1" applyFill="1" applyBorder="1" applyAlignment="1">
      <alignment horizontal="center"/>
    </xf>
    <xf numFmtId="0" fontId="33" fillId="23" borderId="9" xfId="2" applyFont="1" applyFill="1" applyBorder="1" applyAlignment="1">
      <alignment horizontal="left"/>
    </xf>
    <xf numFmtId="0" fontId="33" fillId="23" borderId="10" xfId="2" applyFont="1" applyFill="1" applyBorder="1" applyAlignment="1">
      <alignment horizontal="center"/>
    </xf>
    <xf numFmtId="0" fontId="33" fillId="23" borderId="11" xfId="2" applyFont="1" applyFill="1" applyBorder="1" applyAlignment="1">
      <alignment horizontal="center"/>
    </xf>
    <xf numFmtId="0" fontId="33" fillId="27" borderId="7" xfId="2" applyFont="1" applyFill="1" applyBorder="1" applyAlignment="1">
      <alignment horizontal="left"/>
    </xf>
    <xf numFmtId="0" fontId="33" fillId="27" borderId="0" xfId="2" applyFont="1" applyFill="1" applyAlignment="1">
      <alignment horizontal="center"/>
    </xf>
    <xf numFmtId="0" fontId="33" fillId="27" borderId="8" xfId="2" applyFont="1" applyFill="1" applyBorder="1" applyAlignment="1">
      <alignment horizontal="center"/>
    </xf>
    <xf numFmtId="0" fontId="33" fillId="27" borderId="9" xfId="2" applyFont="1" applyFill="1" applyBorder="1" applyAlignment="1">
      <alignment horizontal="left"/>
    </xf>
    <xf numFmtId="0" fontId="33" fillId="27" borderId="10" xfId="2" applyFont="1" applyFill="1" applyBorder="1" applyAlignment="1">
      <alignment horizontal="center"/>
    </xf>
    <xf numFmtId="0" fontId="33" fillId="27" borderId="11" xfId="2" applyFont="1" applyFill="1" applyBorder="1" applyAlignment="1">
      <alignment horizontal="center"/>
    </xf>
    <xf numFmtId="0" fontId="33" fillId="32" borderId="80" xfId="2" applyFont="1" applyFill="1" applyBorder="1" applyAlignment="1">
      <alignment horizontal="left"/>
    </xf>
    <xf numFmtId="0" fontId="33" fillId="32" borderId="80" xfId="2" applyFont="1" applyFill="1" applyBorder="1" applyAlignment="1">
      <alignment horizontal="center"/>
    </xf>
    <xf numFmtId="0" fontId="33" fillId="5" borderId="80" xfId="2" applyFont="1" applyFill="1" applyBorder="1" applyAlignment="1">
      <alignment horizontal="center"/>
    </xf>
    <xf numFmtId="0" fontId="33" fillId="29" borderId="0" xfId="2" applyFont="1" applyFill="1" applyAlignment="1">
      <alignment horizontal="center"/>
    </xf>
    <xf numFmtId="0" fontId="33" fillId="29" borderId="10" xfId="2" applyFont="1" applyFill="1" applyBorder="1" applyAlignment="1">
      <alignment horizontal="center"/>
    </xf>
    <xf numFmtId="179" fontId="33" fillId="3" borderId="0" xfId="2" applyNumberFormat="1" applyFont="1" applyFill="1" applyAlignment="1">
      <alignment horizontal="center"/>
    </xf>
    <xf numFmtId="179" fontId="33" fillId="3" borderId="10" xfId="2" applyNumberFormat="1" applyFont="1" applyFill="1" applyBorder="1" applyAlignment="1">
      <alignment horizontal="center"/>
    </xf>
    <xf numFmtId="0" fontId="33" fillId="10" borderId="0" xfId="2" applyFont="1" applyFill="1" applyAlignment="1">
      <alignment horizontal="center"/>
    </xf>
    <xf numFmtId="0" fontId="33" fillId="34" borderId="0" xfId="2" applyFont="1" applyFill="1" applyAlignment="1">
      <alignment horizontal="center"/>
    </xf>
    <xf numFmtId="0" fontId="33" fillId="34" borderId="10" xfId="2" applyFont="1" applyFill="1" applyBorder="1" applyAlignment="1">
      <alignment horizontal="center"/>
    </xf>
    <xf numFmtId="0" fontId="33" fillId="33" borderId="0" xfId="2" applyFont="1" applyFill="1" applyAlignment="1">
      <alignment horizontal="center"/>
    </xf>
    <xf numFmtId="0" fontId="33" fillId="33" borderId="10" xfId="2" applyFont="1" applyFill="1" applyBorder="1" applyAlignment="1">
      <alignment horizontal="center"/>
    </xf>
    <xf numFmtId="0" fontId="33" fillId="10" borderId="10" xfId="2" applyFont="1" applyFill="1" applyBorder="1" applyAlignment="1">
      <alignment horizontal="center"/>
    </xf>
    <xf numFmtId="0" fontId="33" fillId="12" borderId="0" xfId="2" applyFont="1" applyFill="1" applyAlignment="1">
      <alignment horizontal="center"/>
    </xf>
    <xf numFmtId="0" fontId="33" fillId="12" borderId="10" xfId="2" applyFont="1" applyFill="1" applyBorder="1" applyAlignment="1">
      <alignment horizontal="center"/>
    </xf>
    <xf numFmtId="0" fontId="32" fillId="33" borderId="15" xfId="2" applyFill="1" applyBorder="1" applyAlignment="1">
      <alignment horizontal="center"/>
    </xf>
    <xf numFmtId="0" fontId="33" fillId="33" borderId="16" xfId="2" applyFont="1" applyFill="1" applyBorder="1" applyAlignment="1">
      <alignment horizontal="center"/>
    </xf>
    <xf numFmtId="168" fontId="33" fillId="29" borderId="0" xfId="2" applyNumberFormat="1" applyFont="1" applyFill="1" applyAlignment="1">
      <alignment horizontal="center"/>
    </xf>
    <xf numFmtId="168" fontId="33" fillId="23" borderId="0" xfId="2" applyNumberFormat="1" applyFont="1" applyFill="1" applyAlignment="1">
      <alignment horizontal="center"/>
    </xf>
    <xf numFmtId="168" fontId="33" fillId="23" borderId="8" xfId="2" applyNumberFormat="1" applyFont="1" applyFill="1" applyBorder="1" applyAlignment="1">
      <alignment horizontal="center"/>
    </xf>
    <xf numFmtId="168" fontId="33" fillId="23" borderId="10" xfId="2" applyNumberFormat="1" applyFont="1" applyFill="1" applyBorder="1" applyAlignment="1">
      <alignment horizontal="center"/>
    </xf>
    <xf numFmtId="168" fontId="33" fillId="29" borderId="10" xfId="2" applyNumberFormat="1" applyFont="1" applyFill="1" applyBorder="1" applyAlignment="1">
      <alignment horizontal="center"/>
    </xf>
    <xf numFmtId="168" fontId="33" fillId="23" borderId="11" xfId="2" applyNumberFormat="1" applyFont="1" applyFill="1" applyBorder="1" applyAlignment="1">
      <alignment horizontal="center"/>
    </xf>
    <xf numFmtId="1" fontId="33" fillId="4" borderId="17" xfId="2" applyNumberFormat="1" applyFont="1" applyFill="1" applyBorder="1" applyAlignment="1">
      <alignment horizontal="center"/>
    </xf>
    <xf numFmtId="1" fontId="33" fillId="4" borderId="16" xfId="2" applyNumberFormat="1" applyFont="1" applyFill="1" applyBorder="1" applyAlignment="1">
      <alignment horizontal="center"/>
    </xf>
    <xf numFmtId="0" fontId="33" fillId="35" borderId="15" xfId="2" applyFont="1" applyFill="1" applyBorder="1" applyAlignment="1">
      <alignment horizontal="center" vertical="center" wrapText="1"/>
    </xf>
    <xf numFmtId="0" fontId="33" fillId="35" borderId="16" xfId="2" applyFont="1" applyFill="1" applyBorder="1" applyAlignment="1">
      <alignment horizontal="center" vertical="center" wrapText="1"/>
    </xf>
    <xf numFmtId="0" fontId="34" fillId="32" borderId="15" xfId="2" applyFont="1" applyFill="1" applyBorder="1" applyAlignment="1">
      <alignment horizontal="center"/>
    </xf>
    <xf numFmtId="0" fontId="35" fillId="32" borderId="16" xfId="2" applyFont="1" applyFill="1" applyBorder="1" applyAlignment="1">
      <alignment horizontal="center"/>
    </xf>
    <xf numFmtId="0" fontId="33" fillId="28" borderId="78" xfId="2" applyFont="1" applyFill="1" applyBorder="1" applyAlignment="1">
      <alignment horizontal="center" vertical="center" wrapText="1"/>
    </xf>
    <xf numFmtId="0" fontId="33" fillId="28" borderId="79" xfId="2" applyFont="1" applyFill="1" applyBorder="1" applyAlignment="1">
      <alignment horizontal="left" vertical="center" wrapText="1"/>
    </xf>
    <xf numFmtId="0" fontId="33" fillId="28" borderId="79" xfId="2" applyFont="1" applyFill="1" applyBorder="1" applyAlignment="1">
      <alignment horizontal="center" vertical="center" wrapText="1"/>
    </xf>
    <xf numFmtId="0" fontId="33" fillId="28" borderId="81" xfId="2" applyFont="1" applyFill="1" applyBorder="1" applyAlignment="1">
      <alignment horizontal="center" vertical="center" wrapText="1"/>
    </xf>
    <xf numFmtId="1" fontId="33" fillId="4" borderId="7" xfId="2" applyNumberFormat="1" applyFont="1" applyFill="1" applyBorder="1" applyAlignment="1">
      <alignment horizontal="center"/>
    </xf>
    <xf numFmtId="0" fontId="33" fillId="4" borderId="0" xfId="2" applyFont="1" applyFill="1" applyAlignment="1">
      <alignment horizontal="left"/>
    </xf>
    <xf numFmtId="0" fontId="33" fillId="4" borderId="0" xfId="2" applyFont="1" applyFill="1" applyAlignment="1">
      <alignment horizontal="center"/>
    </xf>
    <xf numFmtId="1" fontId="33" fillId="4" borderId="0" xfId="2" applyNumberFormat="1" applyFont="1" applyFill="1" applyAlignment="1">
      <alignment horizontal="center"/>
    </xf>
    <xf numFmtId="178" fontId="33" fillId="4" borderId="0" xfId="2" applyNumberFormat="1" applyFont="1" applyFill="1" applyAlignment="1">
      <alignment horizontal="right"/>
    </xf>
    <xf numFmtId="1" fontId="33" fillId="4" borderId="8" xfId="2" applyNumberFormat="1" applyFont="1" applyFill="1" applyBorder="1" applyAlignment="1">
      <alignment horizontal="center"/>
    </xf>
    <xf numFmtId="3" fontId="33" fillId="29" borderId="9" xfId="2" applyNumberFormat="1" applyFont="1" applyFill="1" applyBorder="1" applyAlignment="1">
      <alignment horizontal="center"/>
    </xf>
    <xf numFmtId="0" fontId="33" fillId="29" borderId="10" xfId="2" applyFont="1" applyFill="1" applyBorder="1" applyAlignment="1">
      <alignment horizontal="left"/>
    </xf>
    <xf numFmtId="3" fontId="33" fillId="29" borderId="10" xfId="2" applyNumberFormat="1" applyFont="1" applyFill="1" applyBorder="1" applyAlignment="1">
      <alignment horizontal="center"/>
    </xf>
    <xf numFmtId="3" fontId="33" fillId="29" borderId="11" xfId="2" applyNumberFormat="1" applyFont="1" applyFill="1" applyBorder="1" applyAlignment="1">
      <alignment horizontal="center"/>
    </xf>
    <xf numFmtId="178" fontId="33" fillId="4" borderId="0" xfId="2" applyNumberFormat="1" applyFont="1" applyFill="1" applyAlignment="1">
      <alignment horizontal="center"/>
    </xf>
    <xf numFmtId="0" fontId="0" fillId="0" borderId="80" xfId="0" applyBorder="1" applyAlignment="1">
      <alignment horizontal="center"/>
    </xf>
    <xf numFmtId="0" fontId="1" fillId="0" borderId="0" xfId="0" applyFont="1" applyAlignment="1">
      <alignment horizontal="center"/>
    </xf>
    <xf numFmtId="0" fontId="1" fillId="12" borderId="80" xfId="0" applyFont="1" applyFill="1" applyBorder="1" applyAlignment="1">
      <alignment horizontal="center"/>
    </xf>
    <xf numFmtId="1" fontId="33" fillId="4" borderId="9" xfId="2" applyNumberFormat="1" applyFont="1" applyFill="1" applyBorder="1" applyAlignment="1">
      <alignment horizontal="center"/>
    </xf>
    <xf numFmtId="1" fontId="33" fillId="4" borderId="11" xfId="2" applyNumberFormat="1" applyFont="1" applyFill="1" applyBorder="1" applyAlignment="1">
      <alignment horizontal="center"/>
    </xf>
    <xf numFmtId="1" fontId="33" fillId="4" borderId="10" xfId="2" applyNumberFormat="1" applyFont="1" applyFill="1" applyBorder="1" applyAlignment="1">
      <alignment horizontal="center"/>
    </xf>
    <xf numFmtId="1" fontId="33" fillId="4" borderId="78" xfId="2" applyNumberFormat="1" applyFont="1" applyFill="1" applyBorder="1" applyAlignment="1">
      <alignment horizontal="center"/>
    </xf>
    <xf numFmtId="1" fontId="33" fillId="4" borderId="79" xfId="2" applyNumberFormat="1" applyFont="1" applyFill="1" applyBorder="1" applyAlignment="1">
      <alignment horizontal="center"/>
    </xf>
    <xf numFmtId="1" fontId="33" fillId="4" borderId="81" xfId="2" applyNumberFormat="1" applyFont="1" applyFill="1" applyBorder="1" applyAlignment="1">
      <alignment horizontal="center"/>
    </xf>
    <xf numFmtId="0" fontId="33" fillId="4" borderId="79" xfId="2" applyFont="1" applyFill="1" applyBorder="1" applyAlignment="1">
      <alignment horizontal="left"/>
    </xf>
    <xf numFmtId="0" fontId="0" fillId="4" borderId="81" xfId="0" applyFill="1" applyBorder="1"/>
    <xf numFmtId="0" fontId="0" fillId="4" borderId="8" xfId="0" applyFill="1" applyBorder="1"/>
    <xf numFmtId="0" fontId="33" fillId="4" borderId="10" xfId="2" applyFont="1" applyFill="1" applyBorder="1" applyAlignment="1">
      <alignment horizontal="left"/>
    </xf>
    <xf numFmtId="0" fontId="0" fillId="4" borderId="11" xfId="0" applyFill="1" applyBorder="1"/>
    <xf numFmtId="0" fontId="0" fillId="10" borderId="79" xfId="0" applyFill="1" applyBorder="1" applyAlignment="1">
      <alignment horizontal="center"/>
    </xf>
    <xf numFmtId="0" fontId="0" fillId="10" borderId="0" xfId="0" applyFill="1" applyAlignment="1">
      <alignment horizontal="center"/>
    </xf>
    <xf numFmtId="0" fontId="0" fillId="10" borderId="10" xfId="0" applyFill="1" applyBorder="1" applyAlignment="1">
      <alignment horizontal="center"/>
    </xf>
    <xf numFmtId="0" fontId="0" fillId="10" borderId="78" xfId="0" applyFill="1" applyBorder="1" applyAlignment="1">
      <alignment horizontal="center"/>
    </xf>
    <xf numFmtId="0" fontId="0" fillId="10" borderId="7" xfId="0" applyFill="1" applyBorder="1" applyAlignment="1">
      <alignment horizontal="center"/>
    </xf>
    <xf numFmtId="0" fontId="0" fillId="10" borderId="9" xfId="0" applyFill="1" applyBorder="1" applyAlignment="1">
      <alignment horizontal="center"/>
    </xf>
    <xf numFmtId="0" fontId="35" fillId="28" borderId="82" xfId="2" applyFont="1" applyFill="1" applyBorder="1" applyAlignment="1">
      <alignment horizontal="center" vertical="center" wrapText="1"/>
    </xf>
    <xf numFmtId="0" fontId="35" fillId="28" borderId="83" xfId="2" applyFont="1" applyFill="1" applyBorder="1" applyAlignment="1">
      <alignment horizontal="center" vertical="center" wrapText="1"/>
    </xf>
    <xf numFmtId="0" fontId="35" fillId="10" borderId="84" xfId="2" applyFont="1" applyFill="1" applyBorder="1" applyAlignment="1">
      <alignment horizontal="center" vertical="center" wrapText="1"/>
    </xf>
    <xf numFmtId="0" fontId="35" fillId="28" borderId="83" xfId="2" applyFont="1" applyFill="1" applyBorder="1" applyAlignment="1">
      <alignment horizontal="left" vertical="center" wrapText="1"/>
    </xf>
    <xf numFmtId="0" fontId="0" fillId="28" borderId="84" xfId="0" applyFill="1" applyBorder="1"/>
    <xf numFmtId="0" fontId="36" fillId="36" borderId="88" xfId="2" applyFont="1" applyFill="1" applyBorder="1" applyAlignment="1">
      <alignment horizontal="left" vertical="center"/>
    </xf>
    <xf numFmtId="0" fontId="36" fillId="0" borderId="0" xfId="2" applyFont="1" applyAlignment="1">
      <alignment horizontal="left" vertical="center"/>
    </xf>
    <xf numFmtId="0" fontId="37" fillId="37" borderId="0" xfId="2" applyFont="1" applyFill="1" applyAlignment="1">
      <alignment vertical="center"/>
    </xf>
    <xf numFmtId="0" fontId="37" fillId="39" borderId="80" xfId="2" applyFont="1" applyFill="1" applyBorder="1" applyAlignment="1">
      <alignment horizontal="center" vertical="center"/>
    </xf>
    <xf numFmtId="0" fontId="38" fillId="39" borderId="80" xfId="2" applyFont="1" applyFill="1" applyBorder="1" applyAlignment="1">
      <alignment horizontal="center" vertical="center"/>
    </xf>
    <xf numFmtId="0" fontId="39" fillId="37" borderId="0" xfId="2" applyFont="1" applyFill="1" applyAlignment="1">
      <alignment horizontal="center" vertical="center"/>
    </xf>
    <xf numFmtId="0" fontId="32" fillId="37" borderId="0" xfId="2" applyFill="1" applyAlignment="1">
      <alignment horizontal="left" vertical="center"/>
    </xf>
    <xf numFmtId="0" fontId="32" fillId="37" borderId="0" xfId="2" applyFill="1" applyAlignment="1">
      <alignment horizontal="left" vertical="center" indent="1"/>
    </xf>
    <xf numFmtId="0" fontId="32" fillId="0" borderId="0" xfId="2" applyAlignment="1">
      <alignment horizontal="left" vertical="center"/>
    </xf>
    <xf numFmtId="0" fontId="32" fillId="0" borderId="0" xfId="2" applyAlignment="1">
      <alignment vertical="center"/>
    </xf>
    <xf numFmtId="0" fontId="32" fillId="0" borderId="0" xfId="2" applyAlignment="1">
      <alignment horizontal="center" vertical="center"/>
    </xf>
    <xf numFmtId="0" fontId="32" fillId="40" borderId="7" xfId="2" applyFill="1" applyBorder="1" applyAlignment="1">
      <alignment vertical="center"/>
    </xf>
    <xf numFmtId="0" fontId="36" fillId="41" borderId="80" xfId="2" quotePrefix="1" applyFont="1" applyFill="1" applyBorder="1" applyAlignment="1">
      <alignment horizontal="center" vertical="center"/>
    </xf>
    <xf numFmtId="0" fontId="40" fillId="41" borderId="80" xfId="2" quotePrefix="1" applyFont="1" applyFill="1" applyBorder="1" applyAlignment="1">
      <alignment horizontal="center" vertical="center"/>
    </xf>
    <xf numFmtId="0" fontId="32" fillId="40" borderId="9" xfId="2" applyFill="1" applyBorder="1" applyAlignment="1">
      <alignment vertical="center"/>
    </xf>
    <xf numFmtId="0" fontId="41" fillId="0" borderId="0" xfId="2" applyFont="1" applyAlignment="1">
      <alignment horizontal="center" vertical="center"/>
    </xf>
    <xf numFmtId="0" fontId="35" fillId="0" borderId="0" xfId="2" quotePrefix="1" applyFont="1" applyAlignment="1">
      <alignment horizontal="center" vertical="center"/>
    </xf>
    <xf numFmtId="0" fontId="33" fillId="0" borderId="0" xfId="2" applyFont="1" applyAlignment="1">
      <alignment horizontal="left" vertical="center" indent="1"/>
    </xf>
    <xf numFmtId="0" fontId="38" fillId="0" borderId="0" xfId="2" applyFont="1" applyAlignment="1">
      <alignment horizontal="center" vertical="center"/>
    </xf>
    <xf numFmtId="0" fontId="36" fillId="0" borderId="0" xfId="2" quotePrefix="1" applyFont="1" applyAlignment="1">
      <alignment horizontal="center" vertical="center"/>
    </xf>
    <xf numFmtId="0" fontId="39" fillId="37" borderId="0" xfId="2" quotePrefix="1" applyFont="1" applyFill="1" applyAlignment="1">
      <alignment horizontal="center" vertical="center"/>
    </xf>
    <xf numFmtId="180" fontId="32" fillId="38" borderId="78" xfId="2" applyNumberFormat="1" applyFill="1" applyBorder="1" applyAlignment="1">
      <alignment horizontal="left" vertical="center"/>
    </xf>
    <xf numFmtId="0" fontId="36" fillId="36" borderId="50" xfId="2" applyFont="1" applyFill="1" applyBorder="1" applyAlignment="1">
      <alignment horizontal="left" vertical="center"/>
    </xf>
    <xf numFmtId="0" fontId="0" fillId="0" borderId="80" xfId="0" applyBorder="1" applyAlignment="1">
      <alignment horizontal="center" vertical="center"/>
    </xf>
    <xf numFmtId="171" fontId="0" fillId="0" borderId="80" xfId="0" applyNumberFormat="1" applyBorder="1" applyAlignment="1">
      <alignment horizontal="center" vertical="center"/>
    </xf>
    <xf numFmtId="1" fontId="0" fillId="0" borderId="80" xfId="0" applyNumberFormat="1" applyBorder="1" applyAlignment="1">
      <alignment horizontal="center" vertical="center"/>
    </xf>
    <xf numFmtId="172" fontId="0" fillId="0" borderId="80" xfId="0" applyNumberFormat="1" applyBorder="1" applyAlignment="1">
      <alignment horizontal="right" vertical="center" indent="2"/>
    </xf>
    <xf numFmtId="2" fontId="0" fillId="0" borderId="80" xfId="0" applyNumberFormat="1" applyBorder="1" applyAlignment="1">
      <alignment horizontal="right" vertical="center" indent="1"/>
    </xf>
    <xf numFmtId="167" fontId="0" fillId="0" borderId="80" xfId="0" applyNumberFormat="1" applyBorder="1" applyAlignment="1">
      <alignment horizontal="center" vertical="center"/>
    </xf>
    <xf numFmtId="176" fontId="0" fillId="0" borderId="80" xfId="0" applyNumberFormat="1" applyBorder="1" applyAlignment="1">
      <alignment horizontal="right" vertical="center" indent="1"/>
    </xf>
    <xf numFmtId="0" fontId="33" fillId="28" borderId="79" xfId="2" applyFont="1" applyFill="1" applyBorder="1" applyAlignment="1">
      <alignment horizontal="center"/>
    </xf>
    <xf numFmtId="0" fontId="0" fillId="4" borderId="2" xfId="0" applyFill="1" applyBorder="1" applyAlignment="1">
      <alignment horizontal="center" vertical="center"/>
    </xf>
    <xf numFmtId="0" fontId="0" fillId="4" borderId="80" xfId="0" applyFill="1" applyBorder="1" applyAlignment="1">
      <alignment horizontal="center" vertical="center"/>
    </xf>
    <xf numFmtId="0" fontId="1" fillId="5" borderId="3" xfId="0" applyFont="1" applyFill="1" applyBorder="1" applyAlignment="1">
      <alignment horizontal="left" vertical="center" wrapText="1" indent="1"/>
    </xf>
    <xf numFmtId="0" fontId="1" fillId="5" borderId="16" xfId="0" applyFont="1" applyFill="1" applyBorder="1" applyAlignment="1">
      <alignment horizontal="center" vertical="center" wrapText="1"/>
    </xf>
    <xf numFmtId="0" fontId="0" fillId="4" borderId="0" xfId="0" quotePrefix="1" applyFill="1" applyAlignment="1" applyProtection="1">
      <alignment horizontal="center" vertical="center" wrapText="1"/>
      <protection locked="0"/>
    </xf>
    <xf numFmtId="0" fontId="0" fillId="35" borderId="1" xfId="0" quotePrefix="1" applyFill="1" applyBorder="1" applyAlignment="1" applyProtection="1">
      <alignment horizontal="center" vertical="center" wrapText="1"/>
      <protection locked="0"/>
    </xf>
    <xf numFmtId="0" fontId="0" fillId="43" borderId="1" xfId="0" quotePrefix="1" applyFill="1" applyBorder="1" applyAlignment="1" applyProtection="1">
      <alignment horizontal="center" vertical="center" wrapText="1"/>
      <protection locked="0"/>
    </xf>
    <xf numFmtId="0" fontId="9" fillId="0" borderId="0" xfId="1" applyFont="1" applyAlignment="1">
      <alignment vertical="center"/>
    </xf>
    <xf numFmtId="0" fontId="43" fillId="45" borderId="83" xfId="0" applyFont="1" applyFill="1" applyBorder="1" applyAlignment="1">
      <alignment horizontal="center" vertical="center"/>
    </xf>
    <xf numFmtId="0" fontId="43" fillId="45" borderId="84" xfId="0" applyFont="1" applyFill="1" applyBorder="1" applyAlignment="1">
      <alignment horizontal="center" vertical="center"/>
    </xf>
    <xf numFmtId="0" fontId="8" fillId="0" borderId="0" xfId="1" applyFont="1" applyAlignment="1">
      <alignment horizontal="center"/>
    </xf>
    <xf numFmtId="0" fontId="26" fillId="15" borderId="38" xfId="1" applyFont="1" applyFill="1" applyBorder="1" applyAlignment="1">
      <alignment horizontal="center"/>
    </xf>
    <xf numFmtId="49" fontId="26" fillId="15" borderId="38" xfId="1" applyNumberFormat="1" applyFont="1" applyFill="1" applyBorder="1" applyAlignment="1">
      <alignment horizontal="center"/>
    </xf>
    <xf numFmtId="0" fontId="1" fillId="3" borderId="80" xfId="0" applyFont="1" applyFill="1" applyBorder="1" applyAlignment="1">
      <alignment horizontal="center" vertical="center"/>
    </xf>
    <xf numFmtId="0" fontId="26" fillId="17" borderId="38" xfId="1" applyFont="1" applyFill="1" applyBorder="1" applyAlignment="1">
      <alignment horizontal="right"/>
    </xf>
    <xf numFmtId="49" fontId="26" fillId="17" borderId="38" xfId="1" applyNumberFormat="1" applyFont="1" applyFill="1" applyBorder="1" applyAlignment="1">
      <alignment horizontal="right"/>
    </xf>
    <xf numFmtId="0" fontId="26" fillId="17" borderId="38" xfId="1" applyFont="1" applyFill="1" applyBorder="1" applyAlignment="1">
      <alignment horizontal="center"/>
    </xf>
    <xf numFmtId="0" fontId="26" fillId="17" borderId="38" xfId="1" applyFont="1" applyFill="1" applyBorder="1" applyAlignment="1">
      <alignment horizontal="left" indent="1"/>
    </xf>
    <xf numFmtId="0" fontId="8" fillId="23" borderId="80" xfId="1" applyFont="1" applyFill="1" applyBorder="1" applyAlignment="1">
      <alignment horizontal="center" vertical="center"/>
    </xf>
    <xf numFmtId="0" fontId="9" fillId="0" borderId="41" xfId="1" applyFont="1" applyBorder="1"/>
    <xf numFmtId="49" fontId="9" fillId="0" borderId="0" xfId="1" applyNumberFormat="1" applyFont="1"/>
    <xf numFmtId="0" fontId="9" fillId="23" borderId="7" xfId="1" applyFont="1" applyFill="1" applyBorder="1"/>
    <xf numFmtId="0" fontId="9" fillId="23" borderId="0" xfId="1" applyFont="1" applyFill="1" applyAlignment="1">
      <alignment horizontal="center" vertical="center"/>
    </xf>
    <xf numFmtId="0" fontId="9" fillId="23" borderId="8" xfId="1" applyFont="1" applyFill="1" applyBorder="1" applyAlignment="1">
      <alignment horizontal="center" vertical="center"/>
    </xf>
    <xf numFmtId="175" fontId="9" fillId="0" borderId="0" xfId="1" applyNumberFormat="1" applyFont="1"/>
    <xf numFmtId="20" fontId="9" fillId="0" borderId="0" xfId="1" applyNumberFormat="1" applyFont="1"/>
    <xf numFmtId="49" fontId="9" fillId="0" borderId="0" xfId="1" applyNumberFormat="1" applyFont="1" applyAlignment="1">
      <alignment horizontal="center"/>
    </xf>
    <xf numFmtId="177" fontId="13" fillId="13" borderId="6" xfId="1" quotePrefix="1" applyNumberFormat="1" applyFont="1" applyFill="1" applyBorder="1" applyAlignment="1">
      <alignment horizontal="center" vertical="center"/>
    </xf>
    <xf numFmtId="0" fontId="9" fillId="23" borderId="7" xfId="1" applyFont="1" applyFill="1" applyBorder="1" applyAlignment="1">
      <alignment horizontal="center"/>
    </xf>
    <xf numFmtId="9" fontId="14" fillId="9" borderId="80" xfId="0" quotePrefix="1" applyNumberFormat="1" applyFont="1" applyFill="1" applyBorder="1" applyAlignment="1">
      <alignment horizontal="right" vertical="center" indent="1"/>
    </xf>
    <xf numFmtId="0" fontId="9" fillId="0" borderId="36" xfId="1" applyFont="1" applyBorder="1"/>
    <xf numFmtId="0" fontId="16" fillId="15" borderId="37" xfId="1" applyFont="1" applyFill="1" applyBorder="1"/>
    <xf numFmtId="0" fontId="17" fillId="15" borderId="38" xfId="1" applyFont="1" applyFill="1" applyBorder="1" applyAlignment="1">
      <alignment horizontal="center"/>
    </xf>
    <xf numFmtId="0" fontId="17" fillId="15" borderId="38" xfId="1" applyFont="1" applyFill="1" applyBorder="1" applyAlignment="1">
      <alignment horizontal="right"/>
    </xf>
    <xf numFmtId="0" fontId="16" fillId="15" borderId="39" xfId="1" applyFont="1" applyFill="1" applyBorder="1" applyAlignment="1">
      <alignment horizontal="center"/>
    </xf>
    <xf numFmtId="0" fontId="16" fillId="15" borderId="82" xfId="1" applyFont="1" applyFill="1" applyBorder="1"/>
    <xf numFmtId="0" fontId="17" fillId="15" borderId="83" xfId="1" applyFont="1" applyFill="1" applyBorder="1" applyAlignment="1">
      <alignment horizontal="center"/>
    </xf>
    <xf numFmtId="0" fontId="17" fillId="15" borderId="84" xfId="1" applyFont="1" applyFill="1" applyBorder="1" applyAlignment="1">
      <alignment horizontal="center"/>
    </xf>
    <xf numFmtId="0" fontId="16" fillId="16" borderId="36" xfId="1" applyFont="1" applyFill="1" applyBorder="1"/>
    <xf numFmtId="0" fontId="8" fillId="0" borderId="40" xfId="1" applyFont="1" applyBorder="1"/>
    <xf numFmtId="0" fontId="8" fillId="0" borderId="41" xfId="1" applyFont="1" applyBorder="1" applyAlignment="1">
      <alignment horizontal="center"/>
    </xf>
    <xf numFmtId="0" fontId="8" fillId="0" borderId="41" xfId="1" applyFont="1" applyBorder="1" applyAlignment="1">
      <alignment horizontal="right"/>
    </xf>
    <xf numFmtId="0" fontId="8" fillId="0" borderId="42" xfId="1" applyFont="1" applyBorder="1" applyAlignment="1">
      <alignment horizontal="center"/>
    </xf>
    <xf numFmtId="0" fontId="8" fillId="0" borderId="78" xfId="2" applyFont="1" applyBorder="1" applyAlignment="1">
      <alignment horizontal="left" vertical="center"/>
    </xf>
    <xf numFmtId="0" fontId="9" fillId="0" borderId="79" xfId="2" applyFont="1" applyBorder="1" applyAlignment="1">
      <alignment horizontal="center" vertical="center"/>
    </xf>
    <xf numFmtId="0" fontId="9" fillId="0" borderId="81" xfId="2" applyFont="1" applyBorder="1" applyAlignment="1">
      <alignment horizontal="center" vertical="center"/>
    </xf>
    <xf numFmtId="1" fontId="8" fillId="14" borderId="36" xfId="1" applyNumberFormat="1" applyFont="1" applyFill="1" applyBorder="1" applyAlignment="1">
      <alignment horizontal="center"/>
    </xf>
    <xf numFmtId="0" fontId="9" fillId="0" borderId="43" xfId="1" applyFont="1" applyBorder="1"/>
    <xf numFmtId="0" fontId="9" fillId="0" borderId="0" xfId="1" applyFont="1" applyAlignment="1">
      <alignment horizontal="right"/>
    </xf>
    <xf numFmtId="0" fontId="8" fillId="0" borderId="44" xfId="1" applyFont="1" applyBorder="1" applyAlignment="1">
      <alignment horizontal="center"/>
    </xf>
    <xf numFmtId="0" fontId="9" fillId="0" borderId="7" xfId="2" applyFont="1" applyBorder="1" applyAlignment="1">
      <alignment horizontal="left" vertical="center"/>
    </xf>
    <xf numFmtId="0" fontId="9" fillId="32" borderId="0" xfId="2" applyFont="1" applyFill="1" applyAlignment="1">
      <alignment horizontal="center" vertical="center"/>
    </xf>
    <xf numFmtId="0" fontId="9" fillId="0" borderId="0" xfId="2" applyFont="1" applyAlignment="1">
      <alignment horizontal="center" vertical="center"/>
    </xf>
    <xf numFmtId="0" fontId="8" fillId="0" borderId="8" xfId="2" applyFont="1" applyBorder="1" applyAlignment="1">
      <alignment horizontal="center" vertical="center"/>
    </xf>
    <xf numFmtId="0" fontId="9" fillId="0" borderId="45" xfId="1" applyFont="1" applyBorder="1"/>
    <xf numFmtId="0" fontId="9" fillId="0" borderId="46" xfId="1" applyFont="1" applyBorder="1" applyAlignment="1">
      <alignment horizontal="center"/>
    </xf>
    <xf numFmtId="0" fontId="9" fillId="0" borderId="46" xfId="1" applyFont="1" applyBorder="1" applyAlignment="1">
      <alignment horizontal="right"/>
    </xf>
    <xf numFmtId="0" fontId="8" fillId="0" borderId="47" xfId="1" applyFont="1" applyBorder="1" applyAlignment="1">
      <alignment horizontal="center"/>
    </xf>
    <xf numFmtId="0" fontId="9" fillId="0" borderId="9" xfId="2" applyFont="1" applyBorder="1" applyAlignment="1">
      <alignment horizontal="left" vertical="center"/>
    </xf>
    <xf numFmtId="0" fontId="9" fillId="0" borderId="10" xfId="2" applyFont="1" applyBorder="1" applyAlignment="1">
      <alignment horizontal="center" vertical="center"/>
    </xf>
    <xf numFmtId="0" fontId="9" fillId="32" borderId="10" xfId="2" applyFont="1" applyFill="1" applyBorder="1" applyAlignment="1">
      <alignment horizontal="center" vertical="center"/>
    </xf>
    <xf numFmtId="0" fontId="8" fillId="0" borderId="11" xfId="2" applyFont="1" applyBorder="1" applyAlignment="1">
      <alignment horizontal="center" vertical="center"/>
    </xf>
    <xf numFmtId="0" fontId="16" fillId="15" borderId="85" xfId="1" applyFont="1" applyFill="1" applyBorder="1"/>
    <xf numFmtId="0" fontId="17" fillId="15" borderId="86" xfId="1" applyFont="1" applyFill="1" applyBorder="1" applyAlignment="1">
      <alignment horizontal="center"/>
    </xf>
    <xf numFmtId="0" fontId="17" fillId="15" borderId="87" xfId="1" applyFont="1" applyFill="1" applyBorder="1" applyAlignment="1">
      <alignment horizontal="center"/>
    </xf>
    <xf numFmtId="9" fontId="9" fillId="0" borderId="0" xfId="1" applyNumberFormat="1" applyFont="1"/>
    <xf numFmtId="0" fontId="26" fillId="24" borderId="7" xfId="1" applyFont="1" applyFill="1" applyBorder="1" applyAlignment="1">
      <alignment horizontal="center"/>
    </xf>
    <xf numFmtId="0" fontId="26" fillId="17" borderId="38" xfId="1" applyFont="1" applyFill="1" applyBorder="1" applyAlignment="1">
      <alignment horizontal="left"/>
    </xf>
    <xf numFmtId="0" fontId="12" fillId="25" borderId="7" xfId="1" applyFont="1" applyFill="1" applyBorder="1" applyAlignment="1">
      <alignment horizontal="center"/>
    </xf>
    <xf numFmtId="9" fontId="1" fillId="3" borderId="80" xfId="0" applyNumberFormat="1" applyFont="1" applyFill="1" applyBorder="1" applyAlignment="1">
      <alignment horizontal="center" vertical="center"/>
    </xf>
    <xf numFmtId="49" fontId="9" fillId="0" borderId="0" xfId="1" quotePrefix="1" applyNumberFormat="1" applyFont="1" applyAlignment="1">
      <alignment horizontal="center"/>
    </xf>
    <xf numFmtId="0" fontId="13" fillId="13" borderId="6" xfId="1" quotePrefix="1" applyFont="1" applyFill="1" applyBorder="1" applyAlignment="1">
      <alignment horizontal="center" vertical="center"/>
    </xf>
    <xf numFmtId="0" fontId="18" fillId="0" borderId="0" xfId="1" applyFont="1" applyAlignment="1">
      <alignment horizontal="right" indent="1"/>
    </xf>
    <xf numFmtId="0" fontId="19" fillId="0" borderId="0" xfId="1" quotePrefix="1" applyFont="1" applyAlignment="1">
      <alignment horizontal="center" vertical="center"/>
    </xf>
    <xf numFmtId="0" fontId="20" fillId="0" borderId="0" xfId="1" applyFont="1" applyAlignment="1">
      <alignment horizontal="right" indent="1"/>
    </xf>
    <xf numFmtId="0" fontId="9" fillId="0" borderId="37" xfId="1" applyFont="1" applyBorder="1"/>
    <xf numFmtId="0" fontId="8" fillId="0" borderId="43" xfId="1" applyFont="1" applyBorder="1"/>
    <xf numFmtId="0" fontId="8" fillId="0" borderId="0" xfId="1" applyFont="1" applyAlignment="1">
      <alignment horizontal="right"/>
    </xf>
    <xf numFmtId="0" fontId="8" fillId="0" borderId="7" xfId="1" applyFont="1" applyBorder="1" applyAlignment="1">
      <alignment horizontal="left"/>
    </xf>
    <xf numFmtId="0" fontId="8" fillId="0" borderId="8" xfId="1" applyFont="1" applyBorder="1" applyAlignment="1">
      <alignment horizontal="center"/>
    </xf>
    <xf numFmtId="0" fontId="9" fillId="9" borderId="43" xfId="1" applyFont="1" applyFill="1" applyBorder="1"/>
    <xf numFmtId="0" fontId="9" fillId="9" borderId="0" xfId="1" applyFont="1" applyFill="1" applyAlignment="1">
      <alignment horizontal="center"/>
    </xf>
    <xf numFmtId="0" fontId="9" fillId="9" borderId="0" xfId="1" applyFont="1" applyFill="1" applyAlignment="1">
      <alignment horizontal="right"/>
    </xf>
    <xf numFmtId="0" fontId="8" fillId="9" borderId="44" xfId="1" applyFont="1" applyFill="1" applyBorder="1" applyAlignment="1">
      <alignment horizontal="center"/>
    </xf>
    <xf numFmtId="0" fontId="9" fillId="9" borderId="7" xfId="1" applyFont="1" applyFill="1" applyBorder="1"/>
    <xf numFmtId="0" fontId="9" fillId="9" borderId="8" xfId="1" applyFont="1" applyFill="1" applyBorder="1" applyAlignment="1">
      <alignment horizontal="center"/>
    </xf>
    <xf numFmtId="0" fontId="9" fillId="8" borderId="43" xfId="1" applyFont="1" applyFill="1" applyBorder="1"/>
    <xf numFmtId="0" fontId="9" fillId="8" borderId="0" xfId="1" applyFont="1" applyFill="1" applyAlignment="1">
      <alignment horizontal="center"/>
    </xf>
    <xf numFmtId="0" fontId="9" fillId="8" borderId="0" xfId="1" applyFont="1" applyFill="1" applyAlignment="1">
      <alignment horizontal="right"/>
    </xf>
    <xf numFmtId="0" fontId="8" fillId="8" borderId="44" xfId="1" applyFont="1" applyFill="1" applyBorder="1" applyAlignment="1">
      <alignment horizontal="center"/>
    </xf>
    <xf numFmtId="0" fontId="9" fillId="8" borderId="7" xfId="1" applyFont="1" applyFill="1" applyBorder="1"/>
    <xf numFmtId="0" fontId="9" fillId="8" borderId="8" xfId="1" applyFont="1" applyFill="1" applyBorder="1" applyAlignment="1">
      <alignment horizontal="center"/>
    </xf>
    <xf numFmtId="0" fontId="9" fillId="8" borderId="45" xfId="1" applyFont="1" applyFill="1" applyBorder="1"/>
    <xf numFmtId="0" fontId="9" fillId="8" borderId="46" xfId="1" applyFont="1" applyFill="1" applyBorder="1" applyAlignment="1">
      <alignment horizontal="center"/>
    </xf>
    <xf numFmtId="0" fontId="9" fillId="8" borderId="46" xfId="1" applyFont="1" applyFill="1" applyBorder="1" applyAlignment="1">
      <alignment horizontal="right"/>
    </xf>
    <xf numFmtId="0" fontId="8" fillId="8" borderId="47" xfId="1" applyFont="1" applyFill="1" applyBorder="1" applyAlignment="1">
      <alignment horizontal="center"/>
    </xf>
    <xf numFmtId="0" fontId="9" fillId="8" borderId="9" xfId="1" applyFont="1" applyFill="1" applyBorder="1"/>
    <xf numFmtId="0" fontId="9" fillId="8" borderId="10" xfId="1" applyFont="1" applyFill="1" applyBorder="1" applyAlignment="1">
      <alignment horizontal="center"/>
    </xf>
    <xf numFmtId="0" fontId="9" fillId="8" borderId="11" xfId="1" applyFont="1" applyFill="1" applyBorder="1" applyAlignment="1">
      <alignment horizontal="center"/>
    </xf>
    <xf numFmtId="0" fontId="31" fillId="17" borderId="38" xfId="1" applyFont="1" applyFill="1" applyBorder="1" applyAlignment="1">
      <alignment horizontal="right"/>
    </xf>
    <xf numFmtId="0" fontId="31" fillId="17" borderId="38" xfId="1" applyFont="1" applyFill="1" applyBorder="1" applyAlignment="1">
      <alignment horizontal="center"/>
    </xf>
    <xf numFmtId="0" fontId="31" fillId="17" borderId="38" xfId="1" applyFont="1" applyFill="1" applyBorder="1" applyAlignment="1">
      <alignment horizontal="left"/>
    </xf>
    <xf numFmtId="0" fontId="31" fillId="17" borderId="38" xfId="1" applyFont="1" applyFill="1" applyBorder="1" applyAlignment="1">
      <alignment horizontal="left" indent="1"/>
    </xf>
    <xf numFmtId="0" fontId="31" fillId="17" borderId="46" xfId="1" applyFont="1" applyFill="1" applyBorder="1" applyAlignment="1">
      <alignment horizontal="right"/>
    </xf>
    <xf numFmtId="0" fontId="31" fillId="17" borderId="46" xfId="1" applyFont="1" applyFill="1" applyBorder="1" applyAlignment="1">
      <alignment horizontal="center"/>
    </xf>
    <xf numFmtId="0" fontId="31" fillId="17" borderId="46" xfId="1" applyFont="1" applyFill="1" applyBorder="1" applyAlignment="1">
      <alignment horizontal="left" indent="1"/>
    </xf>
    <xf numFmtId="17" fontId="9" fillId="0" borderId="0" xfId="1" applyNumberFormat="1" applyFont="1"/>
    <xf numFmtId="16" fontId="9" fillId="0" borderId="0" xfId="1" applyNumberFormat="1" applyFont="1"/>
    <xf numFmtId="0" fontId="23" fillId="0" borderId="0" xfId="1" applyFont="1" applyAlignment="1">
      <alignment horizontal="right"/>
    </xf>
    <xf numFmtId="0" fontId="23" fillId="0" borderId="0" xfId="1" applyFont="1" applyAlignment="1">
      <alignment horizontal="left" indent="1"/>
    </xf>
    <xf numFmtId="49" fontId="9" fillId="0" borderId="0" xfId="1" applyNumberFormat="1" applyFont="1" applyAlignment="1">
      <alignment horizontal="right"/>
    </xf>
    <xf numFmtId="0" fontId="25" fillId="0" borderId="0" xfId="1" applyFont="1" applyAlignment="1">
      <alignment horizontal="right" indent="1"/>
    </xf>
    <xf numFmtId="0" fontId="25" fillId="0" borderId="0" xfId="1" applyFont="1" applyAlignment="1">
      <alignment horizontal="left" indent="1"/>
    </xf>
    <xf numFmtId="0" fontId="22" fillId="0" borderId="0" xfId="1" applyFont="1"/>
    <xf numFmtId="0" fontId="12" fillId="15" borderId="82" xfId="1" applyFont="1" applyFill="1" applyBorder="1" applyAlignment="1">
      <alignment horizontal="center"/>
    </xf>
    <xf numFmtId="0" fontId="12" fillId="15" borderId="83" xfId="1" applyFont="1" applyFill="1" applyBorder="1" applyAlignment="1">
      <alignment horizontal="center"/>
    </xf>
    <xf numFmtId="49" fontId="12" fillId="15" borderId="83" xfId="1" applyNumberFormat="1" applyFont="1" applyFill="1" applyBorder="1" applyAlignment="1">
      <alignment horizontal="center"/>
    </xf>
    <xf numFmtId="0" fontId="12" fillId="15" borderId="84" xfId="1" applyFont="1" applyFill="1" applyBorder="1" applyAlignment="1">
      <alignment horizontal="center"/>
    </xf>
    <xf numFmtId="0" fontId="44" fillId="7" borderId="0" xfId="1" applyFont="1" applyFill="1"/>
    <xf numFmtId="0" fontId="44" fillId="7" borderId="0" xfId="1" applyFont="1" applyFill="1" applyAlignment="1">
      <alignment vertical="center"/>
    </xf>
    <xf numFmtId="49" fontId="45" fillId="7" borderId="0" xfId="1" applyNumberFormat="1" applyFont="1" applyFill="1" applyAlignment="1">
      <alignment horizontal="right" indent="1"/>
    </xf>
    <xf numFmtId="49" fontId="44" fillId="7" borderId="0" xfId="1" applyNumberFormat="1" applyFont="1" applyFill="1" applyAlignment="1">
      <alignment horizontal="right" indent="1"/>
    </xf>
    <xf numFmtId="49" fontId="44" fillId="7" borderId="0" xfId="1" quotePrefix="1" applyNumberFormat="1" applyFont="1" applyFill="1" applyAlignment="1">
      <alignment horizontal="right" indent="1"/>
    </xf>
    <xf numFmtId="0" fontId="26" fillId="15" borderId="90" xfId="1" applyFont="1" applyFill="1" applyBorder="1" applyAlignment="1">
      <alignment horizontal="center"/>
    </xf>
    <xf numFmtId="0" fontId="26" fillId="17" borderId="90" xfId="1" applyFont="1" applyFill="1" applyBorder="1" applyAlignment="1">
      <alignment horizontal="right"/>
    </xf>
    <xf numFmtId="0" fontId="9" fillId="0" borderId="91" xfId="1" applyFont="1" applyBorder="1"/>
    <xf numFmtId="175" fontId="9" fillId="0" borderId="7" xfId="1" applyNumberFormat="1" applyFont="1" applyBorder="1"/>
    <xf numFmtId="0" fontId="9" fillId="0" borderId="7" xfId="1" applyFont="1" applyBorder="1"/>
    <xf numFmtId="0" fontId="31" fillId="17" borderId="90" xfId="1" applyFont="1" applyFill="1" applyBorder="1" applyAlignment="1">
      <alignment horizontal="right"/>
    </xf>
    <xf numFmtId="0" fontId="31" fillId="17" borderId="92" xfId="1" applyFont="1" applyFill="1" applyBorder="1" applyAlignment="1">
      <alignment horizontal="right"/>
    </xf>
    <xf numFmtId="17" fontId="9" fillId="0" borderId="7" xfId="1" applyNumberFormat="1" applyFont="1" applyBorder="1"/>
    <xf numFmtId="16" fontId="9" fillId="0" borderId="7" xfId="1" applyNumberFormat="1" applyFont="1" applyBorder="1"/>
    <xf numFmtId="0" fontId="22" fillId="0" borderId="7" xfId="1" applyFont="1" applyBorder="1"/>
    <xf numFmtId="0" fontId="13" fillId="13" borderId="4" xfId="1" applyFont="1" applyFill="1" applyBorder="1" applyAlignment="1">
      <alignment horizontal="right" vertical="center"/>
    </xf>
    <xf numFmtId="0" fontId="13" fillId="13" borderId="5" xfId="1" applyFont="1" applyFill="1" applyBorder="1" applyAlignment="1">
      <alignment horizontal="left" vertical="center"/>
    </xf>
    <xf numFmtId="0" fontId="13" fillId="13" borderId="4" xfId="1" quotePrefix="1" applyFont="1" applyFill="1" applyBorder="1" applyAlignment="1">
      <alignment horizontal="center" vertical="center"/>
    </xf>
    <xf numFmtId="0" fontId="13" fillId="13" borderId="5" xfId="1" quotePrefix="1" applyFont="1" applyFill="1" applyBorder="1" applyAlignment="1">
      <alignment horizontal="center" vertical="center"/>
    </xf>
    <xf numFmtId="0" fontId="21" fillId="0" borderId="0" xfId="1" quotePrefix="1" applyFont="1" applyAlignment="1">
      <alignment horizontal="center" vertical="center"/>
    </xf>
    <xf numFmtId="49" fontId="44" fillId="7" borderId="0" xfId="1" applyNumberFormat="1" applyFont="1" applyFill="1" applyAlignment="1">
      <alignment horizontal="right" vertical="center" indent="1"/>
    </xf>
    <xf numFmtId="0" fontId="9" fillId="13" borderId="82" xfId="1" applyFont="1" applyFill="1" applyBorder="1" applyAlignment="1">
      <alignment vertical="center"/>
    </xf>
    <xf numFmtId="0" fontId="9" fillId="13" borderId="83" xfId="1" applyFont="1" applyFill="1" applyBorder="1" applyAlignment="1">
      <alignment horizontal="center" vertical="center"/>
    </xf>
    <xf numFmtId="0" fontId="9" fillId="13" borderId="84" xfId="1" applyFont="1" applyFill="1" applyBorder="1" applyAlignment="1">
      <alignment horizontal="center" vertical="center"/>
    </xf>
    <xf numFmtId="49" fontId="45" fillId="7" borderId="8" xfId="1" applyNumberFormat="1" applyFont="1" applyFill="1" applyBorder="1" applyAlignment="1">
      <alignment horizontal="right" indent="1"/>
    </xf>
    <xf numFmtId="49" fontId="44" fillId="7" borderId="8" xfId="1" applyNumberFormat="1" applyFont="1" applyFill="1" applyBorder="1" applyAlignment="1">
      <alignment horizontal="right" indent="1"/>
    </xf>
    <xf numFmtId="9" fontId="14" fillId="9" borderId="80" xfId="0" quotePrefix="1" applyNumberFormat="1" applyFont="1" applyFill="1" applyBorder="1" applyAlignment="1">
      <alignment horizontal="right" vertical="center"/>
    </xf>
    <xf numFmtId="9" fontId="14" fillId="9" borderId="4" xfId="0" quotePrefix="1" applyNumberFormat="1" applyFont="1" applyFill="1" applyBorder="1" applyAlignment="1">
      <alignment horizontal="right" vertical="center"/>
    </xf>
    <xf numFmtId="0" fontId="8" fillId="4" borderId="7" xfId="1" applyFont="1" applyFill="1" applyBorder="1" applyAlignment="1">
      <alignment horizontal="left" vertical="center" indent="1"/>
    </xf>
    <xf numFmtId="0" fontId="9" fillId="4" borderId="7" xfId="1" applyFont="1" applyFill="1" applyBorder="1" applyAlignment="1">
      <alignment horizontal="left" vertical="center" indent="1"/>
    </xf>
    <xf numFmtId="0" fontId="9" fillId="4" borderId="0" xfId="1" applyFont="1" applyFill="1" applyAlignment="1">
      <alignment horizontal="left" vertical="center" indent="1"/>
    </xf>
    <xf numFmtId="0" fontId="9" fillId="4" borderId="8" xfId="1" applyFont="1" applyFill="1" applyBorder="1" applyAlignment="1">
      <alignment horizontal="left" vertical="center" indent="1"/>
    </xf>
    <xf numFmtId="0" fontId="8" fillId="4" borderId="0" xfId="1" applyFont="1" applyFill="1" applyAlignment="1">
      <alignment horizontal="left" vertical="center" indent="1"/>
    </xf>
    <xf numFmtId="0" fontId="8" fillId="4" borderId="8" xfId="1" applyFont="1" applyFill="1" applyBorder="1" applyAlignment="1">
      <alignment horizontal="left" vertical="center" indent="1"/>
    </xf>
    <xf numFmtId="0" fontId="0" fillId="4" borderId="0" xfId="0" applyFill="1" applyAlignment="1">
      <alignment horizontal="left" vertical="center" wrapText="1" indent="1"/>
    </xf>
    <xf numFmtId="0" fontId="0" fillId="4" borderId="8" xfId="0" applyFill="1" applyBorder="1" applyAlignment="1">
      <alignment horizontal="left" vertical="center" wrapText="1" indent="1"/>
    </xf>
    <xf numFmtId="49" fontId="44" fillId="7" borderId="8" xfId="1" quotePrefix="1" applyNumberFormat="1" applyFont="1" applyFill="1" applyBorder="1" applyAlignment="1">
      <alignment horizontal="right" indent="1"/>
    </xf>
    <xf numFmtId="0" fontId="9" fillId="0" borderId="0" xfId="1" applyFont="1" applyAlignment="1">
      <alignment horizontal="left" vertical="top" indent="1"/>
    </xf>
    <xf numFmtId="0" fontId="0" fillId="0" borderId="0" xfId="0" applyAlignment="1">
      <alignment horizontal="center" vertical="top"/>
    </xf>
    <xf numFmtId="0" fontId="7" fillId="0" borderId="0" xfId="1"/>
    <xf numFmtId="0" fontId="7" fillId="0" borderId="0" xfId="1" applyAlignment="1">
      <alignment horizontal="center"/>
    </xf>
    <xf numFmtId="0" fontId="10" fillId="0" borderId="0" xfId="1" applyFont="1" applyAlignment="1">
      <alignment horizontal="center"/>
    </xf>
    <xf numFmtId="0" fontId="35" fillId="31" borderId="80" xfId="2" applyFont="1" applyFill="1" applyBorder="1" applyAlignment="1">
      <alignment horizontal="center"/>
    </xf>
    <xf numFmtId="0" fontId="0" fillId="0" borderId="0" xfId="0" applyAlignment="1">
      <alignment horizontal="left" wrapText="1" indent="1"/>
    </xf>
    <xf numFmtId="0" fontId="0" fillId="0" borderId="0" xfId="0" applyAlignment="1">
      <alignment horizontal="left" wrapText="1" indent="2"/>
    </xf>
    <xf numFmtId="0" fontId="0" fillId="0" borderId="0" xfId="0" applyAlignment="1">
      <alignment horizontal="center" wrapText="1"/>
    </xf>
    <xf numFmtId="0" fontId="5" fillId="7" borderId="80" xfId="0" applyFont="1" applyFill="1" applyBorder="1" applyAlignment="1">
      <alignment horizontal="left" vertical="center" wrapText="1" indent="1"/>
    </xf>
    <xf numFmtId="0" fontId="5" fillId="7" borderId="80" xfId="0" applyFont="1" applyFill="1" applyBorder="1" applyAlignment="1">
      <alignment horizontal="center" vertical="center" wrapText="1"/>
    </xf>
    <xf numFmtId="0" fontId="5" fillId="0" borderId="80" xfId="0" applyFont="1" applyBorder="1" applyAlignment="1">
      <alignment horizontal="center" vertical="center" wrapText="1"/>
    </xf>
    <xf numFmtId="0" fontId="5" fillId="4" borderId="80" xfId="0" applyFont="1" applyFill="1" applyBorder="1" applyAlignment="1" applyProtection="1">
      <alignment horizontal="center" vertical="center" wrapText="1"/>
      <protection locked="0"/>
    </xf>
    <xf numFmtId="0" fontId="6" fillId="7" borderId="80" xfId="0" applyFont="1" applyFill="1" applyBorder="1" applyAlignment="1">
      <alignment horizontal="left" vertical="center" wrapText="1" indent="1"/>
    </xf>
    <xf numFmtId="0" fontId="6" fillId="5" borderId="80" xfId="0" quotePrefix="1" applyFont="1" applyFill="1" applyBorder="1" applyAlignment="1">
      <alignment horizontal="center" vertical="center" wrapText="1"/>
    </xf>
    <xf numFmtId="0" fontId="4" fillId="4" borderId="80" xfId="0" applyFont="1" applyFill="1" applyBorder="1" applyAlignment="1" applyProtection="1">
      <alignment horizontal="center" vertical="center" wrapText="1"/>
      <protection locked="0"/>
    </xf>
    <xf numFmtId="0" fontId="4" fillId="0" borderId="80" xfId="0" applyFont="1" applyBorder="1" applyAlignment="1" applyProtection="1">
      <alignment horizontal="center" vertical="center" wrapText="1"/>
      <protection locked="0"/>
    </xf>
    <xf numFmtId="0" fontId="6" fillId="5" borderId="80" xfId="0" applyFont="1" applyFill="1" applyBorder="1" applyAlignment="1">
      <alignment horizontal="center" vertical="center" wrapText="1"/>
    </xf>
    <xf numFmtId="173" fontId="5" fillId="7" borderId="80" xfId="0" applyNumberFormat="1" applyFont="1" applyFill="1" applyBorder="1" applyAlignment="1">
      <alignment horizontal="center" vertical="center" wrapText="1"/>
    </xf>
    <xf numFmtId="167" fontId="6" fillId="5" borderId="80" xfId="0" applyNumberFormat="1" applyFont="1" applyFill="1" applyBorder="1" applyAlignment="1">
      <alignment horizontal="center" vertical="center" wrapText="1"/>
    </xf>
    <xf numFmtId="167" fontId="4" fillId="4" borderId="80" xfId="0" applyNumberFormat="1" applyFont="1" applyFill="1" applyBorder="1" applyAlignment="1" applyProtection="1">
      <alignment horizontal="center" vertical="center" wrapText="1"/>
      <protection locked="0"/>
    </xf>
    <xf numFmtId="0" fontId="6" fillId="0" borderId="80" xfId="0" applyFont="1" applyBorder="1" applyAlignment="1">
      <alignment horizontal="left" vertical="center" wrapText="1" indent="1"/>
    </xf>
    <xf numFmtId="168" fontId="6" fillId="5" borderId="80" xfId="0" applyNumberFormat="1" applyFont="1" applyFill="1" applyBorder="1" applyAlignment="1">
      <alignment horizontal="center" vertical="center" wrapText="1"/>
    </xf>
    <xf numFmtId="168" fontId="4" fillId="10" borderId="80" xfId="0" applyNumberFormat="1" applyFont="1" applyFill="1" applyBorder="1" applyAlignment="1">
      <alignment horizontal="center" vertical="center" wrapText="1"/>
    </xf>
    <xf numFmtId="0" fontId="0" fillId="0" borderId="0" xfId="0" applyAlignment="1">
      <alignment vertical="center"/>
    </xf>
    <xf numFmtId="0" fontId="46" fillId="0" borderId="0" xfId="0" applyFont="1" applyAlignment="1">
      <alignment horizontal="left" indent="1"/>
    </xf>
    <xf numFmtId="0" fontId="46" fillId="19" borderId="0" xfId="0" applyFont="1" applyFill="1" applyAlignment="1">
      <alignment horizontal="left" indent="1"/>
    </xf>
    <xf numFmtId="0" fontId="46" fillId="0" borderId="10" xfId="0" applyFont="1" applyBorder="1" applyAlignment="1">
      <alignment horizontal="left" indent="1"/>
    </xf>
    <xf numFmtId="0" fontId="46" fillId="8" borderId="78" xfId="0" applyFont="1" applyFill="1" applyBorder="1" applyAlignment="1">
      <alignment horizontal="left" indent="1"/>
    </xf>
    <xf numFmtId="0" fontId="46" fillId="19" borderId="79" xfId="0" applyFont="1" applyFill="1" applyBorder="1" applyAlignment="1">
      <alignment horizontal="left" indent="1"/>
    </xf>
    <xf numFmtId="0" fontId="46" fillId="19" borderId="81" xfId="0" applyFont="1" applyFill="1" applyBorder="1" applyAlignment="1">
      <alignment horizontal="left" indent="1"/>
    </xf>
    <xf numFmtId="0" fontId="46" fillId="8" borderId="7" xfId="0" applyFont="1" applyFill="1" applyBorder="1" applyAlignment="1">
      <alignment horizontal="left" indent="1"/>
    </xf>
    <xf numFmtId="0" fontId="46" fillId="19" borderId="8" xfId="0" applyFont="1" applyFill="1" applyBorder="1" applyAlignment="1">
      <alignment horizontal="left" indent="1"/>
    </xf>
    <xf numFmtId="181" fontId="46" fillId="19" borderId="7" xfId="0" applyNumberFormat="1" applyFont="1" applyFill="1" applyBorder="1" applyAlignment="1">
      <alignment horizontal="left" indent="1"/>
    </xf>
    <xf numFmtId="0" fontId="46" fillId="0" borderId="8" xfId="0" applyFont="1" applyBorder="1" applyAlignment="1">
      <alignment horizontal="left" indent="1"/>
    </xf>
    <xf numFmtId="181" fontId="46" fillId="19" borderId="9" xfId="0" applyNumberFormat="1" applyFont="1" applyFill="1" applyBorder="1" applyAlignment="1">
      <alignment horizontal="left" indent="1"/>
    </xf>
    <xf numFmtId="0" fontId="46" fillId="0" borderId="11" xfId="0" applyFont="1" applyBorder="1" applyAlignment="1">
      <alignment horizontal="left" indent="1"/>
    </xf>
    <xf numFmtId="0" fontId="46" fillId="8" borderId="9" xfId="0" applyFont="1" applyFill="1" applyBorder="1" applyAlignment="1">
      <alignment horizontal="left" indent="1"/>
    </xf>
    <xf numFmtId="0" fontId="46" fillId="19" borderId="10" xfId="0" applyFont="1" applyFill="1" applyBorder="1" applyAlignment="1">
      <alignment horizontal="left" indent="1"/>
    </xf>
    <xf numFmtId="0" fontId="46" fillId="19" borderId="11" xfId="0" applyFont="1" applyFill="1" applyBorder="1" applyAlignment="1">
      <alignment horizontal="left" indent="1"/>
    </xf>
    <xf numFmtId="0" fontId="0" fillId="4" borderId="82" xfId="0" applyFill="1" applyBorder="1" applyAlignment="1" applyProtection="1">
      <alignment horizontal="right" vertical="center"/>
      <protection locked="0"/>
    </xf>
    <xf numFmtId="169" fontId="0" fillId="4" borderId="84" xfId="0" applyNumberFormat="1" applyFill="1" applyBorder="1" applyAlignment="1" applyProtection="1">
      <alignment horizontal="left" vertical="center"/>
      <protection locked="0"/>
    </xf>
    <xf numFmtId="0" fontId="1" fillId="0" borderId="0" xfId="0" applyFont="1" applyAlignment="1">
      <alignment horizontal="center" vertical="center" wrapText="1"/>
    </xf>
    <xf numFmtId="0" fontId="1" fillId="5" borderId="49" xfId="0" applyFont="1" applyFill="1" applyBorder="1" applyAlignment="1">
      <alignment horizontal="center" vertical="center" wrapText="1"/>
    </xf>
    <xf numFmtId="0" fontId="1" fillId="5" borderId="58" xfId="0" applyFont="1" applyFill="1" applyBorder="1" applyAlignment="1">
      <alignment horizontal="center" vertical="center" wrapText="1"/>
    </xf>
    <xf numFmtId="0" fontId="1" fillId="23" borderId="81" xfId="0" applyFont="1" applyFill="1" applyBorder="1" applyAlignment="1">
      <alignment horizontal="center" vertical="center" wrapText="1"/>
    </xf>
    <xf numFmtId="0" fontId="0" fillId="0" borderId="0" xfId="0" applyAlignment="1">
      <alignment horizontal="left" vertical="center" wrapText="1"/>
    </xf>
    <xf numFmtId="0" fontId="1" fillId="5" borderId="72" xfId="0" applyFont="1" applyFill="1" applyBorder="1" applyAlignment="1">
      <alignment horizontal="center" vertical="center" wrapText="1"/>
    </xf>
    <xf numFmtId="0" fontId="1" fillId="5" borderId="74" xfId="0" applyFont="1" applyFill="1" applyBorder="1" applyAlignment="1">
      <alignment horizontal="center" vertical="center" wrapText="1"/>
    </xf>
    <xf numFmtId="0" fontId="1" fillId="5" borderId="93" xfId="0" applyFont="1" applyFill="1" applyBorder="1" applyAlignment="1">
      <alignment horizontal="center" vertical="center" wrapText="1"/>
    </xf>
    <xf numFmtId="0" fontId="1" fillId="5" borderId="65" xfId="0" applyFont="1" applyFill="1" applyBorder="1" applyAlignment="1">
      <alignment horizontal="center" vertical="center" wrapText="1"/>
    </xf>
    <xf numFmtId="0" fontId="1" fillId="23" borderId="11" xfId="0" applyFont="1" applyFill="1" applyBorder="1" applyAlignment="1">
      <alignment horizontal="center" vertical="center"/>
    </xf>
    <xf numFmtId="0" fontId="1" fillId="0" borderId="0" xfId="0" quotePrefix="1" applyFont="1" applyAlignment="1">
      <alignment horizontal="center" vertical="center" wrapText="1"/>
    </xf>
    <xf numFmtId="0" fontId="0" fillId="0" borderId="54" xfId="0" applyBorder="1" applyAlignment="1">
      <alignment horizontal="left" vertical="center" wrapText="1" indent="1"/>
    </xf>
    <xf numFmtId="0" fontId="0" fillId="0" borderId="55" xfId="0" applyBorder="1" applyAlignment="1">
      <alignment horizontal="left" vertical="center" wrapText="1" indent="1"/>
    </xf>
    <xf numFmtId="0" fontId="0" fillId="0" borderId="56" xfId="0" applyBorder="1" applyAlignment="1">
      <alignment horizontal="center" vertical="center"/>
    </xf>
    <xf numFmtId="167" fontId="0" fillId="0" borderId="56" xfId="0" applyNumberFormat="1" applyBorder="1" applyAlignment="1">
      <alignment horizontal="right" vertical="center" indent="1"/>
    </xf>
    <xf numFmtId="167" fontId="0" fillId="0" borderId="57" xfId="0" applyNumberFormat="1" applyBorder="1" applyAlignment="1">
      <alignment horizontal="right" vertical="center" indent="1"/>
    </xf>
    <xf numFmtId="168" fontId="0" fillId="23" borderId="8" xfId="0" applyNumberFormat="1" applyFill="1" applyBorder="1" applyAlignment="1">
      <alignment horizontal="center" vertical="center"/>
    </xf>
    <xf numFmtId="0" fontId="0" fillId="0" borderId="59" xfId="0" applyBorder="1" applyAlignment="1">
      <alignment horizontal="left" vertical="center" wrapText="1" indent="1"/>
    </xf>
    <xf numFmtId="167" fontId="0" fillId="0" borderId="80" xfId="0" applyNumberFormat="1" applyBorder="1" applyAlignment="1">
      <alignment horizontal="right" vertical="center" indent="1"/>
    </xf>
    <xf numFmtId="167" fontId="0" fillId="0" borderId="82" xfId="0" applyNumberFormat="1" applyBorder="1" applyAlignment="1">
      <alignment horizontal="right" vertical="center" indent="1"/>
    </xf>
    <xf numFmtId="0" fontId="0" fillId="0" borderId="61" xfId="0" applyBorder="1" applyAlignment="1">
      <alignment horizontal="left" vertical="center" wrapText="1" indent="1"/>
    </xf>
    <xf numFmtId="0" fontId="0" fillId="0" borderId="62" xfId="0" applyBorder="1" applyAlignment="1">
      <alignment horizontal="left" vertical="center" wrapText="1" indent="1"/>
    </xf>
    <xf numFmtId="0" fontId="0" fillId="0" borderId="51" xfId="0" applyBorder="1" applyAlignment="1">
      <alignment horizontal="center" vertical="center"/>
    </xf>
    <xf numFmtId="167" fontId="0" fillId="0" borderId="51" xfId="0" applyNumberFormat="1" applyBorder="1" applyAlignment="1">
      <alignment horizontal="right" vertical="center" indent="1"/>
    </xf>
    <xf numFmtId="167" fontId="0" fillId="0" borderId="63" xfId="0" applyNumberFormat="1" applyBorder="1" applyAlignment="1">
      <alignment horizontal="right" vertical="center" indent="1"/>
    </xf>
    <xf numFmtId="168" fontId="0" fillId="23" borderId="0" xfId="0" applyNumberFormat="1" applyFill="1" applyAlignment="1">
      <alignment horizontal="center" vertical="center"/>
    </xf>
    <xf numFmtId="0" fontId="0" fillId="0" borderId="95" xfId="0" applyBorder="1" applyAlignment="1">
      <alignment horizontal="left" vertical="center" wrapText="1" indent="1"/>
    </xf>
    <xf numFmtId="0" fontId="0" fillId="0" borderId="25" xfId="0" applyBorder="1" applyAlignment="1">
      <alignment horizontal="left" vertical="center" wrapText="1" indent="1"/>
    </xf>
    <xf numFmtId="167" fontId="0" fillId="0" borderId="99" xfId="0" applyNumberFormat="1" applyBorder="1" applyAlignment="1">
      <alignment horizontal="right" vertical="center" indent="1"/>
    </xf>
    <xf numFmtId="167" fontId="0" fillId="0" borderId="97" xfId="0" applyNumberFormat="1" applyBorder="1" applyAlignment="1">
      <alignment horizontal="right" vertical="center" indent="1"/>
    </xf>
    <xf numFmtId="168" fontId="0" fillId="23" borderId="10" xfId="0" applyNumberFormat="1" applyFill="1" applyBorder="1" applyAlignment="1">
      <alignment horizontal="center" vertical="center"/>
    </xf>
    <xf numFmtId="167" fontId="0" fillId="0" borderId="98" xfId="0" applyNumberFormat="1" applyBorder="1" applyAlignment="1">
      <alignment horizontal="right" vertical="center" indent="1"/>
    </xf>
    <xf numFmtId="0" fontId="0" fillId="0" borderId="0" xfId="0" applyAlignment="1">
      <alignment horizontal="right" vertical="center"/>
    </xf>
    <xf numFmtId="167" fontId="0" fillId="0" borderId="16" xfId="0" applyNumberFormat="1" applyBorder="1" applyAlignment="1">
      <alignment horizontal="right" vertical="center" indent="1"/>
    </xf>
    <xf numFmtId="168" fontId="0" fillId="0" borderId="0" xfId="0" applyNumberFormat="1" applyAlignment="1">
      <alignment horizontal="center" vertical="center"/>
    </xf>
    <xf numFmtId="168" fontId="0" fillId="0" borderId="50" xfId="0" applyNumberFormat="1" applyBorder="1" applyAlignment="1">
      <alignment horizontal="center" vertical="center"/>
    </xf>
    <xf numFmtId="167" fontId="0" fillId="0" borderId="0" xfId="0" applyNumberFormat="1" applyAlignment="1">
      <alignment horizontal="right" vertical="center" indent="1"/>
    </xf>
    <xf numFmtId="167" fontId="0" fillId="0" borderId="94" xfId="0" applyNumberFormat="1" applyBorder="1" applyAlignment="1">
      <alignment horizontal="right" vertical="center" indent="1"/>
    </xf>
    <xf numFmtId="0" fontId="1" fillId="0" borderId="50" xfId="0" applyFont="1" applyBorder="1" applyAlignment="1">
      <alignment horizontal="center" vertical="center" wrapText="1"/>
    </xf>
    <xf numFmtId="0" fontId="8" fillId="12" borderId="2" xfId="1" applyFont="1" applyFill="1" applyBorder="1" applyAlignment="1">
      <alignment horizontal="center" vertical="center"/>
    </xf>
    <xf numFmtId="0" fontId="9" fillId="5" borderId="2" xfId="1" applyFont="1" applyFill="1" applyBorder="1" applyAlignment="1">
      <alignment horizontal="left" vertical="center" indent="1"/>
    </xf>
    <xf numFmtId="0" fontId="9" fillId="4" borderId="2" xfId="1" applyFont="1" applyFill="1" applyBorder="1" applyAlignment="1">
      <alignment horizontal="left" vertical="center" indent="1"/>
    </xf>
    <xf numFmtId="0" fontId="9" fillId="4" borderId="2" xfId="1" applyFont="1" applyFill="1" applyBorder="1" applyAlignment="1">
      <alignment horizontal="left" vertical="center" wrapText="1" indent="1"/>
    </xf>
    <xf numFmtId="3" fontId="9" fillId="4" borderId="2" xfId="1" applyNumberFormat="1" applyFont="1" applyFill="1" applyBorder="1" applyAlignment="1">
      <alignment horizontal="center" vertical="center"/>
    </xf>
    <xf numFmtId="0" fontId="9" fillId="4" borderId="2" xfId="1" applyFont="1" applyFill="1" applyBorder="1" applyAlignment="1">
      <alignment horizontal="center" vertical="center"/>
    </xf>
    <xf numFmtId="0" fontId="9" fillId="0" borderId="0" xfId="1" applyFont="1" applyAlignment="1">
      <alignment horizontal="left" vertical="center" indent="1"/>
    </xf>
    <xf numFmtId="0" fontId="1" fillId="19" borderId="2" xfId="0" applyFont="1" applyFill="1" applyBorder="1" applyAlignment="1">
      <alignment horizontal="left" vertical="center" wrapText="1" indent="1"/>
    </xf>
    <xf numFmtId="0" fontId="1" fillId="19" borderId="2" xfId="0" quotePrefix="1" applyFont="1" applyFill="1" applyBorder="1" applyAlignment="1">
      <alignment horizontal="center" vertical="center" wrapText="1"/>
    </xf>
    <xf numFmtId="0" fontId="1" fillId="19" borderId="2" xfId="0" applyFont="1" applyFill="1" applyBorder="1" applyAlignment="1">
      <alignment horizontal="center" vertical="center" wrapText="1"/>
    </xf>
    <xf numFmtId="0" fontId="2" fillId="5" borderId="2" xfId="0" applyFont="1" applyFill="1" applyBorder="1" applyAlignment="1">
      <alignment horizontal="left" vertical="center" wrapText="1" indent="1"/>
    </xf>
    <xf numFmtId="1" fontId="0" fillId="5" borderId="2" xfId="0" applyNumberFormat="1" applyFill="1" applyBorder="1" applyAlignment="1">
      <alignment horizontal="center" vertical="center"/>
    </xf>
    <xf numFmtId="0" fontId="16" fillId="22" borderId="13" xfId="1" applyFont="1" applyFill="1" applyBorder="1" applyAlignment="1">
      <alignment horizontal="center"/>
    </xf>
    <xf numFmtId="0" fontId="16" fillId="22" borderId="15" xfId="1" applyFont="1" applyFill="1" applyBorder="1" applyAlignment="1">
      <alignment horizontal="center"/>
    </xf>
    <xf numFmtId="0" fontId="29" fillId="0" borderId="0" xfId="1" applyFont="1" applyAlignment="1">
      <alignment horizontal="center"/>
    </xf>
    <xf numFmtId="0" fontId="16" fillId="22" borderId="4" xfId="1" applyFont="1" applyFill="1" applyBorder="1" applyAlignment="1">
      <alignment horizontal="center"/>
    </xf>
    <xf numFmtId="0" fontId="16" fillId="22" borderId="6" xfId="1" applyFont="1" applyFill="1" applyBorder="1" applyAlignment="1">
      <alignment horizontal="center"/>
    </xf>
    <xf numFmtId="0" fontId="16" fillId="22" borderId="5" xfId="1" applyFont="1" applyFill="1" applyBorder="1" applyAlignment="1">
      <alignment horizontal="center"/>
    </xf>
    <xf numFmtId="0" fontId="16" fillId="22" borderId="46" xfId="1" applyFont="1" applyFill="1" applyBorder="1" applyAlignment="1">
      <alignment horizontal="center"/>
    </xf>
    <xf numFmtId="0" fontId="16" fillId="22" borderId="16" xfId="1" applyFont="1" applyFill="1" applyBorder="1" applyAlignment="1">
      <alignment horizontal="center"/>
    </xf>
    <xf numFmtId="175" fontId="9" fillId="21" borderId="4" xfId="1" applyNumberFormat="1" applyFont="1" applyFill="1" applyBorder="1" applyAlignment="1">
      <alignment horizontal="right" indent="1"/>
    </xf>
    <xf numFmtId="20" fontId="9" fillId="21" borderId="6" xfId="1" applyNumberFormat="1" applyFont="1" applyFill="1" applyBorder="1" applyAlignment="1">
      <alignment horizontal="right" indent="1"/>
    </xf>
    <xf numFmtId="0" fontId="9" fillId="21" borderId="2" xfId="1" applyFont="1" applyFill="1" applyBorder="1" applyAlignment="1">
      <alignment horizontal="right" indent="1"/>
    </xf>
    <xf numFmtId="1" fontId="13" fillId="20" borderId="2" xfId="1" applyNumberFormat="1" applyFont="1" applyFill="1" applyBorder="1" applyAlignment="1">
      <alignment horizontal="center" vertical="center"/>
    </xf>
    <xf numFmtId="0" fontId="9" fillId="21" borderId="2" xfId="1" applyFont="1" applyFill="1" applyBorder="1" applyAlignment="1">
      <alignment horizontal="left" indent="1"/>
    </xf>
    <xf numFmtId="0" fontId="13" fillId="0" borderId="0" xfId="1" applyFont="1" applyAlignment="1">
      <alignment horizontal="center" vertical="center"/>
    </xf>
    <xf numFmtId="0" fontId="13" fillId="0" borderId="0" xfId="1" quotePrefix="1" applyFont="1" applyAlignment="1">
      <alignment horizontal="center" vertical="center"/>
    </xf>
    <xf numFmtId="0" fontId="9" fillId="0" borderId="13" xfId="1" applyFont="1" applyBorder="1" applyAlignment="1">
      <alignment horizontal="right" indent="1"/>
    </xf>
    <xf numFmtId="0" fontId="1" fillId="18" borderId="15" xfId="0" applyFont="1" applyFill="1" applyBorder="1" applyAlignment="1">
      <alignment horizontal="left" vertical="center" indent="1"/>
    </xf>
    <xf numFmtId="0" fontId="9" fillId="18" borderId="13" xfId="1" applyFont="1" applyFill="1" applyBorder="1" applyAlignment="1">
      <alignment horizontal="center"/>
    </xf>
    <xf numFmtId="0" fontId="9" fillId="18" borderId="14" xfId="1" applyFont="1" applyFill="1" applyBorder="1" applyAlignment="1">
      <alignment horizontal="center"/>
    </xf>
    <xf numFmtId="0" fontId="0" fillId="18" borderId="17" xfId="0" applyFill="1" applyBorder="1" applyAlignment="1">
      <alignment horizontal="left" vertical="center" indent="1"/>
    </xf>
    <xf numFmtId="0" fontId="0" fillId="18" borderId="0" xfId="0" applyFill="1"/>
    <xf numFmtId="0" fontId="0" fillId="18" borderId="8" xfId="0" applyFill="1" applyBorder="1"/>
    <xf numFmtId="0" fontId="0" fillId="18" borderId="16" xfId="0" applyFill="1" applyBorder="1" applyAlignment="1">
      <alignment horizontal="left" vertical="center" indent="1"/>
    </xf>
    <xf numFmtId="0" fontId="0" fillId="18" borderId="10" xfId="0" applyFill="1" applyBorder="1"/>
    <xf numFmtId="0" fontId="0" fillId="18" borderId="11" xfId="0" applyFill="1" applyBorder="1"/>
    <xf numFmtId="0" fontId="48" fillId="44" borderId="82" xfId="1" applyFont="1" applyFill="1" applyBorder="1" applyAlignment="1">
      <alignment horizontal="center" vertical="center" wrapText="1"/>
    </xf>
    <xf numFmtId="0" fontId="0" fillId="0" borderId="0" xfId="0" applyAlignment="1">
      <alignment horizontal="left" vertical="center" wrapText="1" indent="1"/>
    </xf>
    <xf numFmtId="0" fontId="1" fillId="0" borderId="0" xfId="0" applyFont="1" applyAlignment="1" applyProtection="1">
      <alignment horizontal="center" vertical="center" wrapText="1"/>
      <protection locked="0"/>
    </xf>
    <xf numFmtId="0" fontId="9" fillId="21" borderId="5" xfId="1" applyFont="1" applyFill="1" applyBorder="1" applyAlignment="1">
      <alignment horizontal="center"/>
    </xf>
    <xf numFmtId="49" fontId="44" fillId="7" borderId="0" xfId="1" applyNumberFormat="1" applyFont="1" applyFill="1" applyAlignment="1" applyProtection="1">
      <alignment horizontal="right" indent="1"/>
      <protection locked="0"/>
    </xf>
    <xf numFmtId="0" fontId="1" fillId="0" borderId="0" xfId="0" applyFont="1" applyAlignment="1">
      <alignment horizontal="left" vertical="center" wrapText="1" indent="1"/>
    </xf>
    <xf numFmtId="0" fontId="12" fillId="15" borderId="83" xfId="1" applyFont="1" applyFill="1" applyBorder="1" applyAlignment="1">
      <alignment horizontal="left"/>
    </xf>
    <xf numFmtId="0" fontId="1" fillId="12" borderId="82" xfId="0" applyFont="1" applyFill="1" applyBorder="1" applyAlignment="1">
      <alignment horizontal="left" vertical="center" wrapText="1" indent="1"/>
    </xf>
    <xf numFmtId="0" fontId="1" fillId="12" borderId="84" xfId="0" applyFont="1" applyFill="1" applyBorder="1" applyAlignment="1">
      <alignment horizontal="left" vertical="center" wrapText="1" indent="1"/>
    </xf>
    <xf numFmtId="0" fontId="0" fillId="32" borderId="7" xfId="0" applyFill="1" applyBorder="1" applyAlignment="1">
      <alignment horizontal="left" vertical="center" wrapText="1" indent="1"/>
    </xf>
    <xf numFmtId="0" fontId="0" fillId="32" borderId="8" xfId="0" applyFill="1" applyBorder="1" applyAlignment="1">
      <alignment horizontal="left" vertical="center" wrapText="1" indent="1"/>
    </xf>
    <xf numFmtId="0" fontId="0" fillId="32" borderId="9" xfId="0" applyFill="1" applyBorder="1" applyAlignment="1">
      <alignment horizontal="left" vertical="center" wrapText="1" indent="1"/>
    </xf>
    <xf numFmtId="0" fontId="0" fillId="32" borderId="11" xfId="0" applyFill="1" applyBorder="1" applyAlignment="1">
      <alignment horizontal="left" vertical="center" wrapText="1" indent="1"/>
    </xf>
    <xf numFmtId="0" fontId="36" fillId="36" borderId="88" xfId="2" applyFont="1" applyFill="1" applyBorder="1" applyAlignment="1" applyProtection="1">
      <alignment horizontal="left" vertical="center"/>
      <protection locked="0"/>
    </xf>
    <xf numFmtId="0" fontId="8" fillId="12" borderId="15" xfId="1" applyFont="1" applyFill="1" applyBorder="1" applyAlignment="1">
      <alignment horizontal="center" vertical="center"/>
    </xf>
    <xf numFmtId="0" fontId="8" fillId="12" borderId="15" xfId="1" applyFont="1" applyFill="1" applyBorder="1" applyAlignment="1">
      <alignment horizontal="center"/>
    </xf>
    <xf numFmtId="0" fontId="8" fillId="12" borderId="16" xfId="1" applyFont="1" applyFill="1" applyBorder="1" applyAlignment="1">
      <alignment horizontal="center" vertical="center"/>
    </xf>
    <xf numFmtId="0" fontId="8" fillId="12" borderId="16" xfId="1" quotePrefix="1" applyFont="1" applyFill="1" applyBorder="1" applyAlignment="1">
      <alignment horizontal="center" vertical="center"/>
    </xf>
    <xf numFmtId="0" fontId="8" fillId="12" borderId="16" xfId="1" applyFont="1" applyFill="1" applyBorder="1" applyAlignment="1">
      <alignment horizontal="center"/>
    </xf>
    <xf numFmtId="0" fontId="8" fillId="12" borderId="2" xfId="1" applyFont="1" applyFill="1" applyBorder="1" applyAlignment="1">
      <alignment horizontal="left" indent="1"/>
    </xf>
    <xf numFmtId="0" fontId="8" fillId="12" borderId="2" xfId="1" applyFont="1" applyFill="1" applyBorder="1"/>
    <xf numFmtId="0" fontId="8" fillId="12" borderId="2" xfId="1" applyFont="1" applyFill="1" applyBorder="1" applyAlignment="1">
      <alignment horizontal="center"/>
    </xf>
    <xf numFmtId="0" fontId="9" fillId="5" borderId="2" xfId="1" applyFont="1" applyFill="1" applyBorder="1" applyAlignment="1">
      <alignment horizontal="center"/>
    </xf>
    <xf numFmtId="0" fontId="9" fillId="5" borderId="2" xfId="1" applyFont="1" applyFill="1" applyBorder="1" applyAlignment="1">
      <alignment horizontal="right" vertical="center" indent="1"/>
    </xf>
    <xf numFmtId="1" fontId="9" fillId="18" borderId="2" xfId="1" applyNumberFormat="1" applyFont="1" applyFill="1" applyBorder="1" applyAlignment="1">
      <alignment horizontal="right" indent="3"/>
    </xf>
    <xf numFmtId="1" fontId="9" fillId="5" borderId="2" xfId="1" applyNumberFormat="1" applyFont="1" applyFill="1" applyBorder="1" applyAlignment="1">
      <alignment horizontal="center"/>
    </xf>
    <xf numFmtId="0" fontId="9" fillId="5" borderId="2" xfId="1" applyFont="1" applyFill="1" applyBorder="1" applyAlignment="1">
      <alignment horizontal="left" indent="1"/>
    </xf>
    <xf numFmtId="0" fontId="9" fillId="5" borderId="2" xfId="1" applyFont="1" applyFill="1" applyBorder="1"/>
    <xf numFmtId="0" fontId="8" fillId="12" borderId="16" xfId="1" quotePrefix="1" applyFont="1" applyFill="1" applyBorder="1" applyAlignment="1">
      <alignment horizontal="center"/>
    </xf>
    <xf numFmtId="0" fontId="9" fillId="0" borderId="0" xfId="1" applyFont="1" applyAlignment="1">
      <alignment horizontal="right" vertical="center" indent="1"/>
    </xf>
    <xf numFmtId="49" fontId="16" fillId="12" borderId="4" xfId="0" applyNumberFormat="1" applyFont="1" applyFill="1" applyBorder="1" applyAlignment="1">
      <alignment horizontal="left" vertical="center" indent="1"/>
    </xf>
    <xf numFmtId="0" fontId="17" fillId="12" borderId="6" xfId="0" applyFont="1" applyFill="1" applyBorder="1" applyAlignment="1">
      <alignment horizontal="center" vertical="center"/>
    </xf>
    <xf numFmtId="0" fontId="17" fillId="12" borderId="5" xfId="0" applyFont="1" applyFill="1" applyBorder="1" applyAlignment="1">
      <alignment horizontal="center" vertical="center"/>
    </xf>
    <xf numFmtId="49" fontId="16" fillId="12" borderId="2" xfId="0" applyNumberFormat="1" applyFont="1" applyFill="1" applyBorder="1" applyAlignment="1">
      <alignment horizontal="left" vertical="center" indent="1"/>
    </xf>
    <xf numFmtId="3" fontId="16" fillId="12" borderId="2" xfId="0" applyNumberFormat="1" applyFont="1" applyFill="1" applyBorder="1" applyAlignment="1">
      <alignment horizontal="center" vertical="center"/>
    </xf>
    <xf numFmtId="49" fontId="16" fillId="18" borderId="28" xfId="0" applyNumberFormat="1" applyFont="1" applyFill="1" applyBorder="1" applyAlignment="1">
      <alignment horizontal="left" vertical="center" indent="1"/>
    </xf>
    <xf numFmtId="3" fontId="17" fillId="18" borderId="12" xfId="0" applyNumberFormat="1" applyFont="1" applyFill="1" applyBorder="1" applyAlignment="1">
      <alignment horizontal="right" vertical="center" indent="2"/>
    </xf>
    <xf numFmtId="3" fontId="17" fillId="18" borderId="13" xfId="0" applyNumberFormat="1" applyFont="1" applyFill="1" applyBorder="1" applyAlignment="1">
      <alignment horizontal="right" vertical="center" indent="2"/>
    </xf>
    <xf numFmtId="3" fontId="17" fillId="18" borderId="14" xfId="0" applyNumberFormat="1" applyFont="1" applyFill="1" applyBorder="1" applyAlignment="1">
      <alignment horizontal="right" vertical="center" indent="2"/>
    </xf>
    <xf numFmtId="49" fontId="16" fillId="18" borderId="29" xfId="0" applyNumberFormat="1" applyFont="1" applyFill="1" applyBorder="1" applyAlignment="1">
      <alignment horizontal="left" vertical="center" indent="1"/>
    </xf>
    <xf numFmtId="167" fontId="17" fillId="18" borderId="30" xfId="0" applyNumberFormat="1" applyFont="1" applyFill="1" applyBorder="1" applyAlignment="1">
      <alignment horizontal="right" vertical="center" indent="1"/>
    </xf>
    <xf numFmtId="167" fontId="17" fillId="18" borderId="31" xfId="0" applyNumberFormat="1" applyFont="1" applyFill="1" applyBorder="1" applyAlignment="1">
      <alignment horizontal="right" vertical="center" indent="1"/>
    </xf>
    <xf numFmtId="167" fontId="17" fillId="18" borderId="32" xfId="0" applyNumberFormat="1" applyFont="1" applyFill="1" applyBorder="1" applyAlignment="1">
      <alignment horizontal="right" vertical="center" indent="1"/>
    </xf>
    <xf numFmtId="49" fontId="16" fillId="5" borderId="17" xfId="0" applyNumberFormat="1" applyFont="1" applyFill="1" applyBorder="1" applyAlignment="1">
      <alignment horizontal="left" vertical="center" indent="1"/>
    </xf>
    <xf numFmtId="49" fontId="16" fillId="5" borderId="2" xfId="0" applyNumberFormat="1" applyFont="1" applyFill="1" applyBorder="1" applyAlignment="1">
      <alignment horizontal="left" vertical="center" indent="1"/>
    </xf>
    <xf numFmtId="3" fontId="17" fillId="5" borderId="4" xfId="0" applyNumberFormat="1" applyFont="1" applyFill="1" applyBorder="1" applyAlignment="1">
      <alignment horizontal="right" vertical="center" indent="2"/>
    </xf>
    <xf numFmtId="3" fontId="17" fillId="5" borderId="6" xfId="0" applyNumberFormat="1" applyFont="1" applyFill="1" applyBorder="1" applyAlignment="1">
      <alignment horizontal="right" vertical="center" indent="2"/>
    </xf>
    <xf numFmtId="3" fontId="17" fillId="5" borderId="5" xfId="0" applyNumberFormat="1" applyFont="1" applyFill="1" applyBorder="1" applyAlignment="1">
      <alignment horizontal="right" vertical="center" indent="2"/>
    </xf>
    <xf numFmtId="49" fontId="16" fillId="5" borderId="28" xfId="0" applyNumberFormat="1" applyFont="1" applyFill="1" applyBorder="1" applyAlignment="1">
      <alignment horizontal="left" vertical="center" indent="1"/>
    </xf>
    <xf numFmtId="167" fontId="17" fillId="5" borderId="33" xfId="0" applyNumberFormat="1" applyFont="1" applyFill="1" applyBorder="1" applyAlignment="1">
      <alignment horizontal="right" vertical="center" indent="1"/>
    </xf>
    <xf numFmtId="167" fontId="17" fillId="5" borderId="34" xfId="0" applyNumberFormat="1" applyFont="1" applyFill="1" applyBorder="1" applyAlignment="1">
      <alignment horizontal="right" vertical="center" indent="1"/>
    </xf>
    <xf numFmtId="167" fontId="17" fillId="5" borderId="35" xfId="0" applyNumberFormat="1" applyFont="1" applyFill="1" applyBorder="1" applyAlignment="1">
      <alignment horizontal="right" vertical="center" indent="1"/>
    </xf>
    <xf numFmtId="3" fontId="17" fillId="4" borderId="7" xfId="0" applyNumberFormat="1" applyFont="1" applyFill="1" applyBorder="1" applyAlignment="1" applyProtection="1">
      <alignment horizontal="right" vertical="center" indent="2"/>
      <protection locked="0"/>
    </xf>
    <xf numFmtId="3" fontId="17" fillId="4" borderId="0" xfId="0" applyNumberFormat="1" applyFont="1" applyFill="1" applyAlignment="1" applyProtection="1">
      <alignment horizontal="right" vertical="center" indent="2"/>
      <protection locked="0"/>
    </xf>
    <xf numFmtId="3" fontId="17" fillId="4" borderId="8" xfId="0" applyNumberFormat="1" applyFont="1" applyFill="1" applyBorder="1" applyAlignment="1" applyProtection="1">
      <alignment horizontal="right" vertical="center" indent="2"/>
      <protection locked="0"/>
    </xf>
    <xf numFmtId="0" fontId="9" fillId="12" borderId="2" xfId="1" applyFont="1" applyFill="1" applyBorder="1" applyAlignment="1">
      <alignment horizontal="right" vertical="center" indent="1"/>
    </xf>
    <xf numFmtId="0" fontId="9" fillId="4" borderId="7" xfId="1" applyFont="1" applyFill="1" applyBorder="1" applyAlignment="1">
      <alignment horizontal="left" vertical="top" wrapText="1" indent="1"/>
    </xf>
    <xf numFmtId="0" fontId="0" fillId="0" borderId="0" xfId="0" applyAlignment="1">
      <alignment horizontal="left" vertical="top" wrapText="1" indent="1"/>
    </xf>
    <xf numFmtId="0" fontId="0" fillId="0" borderId="8" xfId="0" applyBorder="1" applyAlignment="1">
      <alignment horizontal="left" vertical="top" wrapText="1" indent="1"/>
    </xf>
    <xf numFmtId="0" fontId="0" fillId="0" borderId="9" xfId="0" applyBorder="1" applyAlignment="1">
      <alignment horizontal="left" vertical="top" wrapText="1" indent="1"/>
    </xf>
    <xf numFmtId="0" fontId="0" fillId="0" borderId="10" xfId="0" applyBorder="1" applyAlignment="1">
      <alignment horizontal="left" vertical="top" wrapText="1" indent="1"/>
    </xf>
    <xf numFmtId="0" fontId="0" fillId="0" borderId="11" xfId="0" applyBorder="1" applyAlignment="1">
      <alignment horizontal="left" vertical="top" wrapText="1" indent="1"/>
    </xf>
    <xf numFmtId="0" fontId="16" fillId="15" borderId="82" xfId="1" applyFont="1" applyFill="1" applyBorder="1"/>
    <xf numFmtId="0" fontId="0" fillId="0" borderId="83" xfId="0" applyBorder="1"/>
    <xf numFmtId="0" fontId="0" fillId="0" borderId="84" xfId="0" applyBorder="1"/>
    <xf numFmtId="0" fontId="9" fillId="0" borderId="0" xfId="1" applyFont="1" applyAlignment="1">
      <alignment horizontal="center" vertical="center"/>
    </xf>
    <xf numFmtId="0" fontId="0" fillId="0" borderId="0" xfId="0" applyAlignment="1">
      <alignment horizontal="center" vertical="center"/>
    </xf>
    <xf numFmtId="0" fontId="0" fillId="0" borderId="0" xfId="0" applyAlignment="1">
      <alignment horizontal="center" vertical="top"/>
    </xf>
    <xf numFmtId="0" fontId="9" fillId="4" borderId="7" xfId="1" applyFont="1" applyFill="1" applyBorder="1" applyAlignment="1">
      <alignment horizontal="left" vertical="center" wrapText="1" indent="1"/>
    </xf>
    <xf numFmtId="0" fontId="0" fillId="0" borderId="0" xfId="0" applyAlignment="1">
      <alignment horizontal="left" wrapText="1" indent="1"/>
    </xf>
    <xf numFmtId="0" fontId="0" fillId="0" borderId="8" xfId="0" applyBorder="1" applyAlignment="1">
      <alignment horizontal="left" wrapText="1" indent="1"/>
    </xf>
    <xf numFmtId="0" fontId="0" fillId="0" borderId="7" xfId="0" applyBorder="1" applyAlignment="1">
      <alignment horizontal="left" wrapText="1" indent="1"/>
    </xf>
    <xf numFmtId="0" fontId="0" fillId="0" borderId="7" xfId="0" applyBorder="1" applyAlignment="1">
      <alignment horizontal="left" vertical="top" wrapText="1" indent="1"/>
    </xf>
    <xf numFmtId="0" fontId="0" fillId="4" borderId="0" xfId="0" applyFill="1" applyAlignment="1">
      <alignment horizontal="left" vertical="center" wrapText="1" indent="1"/>
    </xf>
    <xf numFmtId="0" fontId="0" fillId="4" borderId="8" xfId="0" applyFill="1" applyBorder="1" applyAlignment="1">
      <alignment horizontal="left" vertical="center" wrapText="1" indent="1"/>
    </xf>
    <xf numFmtId="0" fontId="0" fillId="4" borderId="7" xfId="0" applyFill="1" applyBorder="1" applyAlignment="1">
      <alignment horizontal="left" vertical="center" wrapText="1" indent="1"/>
    </xf>
    <xf numFmtId="0" fontId="9" fillId="0" borderId="0" xfId="1" applyFont="1"/>
    <xf numFmtId="0" fontId="0" fillId="0" borderId="0" xfId="0"/>
    <xf numFmtId="0" fontId="0" fillId="0" borderId="0" xfId="0" applyAlignment="1">
      <alignment horizontal="left" vertical="center" wrapText="1" indent="1"/>
    </xf>
    <xf numFmtId="0" fontId="0" fillId="0" borderId="8" xfId="0" applyBorder="1" applyAlignment="1">
      <alignment horizontal="left" vertical="center" wrapText="1" indent="1"/>
    </xf>
    <xf numFmtId="0" fontId="0" fillId="0" borderId="7" xfId="0" applyBorder="1" applyAlignment="1">
      <alignment horizontal="left" vertical="center" wrapText="1" indent="1"/>
    </xf>
    <xf numFmtId="0" fontId="8" fillId="4" borderId="78" xfId="1" applyFont="1" applyFill="1" applyBorder="1" applyAlignment="1">
      <alignment horizontal="left" vertical="center" indent="1"/>
    </xf>
    <xf numFmtId="0" fontId="0" fillId="0" borderId="79" xfId="0" applyBorder="1" applyAlignment="1">
      <alignment horizontal="left" vertical="center" indent="1"/>
    </xf>
    <xf numFmtId="0" fontId="0" fillId="0" borderId="81" xfId="0" applyBorder="1" applyAlignment="1">
      <alignment horizontal="left" vertical="center" indent="1"/>
    </xf>
    <xf numFmtId="0" fontId="8" fillId="4" borderId="7" xfId="1" applyFont="1" applyFill="1" applyBorder="1" applyAlignment="1">
      <alignment horizontal="left" vertical="center" indent="1"/>
    </xf>
    <xf numFmtId="0" fontId="0" fillId="0" borderId="0" xfId="0" applyAlignment="1">
      <alignment horizontal="left" vertical="center" indent="1"/>
    </xf>
    <xf numFmtId="0" fontId="0" fillId="0" borderId="8" xfId="0" applyBorder="1" applyAlignment="1">
      <alignment horizontal="left" vertical="center" indent="1"/>
    </xf>
    <xf numFmtId="0" fontId="9" fillId="4" borderId="7" xfId="1" applyFont="1" applyFill="1" applyBorder="1" applyAlignment="1">
      <alignment horizontal="left" vertical="center" indent="1"/>
    </xf>
    <xf numFmtId="0" fontId="0" fillId="0" borderId="7" xfId="0" applyBorder="1" applyAlignment="1">
      <alignment horizontal="left" vertical="center" indent="1"/>
    </xf>
    <xf numFmtId="0" fontId="23" fillId="0" borderId="0" xfId="1" applyFont="1" applyAlignment="1">
      <alignment horizontal="right"/>
    </xf>
    <xf numFmtId="0" fontId="23" fillId="0" borderId="0" xfId="1" applyFont="1" applyAlignment="1">
      <alignment horizontal="left" indent="1"/>
    </xf>
    <xf numFmtId="0" fontId="0" fillId="0" borderId="0" xfId="0" applyAlignment="1">
      <alignment horizontal="left" indent="1"/>
    </xf>
    <xf numFmtId="0" fontId="26" fillId="15" borderId="38" xfId="1" applyFont="1" applyFill="1" applyBorder="1" applyAlignment="1">
      <alignment horizontal="center"/>
    </xf>
    <xf numFmtId="0" fontId="1" fillId="3" borderId="80" xfId="0" applyFont="1" applyFill="1" applyBorder="1" applyAlignment="1">
      <alignment horizontal="center" vertical="center"/>
    </xf>
    <xf numFmtId="0" fontId="26" fillId="17" borderId="38" xfId="1" applyFont="1" applyFill="1" applyBorder="1" applyAlignment="1">
      <alignment horizontal="center"/>
    </xf>
    <xf numFmtId="0" fontId="0" fillId="12" borderId="38" xfId="0" applyFill="1" applyBorder="1" applyAlignment="1">
      <alignment horizontal="center"/>
    </xf>
    <xf numFmtId="0" fontId="26" fillId="15" borderId="78" xfId="1" applyFont="1" applyFill="1" applyBorder="1" applyAlignment="1">
      <alignment horizontal="center"/>
    </xf>
    <xf numFmtId="0" fontId="0" fillId="0" borderId="79" xfId="0" applyBorder="1" applyAlignment="1">
      <alignment horizontal="center"/>
    </xf>
    <xf numFmtId="0" fontId="0" fillId="0" borderId="81" xfId="0" applyBorder="1" applyAlignment="1">
      <alignment horizontal="center"/>
    </xf>
    <xf numFmtId="0" fontId="11" fillId="13" borderId="83" xfId="1" applyFont="1" applyFill="1" applyBorder="1" applyAlignment="1">
      <alignment horizontal="center" vertical="center"/>
    </xf>
    <xf numFmtId="0" fontId="43" fillId="0" borderId="83" xfId="0" applyFont="1" applyBorder="1" applyAlignment="1">
      <alignment horizontal="center" vertical="center"/>
    </xf>
    <xf numFmtId="0" fontId="26" fillId="5" borderId="78" xfId="0" applyFont="1" applyFill="1" applyBorder="1" applyAlignment="1">
      <alignment horizontal="center" vertical="center"/>
    </xf>
    <xf numFmtId="0" fontId="26" fillId="5" borderId="79" xfId="0" applyFont="1" applyFill="1" applyBorder="1" applyAlignment="1">
      <alignment horizontal="center" vertical="center"/>
    </xf>
    <xf numFmtId="0" fontId="26" fillId="5" borderId="81" xfId="0" applyFont="1" applyFill="1" applyBorder="1" applyAlignment="1">
      <alignment horizontal="center" vertical="center"/>
    </xf>
    <xf numFmtId="0" fontId="26" fillId="5" borderId="9" xfId="0" applyFont="1" applyFill="1" applyBorder="1" applyAlignment="1">
      <alignment horizontal="center" vertical="center"/>
    </xf>
    <xf numFmtId="0" fontId="26" fillId="5" borderId="10" xfId="0" applyFont="1" applyFill="1" applyBorder="1" applyAlignment="1">
      <alignment horizontal="center" vertical="center"/>
    </xf>
    <xf numFmtId="0" fontId="26" fillId="5" borderId="11" xfId="0" applyFont="1" applyFill="1" applyBorder="1" applyAlignment="1">
      <alignment horizontal="center" vertical="center"/>
    </xf>
    <xf numFmtId="0" fontId="31" fillId="5" borderId="78" xfId="1" applyFont="1" applyFill="1" applyBorder="1" applyAlignment="1">
      <alignment horizontal="center" vertical="center"/>
    </xf>
    <xf numFmtId="0" fontId="28" fillId="5" borderId="79" xfId="0" applyFont="1" applyFill="1" applyBorder="1" applyAlignment="1">
      <alignment horizontal="center" vertical="center"/>
    </xf>
    <xf numFmtId="0" fontId="28" fillId="5" borderId="81" xfId="0" applyFont="1" applyFill="1" applyBorder="1" applyAlignment="1">
      <alignment horizontal="center" vertical="center"/>
    </xf>
    <xf numFmtId="0" fontId="28" fillId="5" borderId="9" xfId="0" applyFont="1" applyFill="1" applyBorder="1" applyAlignment="1">
      <alignment horizontal="center" vertical="center"/>
    </xf>
    <xf numFmtId="0" fontId="28" fillId="5" borderId="10" xfId="0" applyFont="1" applyFill="1" applyBorder="1" applyAlignment="1">
      <alignment horizontal="center" vertical="center"/>
    </xf>
    <xf numFmtId="0" fontId="28" fillId="5" borderId="11" xfId="0" applyFont="1" applyFill="1" applyBorder="1" applyAlignment="1">
      <alignment horizontal="center" vertical="center"/>
    </xf>
    <xf numFmtId="0" fontId="23" fillId="0" borderId="7" xfId="1" applyFont="1" applyBorder="1" applyAlignment="1">
      <alignment horizontal="right"/>
    </xf>
    <xf numFmtId="0" fontId="0" fillId="0" borderId="7" xfId="0" applyBorder="1"/>
    <xf numFmtId="0" fontId="43" fillId="45" borderId="83" xfId="0" applyFont="1" applyFill="1" applyBorder="1" applyAlignment="1">
      <alignment horizontal="center" vertical="center"/>
    </xf>
    <xf numFmtId="0" fontId="42" fillId="42" borderId="78" xfId="2" applyFont="1" applyFill="1" applyBorder="1" applyAlignment="1">
      <alignment horizontal="center" vertical="center"/>
    </xf>
    <xf numFmtId="0" fontId="42" fillId="42" borderId="79" xfId="2" applyFont="1" applyFill="1" applyBorder="1" applyAlignment="1">
      <alignment horizontal="center" vertical="center"/>
    </xf>
    <xf numFmtId="0" fontId="42" fillId="42" borderId="81" xfId="2" applyFont="1" applyFill="1" applyBorder="1" applyAlignment="1">
      <alignment horizontal="center" vertical="center"/>
    </xf>
    <xf numFmtId="0" fontId="42" fillId="42" borderId="7" xfId="2" applyFont="1" applyFill="1" applyBorder="1" applyAlignment="1">
      <alignment horizontal="center" vertical="center"/>
    </xf>
    <xf numFmtId="0" fontId="42" fillId="42" borderId="0" xfId="2" applyFont="1" applyFill="1" applyAlignment="1">
      <alignment horizontal="center" vertical="center"/>
    </xf>
    <xf numFmtId="0" fontId="42" fillId="42" borderId="8" xfId="2" applyFont="1" applyFill="1" applyBorder="1" applyAlignment="1">
      <alignment horizontal="center" vertical="center"/>
    </xf>
    <xf numFmtId="0" fontId="42" fillId="42" borderId="9" xfId="2" applyFont="1" applyFill="1" applyBorder="1" applyAlignment="1">
      <alignment horizontal="center" vertical="center"/>
    </xf>
    <xf numFmtId="0" fontId="42" fillId="42" borderId="10" xfId="2" applyFont="1" applyFill="1" applyBorder="1" applyAlignment="1">
      <alignment horizontal="center" vertical="center"/>
    </xf>
    <xf numFmtId="0" fontId="42" fillId="42" borderId="11" xfId="2" applyFont="1" applyFill="1" applyBorder="1" applyAlignment="1">
      <alignment horizontal="center" vertical="center"/>
    </xf>
    <xf numFmtId="0" fontId="36" fillId="36" borderId="69" xfId="2" applyFont="1" applyFill="1" applyBorder="1" applyAlignment="1">
      <alignment horizontal="left" vertical="center"/>
    </xf>
    <xf numFmtId="0" fontId="36" fillId="36" borderId="50" xfId="2" applyFont="1" applyFill="1" applyBorder="1" applyAlignment="1">
      <alignment horizontal="left" vertical="center"/>
    </xf>
    <xf numFmtId="0" fontId="36" fillId="36" borderId="88" xfId="2" applyFont="1" applyFill="1" applyBorder="1" applyAlignment="1">
      <alignment horizontal="left" vertical="center"/>
    </xf>
    <xf numFmtId="0" fontId="0" fillId="0" borderId="88" xfId="0" applyBorder="1" applyAlignment="1">
      <alignment horizontal="left" vertical="center"/>
    </xf>
    <xf numFmtId="0" fontId="0" fillId="0" borderId="88" xfId="0" applyBorder="1" applyAlignment="1">
      <alignment vertical="center"/>
    </xf>
    <xf numFmtId="0" fontId="0" fillId="0" borderId="89" xfId="0" applyBorder="1" applyAlignment="1">
      <alignment vertical="center"/>
    </xf>
    <xf numFmtId="0" fontId="36" fillId="36" borderId="0" xfId="2" applyFont="1" applyFill="1" applyAlignment="1">
      <alignment horizontal="left" vertical="center"/>
    </xf>
    <xf numFmtId="0" fontId="0" fillId="0" borderId="0" xfId="0" applyAlignment="1">
      <alignment vertical="center"/>
    </xf>
    <xf numFmtId="0" fontId="36" fillId="36" borderId="68" xfId="2" applyFont="1" applyFill="1" applyBorder="1" applyAlignment="1">
      <alignment horizontal="left" vertical="center"/>
    </xf>
    <xf numFmtId="0" fontId="1" fillId="5" borderId="100" xfId="0" applyFont="1" applyFill="1" applyBorder="1" applyAlignment="1">
      <alignment horizontal="center" vertical="center" wrapText="1"/>
    </xf>
    <xf numFmtId="0" fontId="0" fillId="0" borderId="101" xfId="0" applyBorder="1" applyAlignment="1">
      <alignment vertical="center"/>
    </xf>
    <xf numFmtId="167" fontId="0" fillId="5" borderId="58" xfId="0" applyNumberFormat="1" applyFill="1" applyBorder="1" applyAlignment="1">
      <alignment horizontal="center" vertical="center"/>
    </xf>
    <xf numFmtId="0" fontId="0" fillId="0" borderId="60" xfId="0" applyBorder="1" applyAlignment="1">
      <alignment horizontal="center" vertical="center"/>
    </xf>
    <xf numFmtId="0" fontId="0" fillId="0" borderId="65" xfId="0" applyBorder="1" applyAlignment="1">
      <alignment horizontal="center" vertical="center"/>
    </xf>
    <xf numFmtId="0" fontId="1" fillId="5" borderId="102" xfId="0" applyFont="1" applyFill="1" applyBorder="1" applyAlignment="1">
      <alignment horizontal="left" vertical="center" wrapText="1" indent="1"/>
    </xf>
    <xf numFmtId="0" fontId="1" fillId="5" borderId="66" xfId="0" applyFont="1" applyFill="1" applyBorder="1" applyAlignment="1">
      <alignment horizontal="left" vertical="center" wrapText="1" indent="1"/>
    </xf>
    <xf numFmtId="0" fontId="0" fillId="0" borderId="103" xfId="0" applyBorder="1" applyAlignment="1">
      <alignment horizontal="left" vertical="center"/>
    </xf>
    <xf numFmtId="0" fontId="0" fillId="0" borderId="67" xfId="0" applyBorder="1" applyAlignment="1">
      <alignment horizontal="left" vertical="center"/>
    </xf>
    <xf numFmtId="0" fontId="1" fillId="5" borderId="66" xfId="0" applyFont="1" applyFill="1" applyBorder="1" applyAlignment="1">
      <alignment horizontal="center" vertical="center" wrapText="1"/>
    </xf>
    <xf numFmtId="0" fontId="0" fillId="0" borderId="67" xfId="0" applyBorder="1" applyAlignment="1">
      <alignment vertical="center"/>
    </xf>
    <xf numFmtId="0" fontId="1" fillId="3" borderId="66" xfId="0" applyFont="1" applyFill="1" applyBorder="1" applyAlignment="1">
      <alignment horizontal="center" vertical="center" wrapText="1"/>
    </xf>
    <xf numFmtId="0" fontId="0" fillId="0" borderId="66" xfId="0" applyBorder="1" applyAlignment="1">
      <alignment horizontal="center" vertical="center"/>
    </xf>
    <xf numFmtId="0" fontId="1" fillId="5" borderId="58" xfId="0" applyFont="1" applyFill="1" applyBorder="1" applyAlignment="1">
      <alignment horizontal="center" vertical="center" wrapText="1"/>
    </xf>
    <xf numFmtId="0" fontId="0" fillId="0" borderId="65" xfId="0" applyBorder="1" applyAlignment="1">
      <alignment vertical="center"/>
    </xf>
    <xf numFmtId="168" fontId="0" fillId="23" borderId="50" xfId="0" applyNumberFormat="1" applyFill="1" applyBorder="1" applyAlignment="1">
      <alignment horizontal="center" vertical="center"/>
    </xf>
    <xf numFmtId="0" fontId="1" fillId="5" borderId="69" xfId="0" applyFont="1" applyFill="1" applyBorder="1" applyAlignment="1">
      <alignment horizontal="left" vertical="center" wrapText="1" indent="1"/>
    </xf>
    <xf numFmtId="0" fontId="1" fillId="5" borderId="70" xfId="0" applyFont="1" applyFill="1" applyBorder="1" applyAlignment="1">
      <alignment horizontal="left" vertical="center" wrapText="1" indent="1"/>
    </xf>
    <xf numFmtId="0" fontId="0" fillId="0" borderId="53" xfId="0" applyBorder="1" applyAlignment="1">
      <alignment horizontal="left" vertical="center"/>
    </xf>
    <xf numFmtId="0" fontId="0" fillId="0" borderId="73" xfId="0" applyBorder="1" applyAlignment="1">
      <alignment horizontal="left" vertical="center"/>
    </xf>
    <xf numFmtId="0" fontId="27" fillId="0" borderId="69" xfId="0" applyFont="1" applyBorder="1" applyAlignment="1">
      <alignment horizontal="left" vertical="center" wrapText="1" indent="1"/>
    </xf>
    <xf numFmtId="0" fontId="47" fillId="0" borderId="70" xfId="0" applyFont="1" applyBorder="1" applyAlignment="1">
      <alignment horizontal="left" vertical="center" wrapText="1" indent="1"/>
    </xf>
    <xf numFmtId="0" fontId="1" fillId="5" borderId="53" xfId="0" applyFont="1" applyFill="1" applyBorder="1" applyAlignment="1">
      <alignment horizontal="left" vertical="center" wrapText="1" indent="1"/>
    </xf>
    <xf numFmtId="0" fontId="1" fillId="5" borderId="71" xfId="0" applyFont="1" applyFill="1" applyBorder="1" applyAlignment="1">
      <alignment horizontal="left" vertical="center" wrapText="1" indent="1"/>
    </xf>
    <xf numFmtId="0" fontId="1" fillId="3" borderId="52" xfId="0" applyFont="1" applyFill="1" applyBorder="1" applyAlignment="1">
      <alignment horizontal="center" vertical="center"/>
    </xf>
    <xf numFmtId="0" fontId="0" fillId="0" borderId="73" xfId="0" applyBorder="1" applyAlignment="1">
      <alignment horizontal="center" vertical="center"/>
    </xf>
    <xf numFmtId="0" fontId="1" fillId="3" borderId="49" xfId="0" applyFont="1" applyFill="1" applyBorder="1" applyAlignment="1">
      <alignment horizontal="center" vertical="center" wrapText="1"/>
    </xf>
    <xf numFmtId="0" fontId="0" fillId="0" borderId="50" xfId="0" applyBorder="1" applyAlignment="1">
      <alignment horizontal="center" vertical="center" wrapText="1"/>
    </xf>
    <xf numFmtId="167" fontId="0" fillId="5" borderId="96" xfId="0" applyNumberFormat="1" applyFill="1" applyBorder="1" applyAlignment="1">
      <alignment horizontal="center" vertical="center"/>
    </xf>
    <xf numFmtId="167" fontId="0" fillId="5" borderId="97" xfId="0" applyNumberFormat="1" applyFill="1" applyBorder="1" applyAlignment="1">
      <alignment horizontal="center" vertical="center"/>
    </xf>
    <xf numFmtId="167" fontId="0" fillId="5" borderId="98" xfId="0" applyNumberFormat="1" applyFill="1" applyBorder="1" applyAlignment="1">
      <alignment horizontal="center" vertical="center"/>
    </xf>
    <xf numFmtId="0" fontId="16" fillId="22" borderId="4" xfId="1" applyFont="1" applyFill="1" applyBorder="1" applyAlignment="1">
      <alignment horizontal="right" indent="1"/>
    </xf>
    <xf numFmtId="0" fontId="0" fillId="19" borderId="6" xfId="0" applyFill="1" applyBorder="1" applyAlignment="1">
      <alignment horizontal="right" indent="1"/>
    </xf>
    <xf numFmtId="0" fontId="0" fillId="19" borderId="5" xfId="0" applyFill="1" applyBorder="1" applyAlignment="1">
      <alignment horizontal="right" indent="1"/>
    </xf>
    <xf numFmtId="0" fontId="8" fillId="12" borderId="15" xfId="1" applyFont="1" applyFill="1" applyBorder="1" applyAlignment="1">
      <alignment horizontal="center" vertical="center"/>
    </xf>
    <xf numFmtId="0" fontId="0" fillId="0" borderId="16" xfId="0" applyBorder="1" applyAlignment="1">
      <alignment horizontal="center" vertical="center"/>
    </xf>
    <xf numFmtId="0" fontId="17" fillId="0" borderId="16" xfId="0" applyFont="1" applyBorder="1" applyAlignment="1">
      <alignment horizontal="center" vertical="center"/>
    </xf>
    <xf numFmtId="0" fontId="1" fillId="5" borderId="4" xfId="0" applyFont="1" applyFill="1" applyBorder="1" applyAlignment="1">
      <alignment horizontal="center" vertical="center"/>
    </xf>
    <xf numFmtId="0" fontId="1" fillId="5" borderId="6" xfId="0" applyFont="1" applyFill="1" applyBorder="1" applyAlignment="1">
      <alignment horizontal="center" vertical="center"/>
    </xf>
    <xf numFmtId="0" fontId="1" fillId="5" borderId="5" xfId="0" applyFont="1" applyFill="1" applyBorder="1" applyAlignment="1">
      <alignment horizontal="center" vertical="center"/>
    </xf>
    <xf numFmtId="1" fontId="1" fillId="5" borderId="6" xfId="0" applyNumberFormat="1" applyFont="1" applyFill="1" applyBorder="1" applyAlignment="1">
      <alignment horizontal="center" vertical="center"/>
    </xf>
    <xf numFmtId="1" fontId="1" fillId="5" borderId="5" xfId="0" applyNumberFormat="1" applyFont="1" applyFill="1" applyBorder="1" applyAlignment="1">
      <alignment horizontal="center" vertical="center"/>
    </xf>
    <xf numFmtId="0" fontId="0" fillId="3" borderId="4" xfId="0" applyFill="1" applyBorder="1" applyAlignment="1">
      <alignment horizontal="center" vertical="center"/>
    </xf>
    <xf numFmtId="0" fontId="0" fillId="3" borderId="6" xfId="0" applyFill="1" applyBorder="1" applyAlignment="1">
      <alignment horizontal="center" vertical="center"/>
    </xf>
    <xf numFmtId="0" fontId="0" fillId="3" borderId="5" xfId="0" applyFill="1" applyBorder="1" applyAlignment="1">
      <alignment horizontal="center" vertical="center"/>
    </xf>
  </cellXfs>
  <cellStyles count="3">
    <cellStyle name="Excel Built-in Normal" xfId="2" xr:uid="{944149ED-05F9-45CA-B1DE-3CDC8F3DF753}"/>
    <cellStyle name="Normal" xfId="0" builtinId="0"/>
    <cellStyle name="Normal 2" xfId="1" xr:uid="{00000000-0005-0000-0000-000001000000}"/>
  </cellStyles>
  <dxfs count="373">
    <dxf>
      <fill>
        <patternFill>
          <bgColor theme="5" tint="0.79998168889431442"/>
        </patternFill>
      </fill>
    </dxf>
    <dxf>
      <font>
        <color theme="0"/>
      </font>
    </dxf>
    <dxf>
      <font>
        <color theme="1" tint="0.499984740745262"/>
      </font>
    </dxf>
    <dxf>
      <font>
        <color theme="0"/>
      </font>
    </dxf>
    <dxf>
      <font>
        <color theme="1" tint="0.499984740745262"/>
      </font>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5"/>
          <bgColor indexed="23"/>
        </patternFill>
      </fill>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color theme="0"/>
      </font>
    </dxf>
    <dxf>
      <font>
        <color theme="0"/>
      </font>
    </dxf>
    <dxf>
      <font>
        <color theme="0"/>
      </font>
    </dxf>
    <dxf>
      <font>
        <color theme="0"/>
      </font>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color theme="0"/>
      </font>
    </dxf>
    <dxf>
      <font>
        <color theme="0"/>
      </font>
    </dxf>
    <dxf>
      <font>
        <color theme="0"/>
      </font>
    </dxf>
    <dxf>
      <font>
        <color theme="0"/>
      </font>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5912F-1024-4B11-9522-E22DCF052EF2}">
  <sheetPr>
    <tabColor rgb="FF7030A0"/>
  </sheetPr>
  <dimension ref="A1:Z49"/>
  <sheetViews>
    <sheetView workbookViewId="0">
      <pane ySplit="2" topLeftCell="A19"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28" t="s">
        <v>320</v>
      </c>
      <c r="B1" s="216" t="str">
        <f>A2&amp;1</f>
        <v>A1</v>
      </c>
      <c r="C1" s="216" t="str">
        <f>A2&amp;2</f>
        <v>A2</v>
      </c>
      <c r="D1" s="216" t="str">
        <f>A2&amp;3</f>
        <v>A3</v>
      </c>
      <c r="E1" s="216" t="str">
        <f>A2&amp;4</f>
        <v>A4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16</v>
      </c>
      <c r="B2" s="217" t="str">
        <f>VLOOKUP(B1,Lookup08,2,FALSE)</f>
        <v>Mexico</v>
      </c>
      <c r="C2" s="217" t="str">
        <f>VLOOKUP(C1,Lookup08,2,FALSE)</f>
        <v>South Africa</v>
      </c>
      <c r="D2" s="217" t="str">
        <f>VLOOKUP(D1,Lookup08,2,FALSE)</f>
        <v>Korea Republic</v>
      </c>
      <c r="E2" s="217" t="str">
        <f>VLOOKUP(E1,Lookup08,2,FALSE)</f>
        <v>Czechia</v>
      </c>
      <c r="F2" s="144"/>
      <c r="G2" s="144"/>
      <c r="H2" s="195"/>
      <c r="I2" s="196" t="str">
        <f>B2</f>
        <v>Mexico</v>
      </c>
      <c r="J2" s="196" t="str">
        <f>C2</f>
        <v>South Africa</v>
      </c>
      <c r="K2" s="196" t="str">
        <f>D2</f>
        <v>Korea Republic</v>
      </c>
      <c r="L2" s="196" t="str">
        <f>E2</f>
        <v>Czechia</v>
      </c>
      <c r="M2" s="197" t="s">
        <v>26</v>
      </c>
      <c r="N2" s="195"/>
      <c r="O2" s="196" t="str">
        <f>I2</f>
        <v>Mexico</v>
      </c>
      <c r="P2" s="196" t="str">
        <f t="shared" ref="P2:R2" si="0">J2</f>
        <v>South Africa</v>
      </c>
      <c r="Q2" s="196" t="str">
        <f t="shared" si="0"/>
        <v>Korea Republic</v>
      </c>
      <c r="R2" s="196" t="str">
        <f t="shared" si="0"/>
        <v>Czechia</v>
      </c>
      <c r="S2" s="197" t="s">
        <v>26</v>
      </c>
      <c r="T2" s="195"/>
      <c r="U2" s="196" t="str">
        <f>O2</f>
        <v>Mexico</v>
      </c>
      <c r="V2" s="196" t="str">
        <f t="shared" ref="V2:X2" si="1">P2</f>
        <v>South Africa</v>
      </c>
      <c r="W2" s="196" t="str">
        <f t="shared" si="1"/>
        <v>Korea Republic</v>
      </c>
      <c r="X2" s="196" t="str">
        <f t="shared" si="1"/>
        <v>Czechia</v>
      </c>
      <c r="Y2" s="197" t="s">
        <v>26</v>
      </c>
    </row>
    <row r="3" spans="1:26" x14ac:dyDescent="0.25">
      <c r="A3" s="144"/>
      <c r="B3" s="144"/>
      <c r="C3" s="144"/>
      <c r="F3" s="144"/>
      <c r="G3" s="144"/>
      <c r="H3" s="195" t="str">
        <f>B2</f>
        <v>Mexico</v>
      </c>
      <c r="I3" s="211"/>
      <c r="J3" s="196">
        <f ca="1">IF(G10=G11,1,0)</f>
        <v>0</v>
      </c>
      <c r="K3" s="196">
        <f ca="1">IF(G10=G12,1,0)</f>
        <v>0</v>
      </c>
      <c r="L3" s="196">
        <f ca="1">IF(G10=G13,1,0)</f>
        <v>0</v>
      </c>
      <c r="M3" s="197">
        <f ca="1">SUM(I3:L3)</f>
        <v>0</v>
      </c>
      <c r="N3" s="195" t="str">
        <f>H3</f>
        <v>Mexico</v>
      </c>
      <c r="O3" s="211"/>
      <c r="P3" s="196">
        <f ca="1">IF(M10=M11,1,0)</f>
        <v>0</v>
      </c>
      <c r="Q3" s="196">
        <f ca="1">IF(M10=M12,1,0)</f>
        <v>0</v>
      </c>
      <c r="R3" s="196">
        <f ca="1">IF(M10=M13,1,0)</f>
        <v>0</v>
      </c>
      <c r="S3" s="197">
        <f ca="1">SUM(O3:R3)</f>
        <v>0</v>
      </c>
      <c r="T3" s="195" t="str">
        <f>N3</f>
        <v>Mexico</v>
      </c>
      <c r="U3" s="211"/>
      <c r="V3" s="196">
        <f ca="1">IF(S10=S11,1,0)</f>
        <v>0</v>
      </c>
      <c r="W3" s="196">
        <f ca="1">IF(S10=S12,1,0)</f>
        <v>0</v>
      </c>
      <c r="X3" s="196">
        <f ca="1">IF(S10=S13,1,0)</f>
        <v>0</v>
      </c>
      <c r="Y3" s="197">
        <f ca="1">SUM(U3:X3)</f>
        <v>0</v>
      </c>
    </row>
    <row r="4" spans="1:26" x14ac:dyDescent="0.25">
      <c r="A4" s="144"/>
      <c r="B4" s="144"/>
      <c r="C4" s="144"/>
      <c r="F4" s="144"/>
      <c r="G4" s="144"/>
      <c r="H4" s="195" t="str">
        <f>C2</f>
        <v>South Africa</v>
      </c>
      <c r="I4" s="196">
        <f ca="1">IF(G11=G10,1,0)</f>
        <v>0</v>
      </c>
      <c r="J4" s="211"/>
      <c r="K4" s="196">
        <f ca="1">IF(G11=G12,1,0)</f>
        <v>0</v>
      </c>
      <c r="L4" s="196">
        <f ca="1">IF(G11=G13,1,0)</f>
        <v>0</v>
      </c>
      <c r="M4" s="197">
        <f ca="1">SUM(I4:L4)</f>
        <v>0</v>
      </c>
      <c r="N4" s="195" t="str">
        <f t="shared" ref="N4:N6" si="2">H4</f>
        <v>South Africa</v>
      </c>
      <c r="O4" s="196">
        <f ca="1">IF(M11=M10,1,0)</f>
        <v>0</v>
      </c>
      <c r="P4" s="211"/>
      <c r="Q4" s="196">
        <f ca="1">IF(M11=M12,1,0)</f>
        <v>0</v>
      </c>
      <c r="R4" s="196">
        <f ca="1">IF(M11=M13,1,0)</f>
        <v>0</v>
      </c>
      <c r="S4" s="197">
        <f ca="1">SUM(O4:R4)</f>
        <v>0</v>
      </c>
      <c r="T4" s="195" t="str">
        <f t="shared" ref="T4:T6" si="3">N4</f>
        <v>South Africa</v>
      </c>
      <c r="U4" s="196">
        <f ca="1">IF(S11=S10,1,0)</f>
        <v>0</v>
      </c>
      <c r="V4" s="211"/>
      <c r="W4" s="196">
        <f ca="1">IF(S11=S12,1,0)</f>
        <v>0</v>
      </c>
      <c r="X4" s="196">
        <f ca="1">IF(S11=S13,1,0)</f>
        <v>0</v>
      </c>
      <c r="Y4" s="197">
        <f ca="1">SUM(U4:X4)</f>
        <v>0</v>
      </c>
    </row>
    <row r="5" spans="1:26" x14ac:dyDescent="0.25">
      <c r="A5" s="144"/>
      <c r="B5" s="144"/>
      <c r="C5" s="144"/>
      <c r="F5" s="144"/>
      <c r="G5" s="144"/>
      <c r="H5" s="195" t="str">
        <f>D2</f>
        <v>Korea Republic</v>
      </c>
      <c r="I5" s="196">
        <f ca="1">IF(G12=G10,1,0)</f>
        <v>0</v>
      </c>
      <c r="J5" s="196">
        <f ca="1">IF(G12=G11,1,0)</f>
        <v>0</v>
      </c>
      <c r="K5" s="211"/>
      <c r="L5" s="196">
        <f ca="1">IF(G12=G13,1,0)</f>
        <v>0</v>
      </c>
      <c r="M5" s="197">
        <f ca="1">SUM(I5:L5)</f>
        <v>0</v>
      </c>
      <c r="N5" s="195" t="str">
        <f t="shared" si="2"/>
        <v>Korea Republic</v>
      </c>
      <c r="O5" s="196">
        <f ca="1">IF(M12=M10,1,0)</f>
        <v>0</v>
      </c>
      <c r="P5" s="196">
        <f ca="1">IF(M12=M11,1,0)</f>
        <v>0</v>
      </c>
      <c r="Q5" s="211"/>
      <c r="R5" s="196">
        <f ca="1">IF(M12=M13,1,0)</f>
        <v>0</v>
      </c>
      <c r="S5" s="197">
        <f ca="1">SUM(O5:R5)</f>
        <v>0</v>
      </c>
      <c r="T5" s="195" t="str">
        <f t="shared" si="3"/>
        <v>Korea Republic</v>
      </c>
      <c r="U5" s="196">
        <f ca="1">IF(S12=S10,1,0)</f>
        <v>0</v>
      </c>
      <c r="V5" s="196">
        <f ca="1">IF(S12=S11,1,0)</f>
        <v>0</v>
      </c>
      <c r="W5" s="211"/>
      <c r="X5" s="196">
        <f ca="1">IF(S12=S13,1,0)</f>
        <v>0</v>
      </c>
      <c r="Y5" s="197">
        <f ca="1">SUM(U5:X5)</f>
        <v>0</v>
      </c>
    </row>
    <row r="6" spans="1:26" x14ac:dyDescent="0.25">
      <c r="A6" s="144"/>
      <c r="B6" s="144"/>
      <c r="C6" s="144"/>
      <c r="F6" s="144"/>
      <c r="G6" s="144"/>
      <c r="H6" s="198" t="str">
        <f>E2</f>
        <v>Czechia</v>
      </c>
      <c r="I6" s="199">
        <f ca="1">IF(G13=G10,1,0)</f>
        <v>0</v>
      </c>
      <c r="J6" s="199">
        <f ca="1">IF(G13=G11,1,0)</f>
        <v>0</v>
      </c>
      <c r="K6" s="199">
        <f ca="1">IF(G13=G12,1,0)</f>
        <v>0</v>
      </c>
      <c r="L6" s="212"/>
      <c r="M6" s="200">
        <f ca="1">SUM(I6:L6)</f>
        <v>0</v>
      </c>
      <c r="N6" s="198" t="str">
        <f t="shared" si="2"/>
        <v>Czechia</v>
      </c>
      <c r="O6" s="199">
        <f ca="1">IF(M13=M10,1,0)</f>
        <v>0</v>
      </c>
      <c r="P6" s="199">
        <f ca="1">IF(M13=M11,1,0)</f>
        <v>0</v>
      </c>
      <c r="Q6" s="199">
        <f ca="1">IF(M13=M12,1,0)</f>
        <v>0</v>
      </c>
      <c r="R6" s="212"/>
      <c r="S6" s="200">
        <f ca="1">SUM(O6:R6)</f>
        <v>0</v>
      </c>
      <c r="T6" s="198" t="str">
        <f t="shared" si="3"/>
        <v>Czechia</v>
      </c>
      <c r="U6" s="199">
        <f ca="1">IF(S13=S10,1,0)</f>
        <v>0</v>
      </c>
      <c r="V6" s="199">
        <f ca="1">IF(S13=S11,1,0)</f>
        <v>0</v>
      </c>
      <c r="W6" s="199">
        <f ca="1">IF(S13=S12,1,0)</f>
        <v>0</v>
      </c>
      <c r="X6" s="212"/>
      <c r="Y6" s="200">
        <f ca="1">SUM(U6:X6)</f>
        <v>0</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Mexico</v>
      </c>
      <c r="D9" s="190" t="str">
        <f>C2</f>
        <v>South Africa</v>
      </c>
      <c r="E9" s="190" t="str">
        <f>D2</f>
        <v>Korea Republic</v>
      </c>
      <c r="F9" s="190" t="str">
        <f>E2</f>
        <v>Czechia</v>
      </c>
      <c r="G9" s="191" t="s">
        <v>26</v>
      </c>
      <c r="H9" s="189"/>
      <c r="I9" s="190" t="str">
        <f>C9</f>
        <v>Mexico</v>
      </c>
      <c r="J9" s="190" t="str">
        <f t="shared" ref="J9:L9" si="4">D9</f>
        <v>South Africa</v>
      </c>
      <c r="K9" s="190" t="str">
        <f t="shared" si="4"/>
        <v>Korea Republic</v>
      </c>
      <c r="L9" s="190" t="str">
        <f t="shared" si="4"/>
        <v>Czechia</v>
      </c>
      <c r="M9" s="191" t="s">
        <v>26</v>
      </c>
      <c r="N9" s="189"/>
      <c r="O9" s="190" t="str">
        <f>I9</f>
        <v>Mexico</v>
      </c>
      <c r="P9" s="190" t="str">
        <f t="shared" ref="P9:R9" si="5">J9</f>
        <v>South Africa</v>
      </c>
      <c r="Q9" s="190" t="str">
        <f t="shared" si="5"/>
        <v>Korea Republic</v>
      </c>
      <c r="R9" s="190" t="str">
        <f t="shared" si="5"/>
        <v>Czechia</v>
      </c>
      <c r="S9" s="191" t="s">
        <v>26</v>
      </c>
      <c r="T9" s="189"/>
      <c r="U9" s="190" t="str">
        <f>O9</f>
        <v>Mexico</v>
      </c>
      <c r="V9" s="190" t="str">
        <f t="shared" ref="V9:X9" si="6">P9</f>
        <v>South Africa</v>
      </c>
      <c r="W9" s="190" t="str">
        <f t="shared" si="6"/>
        <v>Korea Republic</v>
      </c>
      <c r="X9" s="190" t="str">
        <f t="shared" si="6"/>
        <v>Czechia</v>
      </c>
      <c r="Y9" s="191" t="s">
        <v>26</v>
      </c>
      <c r="Z9" s="227" t="s">
        <v>309</v>
      </c>
    </row>
    <row r="10" spans="1:26" x14ac:dyDescent="0.25">
      <c r="A10" s="144"/>
      <c r="B10" s="189" t="str">
        <f>B2</f>
        <v>Mexico</v>
      </c>
      <c r="C10" s="204"/>
      <c r="D10" s="190">
        <f>H37</f>
        <v>3</v>
      </c>
      <c r="E10" s="190">
        <f ca="1">H39</f>
        <v>0</v>
      </c>
      <c r="F10" s="190">
        <f ca="1">I42</f>
        <v>3</v>
      </c>
      <c r="G10" s="191">
        <f ca="1">SUM(C10:F10)</f>
        <v>6</v>
      </c>
      <c r="H10" s="189" t="str">
        <f>B10</f>
        <v>Mexico</v>
      </c>
      <c r="I10" s="218">
        <f>C10+I17/100+I24/10000</f>
        <v>0</v>
      </c>
      <c r="J10" s="219">
        <f t="shared" ref="J10:L10" ca="1" si="7">D10+J17/100+J24/10000</f>
        <v>3</v>
      </c>
      <c r="K10" s="219">
        <f t="shared" ca="1" si="7"/>
        <v>0</v>
      </c>
      <c r="L10" s="219">
        <f t="shared" ca="1" si="7"/>
        <v>3</v>
      </c>
      <c r="M10" s="220">
        <f ca="1">SUM(I10:L10)</f>
        <v>6</v>
      </c>
      <c r="N10" s="189" t="str">
        <f>H10</f>
        <v>Mexico</v>
      </c>
      <c r="O10" s="218">
        <f>I10+O17/100+O24/10000</f>
        <v>0</v>
      </c>
      <c r="P10" s="219">
        <f t="shared" ref="P10:R13" ca="1" si="8">J10+P17/100+P24/10000</f>
        <v>3</v>
      </c>
      <c r="Q10" s="219">
        <f t="shared" ca="1" si="8"/>
        <v>0</v>
      </c>
      <c r="R10" s="219">
        <f t="shared" ca="1" si="8"/>
        <v>3</v>
      </c>
      <c r="S10" s="220">
        <f ca="1">SUM(O10:R10)</f>
        <v>6</v>
      </c>
      <c r="T10" s="189" t="str">
        <f>N10</f>
        <v>Mexico</v>
      </c>
      <c r="U10" s="218">
        <f>O10+U17/100+U24/10000</f>
        <v>0</v>
      </c>
      <c r="V10" s="219">
        <f t="shared" ref="V10:X13" ca="1" si="9">P10+V17/100+V24/10000</f>
        <v>3</v>
      </c>
      <c r="W10" s="219">
        <f t="shared" ca="1" si="9"/>
        <v>0</v>
      </c>
      <c r="X10" s="219">
        <f t="shared" ca="1" si="9"/>
        <v>3</v>
      </c>
      <c r="Y10" s="220">
        <f ca="1">ROUND(SUM(U10:X10),8)</f>
        <v>6</v>
      </c>
      <c r="Z10" s="224">
        <f ca="1">_xlfn.RANK.EQ(Y10,Y$10:Y$13,1)</f>
        <v>3</v>
      </c>
    </row>
    <row r="11" spans="1:26" x14ac:dyDescent="0.25">
      <c r="A11" s="144"/>
      <c r="B11" s="189" t="str">
        <f>C2</f>
        <v>South Africa</v>
      </c>
      <c r="C11" s="190">
        <f>I37</f>
        <v>0</v>
      </c>
      <c r="D11" s="204"/>
      <c r="E11" s="190">
        <f ca="1">H41</f>
        <v>0</v>
      </c>
      <c r="F11" s="190">
        <f ca="1">I40</f>
        <v>3</v>
      </c>
      <c r="G11" s="191">
        <f ca="1">SUM(C11:F11)</f>
        <v>3</v>
      </c>
      <c r="H11" s="189" t="str">
        <f t="shared" ref="H11:H13" si="10">B11</f>
        <v>South Africa</v>
      </c>
      <c r="I11" s="219">
        <f t="shared" ref="I11:L13" ca="1" si="11">C11+I18/100+I25/10000</f>
        <v>0</v>
      </c>
      <c r="J11" s="218">
        <f t="shared" si="11"/>
        <v>0</v>
      </c>
      <c r="K11" s="219">
        <f t="shared" ca="1" si="11"/>
        <v>0</v>
      </c>
      <c r="L11" s="219">
        <f t="shared" ca="1" si="11"/>
        <v>3</v>
      </c>
      <c r="M11" s="220">
        <f ca="1">SUM(I11:L11)</f>
        <v>3</v>
      </c>
      <c r="N11" s="189" t="str">
        <f t="shared" ref="N11:N13" si="12">H11</f>
        <v>South Africa</v>
      </c>
      <c r="O11" s="219">
        <f t="shared" ref="O11:O13" ca="1" si="13">I11+O18/100+O25/10000</f>
        <v>0</v>
      </c>
      <c r="P11" s="218">
        <f t="shared" si="8"/>
        <v>0</v>
      </c>
      <c r="Q11" s="219">
        <f t="shared" ca="1" si="8"/>
        <v>0</v>
      </c>
      <c r="R11" s="219">
        <f t="shared" ca="1" si="8"/>
        <v>3</v>
      </c>
      <c r="S11" s="220">
        <f ca="1">SUM(O11:R11)</f>
        <v>3</v>
      </c>
      <c r="T11" s="189" t="str">
        <f t="shared" ref="T11:T13" si="14">N11</f>
        <v>South Africa</v>
      </c>
      <c r="U11" s="219">
        <f t="shared" ref="U11:U13" ca="1" si="15">O11+U18/100+U25/10000</f>
        <v>0</v>
      </c>
      <c r="V11" s="218">
        <f t="shared" si="9"/>
        <v>0</v>
      </c>
      <c r="W11" s="219">
        <f t="shared" ca="1" si="9"/>
        <v>0</v>
      </c>
      <c r="X11" s="219">
        <f t="shared" ca="1" si="9"/>
        <v>3</v>
      </c>
      <c r="Y11" s="220">
        <f t="shared" ref="Y11:Y13" ca="1" si="16">ROUND(SUM(U11:X11),8)</f>
        <v>3</v>
      </c>
      <c r="Z11" s="224">
        <f t="shared" ref="Z11:Z13" ca="1" si="17">_xlfn.RANK.EQ(Y11,Y$10:Y$13,1)</f>
        <v>2</v>
      </c>
    </row>
    <row r="12" spans="1:26" x14ac:dyDescent="0.25">
      <c r="A12" s="144"/>
      <c r="B12" s="189" t="str">
        <f>D2</f>
        <v>Korea Republic</v>
      </c>
      <c r="C12" s="190">
        <f ca="1">I39</f>
        <v>3</v>
      </c>
      <c r="D12" s="190">
        <f ca="1">I41</f>
        <v>3</v>
      </c>
      <c r="E12" s="204"/>
      <c r="F12" s="190">
        <f>H38</f>
        <v>3</v>
      </c>
      <c r="G12" s="191">
        <f ca="1">SUM(C12:F12)</f>
        <v>9</v>
      </c>
      <c r="H12" s="189" t="str">
        <f t="shared" si="10"/>
        <v>Korea Republic</v>
      </c>
      <c r="I12" s="219">
        <f t="shared" ca="1" si="11"/>
        <v>3</v>
      </c>
      <c r="J12" s="219">
        <f t="shared" ca="1" si="11"/>
        <v>3</v>
      </c>
      <c r="K12" s="218">
        <f t="shared" si="11"/>
        <v>0</v>
      </c>
      <c r="L12" s="219">
        <f t="shared" ca="1" si="11"/>
        <v>3</v>
      </c>
      <c r="M12" s="220">
        <f ca="1">SUM(I12:L12)</f>
        <v>9</v>
      </c>
      <c r="N12" s="189" t="str">
        <f t="shared" si="12"/>
        <v>Korea Republic</v>
      </c>
      <c r="O12" s="219">
        <f t="shared" ca="1" si="13"/>
        <v>3</v>
      </c>
      <c r="P12" s="219">
        <f t="shared" ca="1" si="8"/>
        <v>3</v>
      </c>
      <c r="Q12" s="218">
        <f t="shared" si="8"/>
        <v>0</v>
      </c>
      <c r="R12" s="219">
        <f t="shared" ca="1" si="8"/>
        <v>3</v>
      </c>
      <c r="S12" s="220">
        <f ca="1">SUM(O12:R12)</f>
        <v>9</v>
      </c>
      <c r="T12" s="189" t="str">
        <f t="shared" si="14"/>
        <v>Korea Republic</v>
      </c>
      <c r="U12" s="219">
        <f t="shared" ca="1" si="15"/>
        <v>3</v>
      </c>
      <c r="V12" s="219">
        <f t="shared" ca="1" si="9"/>
        <v>3</v>
      </c>
      <c r="W12" s="218">
        <f t="shared" si="9"/>
        <v>0</v>
      </c>
      <c r="X12" s="219">
        <f t="shared" ca="1" si="9"/>
        <v>3</v>
      </c>
      <c r="Y12" s="220">
        <f t="shared" ca="1" si="16"/>
        <v>9</v>
      </c>
      <c r="Z12" s="224">
        <f t="shared" ca="1" si="17"/>
        <v>4</v>
      </c>
    </row>
    <row r="13" spans="1:26" x14ac:dyDescent="0.25">
      <c r="A13" s="144"/>
      <c r="B13" s="192" t="str">
        <f>E2</f>
        <v>Czechia</v>
      </c>
      <c r="C13" s="193">
        <f ca="1">H42</f>
        <v>0</v>
      </c>
      <c r="D13" s="193">
        <f ca="1">H40</f>
        <v>0</v>
      </c>
      <c r="E13" s="193">
        <f>I38</f>
        <v>0</v>
      </c>
      <c r="F13" s="205"/>
      <c r="G13" s="194">
        <f ca="1">SUM(C13:F13)</f>
        <v>0</v>
      </c>
      <c r="H13" s="192" t="str">
        <f t="shared" si="10"/>
        <v>Czechia</v>
      </c>
      <c r="I13" s="221">
        <f t="shared" ca="1" si="11"/>
        <v>0</v>
      </c>
      <c r="J13" s="221">
        <f t="shared" ca="1" si="11"/>
        <v>0</v>
      </c>
      <c r="K13" s="221">
        <f t="shared" ca="1" si="11"/>
        <v>0</v>
      </c>
      <c r="L13" s="222">
        <f t="shared" si="11"/>
        <v>0</v>
      </c>
      <c r="M13" s="223">
        <f ca="1">SUM(I13:L13)</f>
        <v>0</v>
      </c>
      <c r="N13" s="192" t="str">
        <f t="shared" si="12"/>
        <v>Czechia</v>
      </c>
      <c r="O13" s="221">
        <f t="shared" ca="1" si="13"/>
        <v>0</v>
      </c>
      <c r="P13" s="221">
        <f t="shared" ca="1" si="8"/>
        <v>0</v>
      </c>
      <c r="Q13" s="221">
        <f t="shared" ca="1" si="8"/>
        <v>0</v>
      </c>
      <c r="R13" s="222">
        <f t="shared" si="8"/>
        <v>0</v>
      </c>
      <c r="S13" s="223">
        <f ca="1">SUM(O13:R13)</f>
        <v>0</v>
      </c>
      <c r="T13" s="192" t="str">
        <f t="shared" si="14"/>
        <v>Czechia</v>
      </c>
      <c r="U13" s="221">
        <f t="shared" ca="1" si="15"/>
        <v>0</v>
      </c>
      <c r="V13" s="221">
        <f t="shared" ca="1" si="9"/>
        <v>0</v>
      </c>
      <c r="W13" s="221">
        <f t="shared" ca="1" si="9"/>
        <v>0</v>
      </c>
      <c r="X13" s="222">
        <f t="shared" si="9"/>
        <v>0</v>
      </c>
      <c r="Y13" s="223">
        <f t="shared" ca="1" si="16"/>
        <v>0</v>
      </c>
      <c r="Z13" s="225">
        <f t="shared" ca="1" si="17"/>
        <v>1</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Mexico</v>
      </c>
      <c r="D16" s="177" t="str">
        <f>C2</f>
        <v>South Africa</v>
      </c>
      <c r="E16" s="177" t="str">
        <f>D2</f>
        <v>Korea Republic</v>
      </c>
      <c r="F16" s="177" t="str">
        <f>E2</f>
        <v>Czechia</v>
      </c>
      <c r="G16" s="178" t="s">
        <v>26</v>
      </c>
      <c r="H16" s="183"/>
      <c r="I16" s="184" t="str">
        <f>C16</f>
        <v>Mexico</v>
      </c>
      <c r="J16" s="184" t="str">
        <f t="shared" ref="J16:L16" si="18">D16</f>
        <v>South Africa</v>
      </c>
      <c r="K16" s="184" t="str">
        <f t="shared" si="18"/>
        <v>Korea Republic</v>
      </c>
      <c r="L16" s="184" t="str">
        <f t="shared" si="18"/>
        <v>Czechia</v>
      </c>
      <c r="M16" s="185" t="s">
        <v>26</v>
      </c>
      <c r="N16" s="183"/>
      <c r="O16" s="184" t="str">
        <f>I16</f>
        <v>Mexico</v>
      </c>
      <c r="P16" s="184" t="str">
        <f t="shared" ref="P16:R16" si="19">J16</f>
        <v>South Africa</v>
      </c>
      <c r="Q16" s="184" t="str">
        <f t="shared" si="19"/>
        <v>Korea Republic</v>
      </c>
      <c r="R16" s="184" t="str">
        <f t="shared" si="19"/>
        <v>Czechia</v>
      </c>
      <c r="S16" s="185" t="s">
        <v>26</v>
      </c>
      <c r="T16" s="183"/>
      <c r="U16" s="184" t="str">
        <f>O16</f>
        <v>Mexico</v>
      </c>
      <c r="V16" s="184" t="str">
        <f t="shared" ref="V16:X16" si="20">P16</f>
        <v>South Africa</v>
      </c>
      <c r="W16" s="184" t="str">
        <f t="shared" si="20"/>
        <v>Korea Republic</v>
      </c>
      <c r="X16" s="184" t="str">
        <f t="shared" si="20"/>
        <v>Czechia</v>
      </c>
      <c r="Y16" s="185" t="s">
        <v>26</v>
      </c>
    </row>
    <row r="17" spans="1:25" x14ac:dyDescent="0.25">
      <c r="A17" s="144"/>
      <c r="B17" s="176" t="str">
        <f>B2</f>
        <v>Mexico</v>
      </c>
      <c r="C17" s="206"/>
      <c r="D17" s="179">
        <f>IFERROR(F37-G37,0)</f>
        <v>2</v>
      </c>
      <c r="E17" s="179">
        <f ca="1">IFERROR(F39-G39,0)</f>
        <v>-2</v>
      </c>
      <c r="F17" s="179">
        <f ca="1">IFERROR(G42-F42,0)</f>
        <v>1</v>
      </c>
      <c r="G17" s="178">
        <f ca="1">SUM(C17:F17)</f>
        <v>1</v>
      </c>
      <c r="H17" s="183" t="str">
        <f>B17</f>
        <v>Mexico</v>
      </c>
      <c r="I17" s="208"/>
      <c r="J17" s="184">
        <f ca="1">D17*J3</f>
        <v>0</v>
      </c>
      <c r="K17" s="184">
        <f ca="1">E17*K3</f>
        <v>0</v>
      </c>
      <c r="L17" s="184">
        <f ca="1">F17*L3</f>
        <v>0</v>
      </c>
      <c r="M17" s="185">
        <f ca="1">SUM(I17:L17)</f>
        <v>0</v>
      </c>
      <c r="N17" s="183" t="str">
        <f>H17</f>
        <v>Mexico</v>
      </c>
      <c r="O17" s="208"/>
      <c r="P17" s="184">
        <f ca="1">J17*P3</f>
        <v>0</v>
      </c>
      <c r="Q17" s="184">
        <f ca="1">K17*Q3</f>
        <v>0</v>
      </c>
      <c r="R17" s="184">
        <f ca="1">L17*R3</f>
        <v>0</v>
      </c>
      <c r="S17" s="185">
        <f ca="1">SUM(O17:R17)</f>
        <v>0</v>
      </c>
      <c r="T17" s="183" t="str">
        <f>N17</f>
        <v>Mexico</v>
      </c>
      <c r="U17" s="208"/>
      <c r="V17" s="184">
        <f ca="1">P17*V3</f>
        <v>0</v>
      </c>
      <c r="W17" s="184">
        <f ca="1">Q17*W3</f>
        <v>0</v>
      </c>
      <c r="X17" s="184">
        <f ca="1">R17*X3</f>
        <v>0</v>
      </c>
      <c r="Y17" s="185">
        <f ca="1">SUM(U17:X17)</f>
        <v>0</v>
      </c>
    </row>
    <row r="18" spans="1:25" x14ac:dyDescent="0.25">
      <c r="A18" s="144"/>
      <c r="B18" s="176" t="str">
        <f>C2</f>
        <v>South Africa</v>
      </c>
      <c r="C18" s="179">
        <f>IFERROR(G37-F37,0)</f>
        <v>-2</v>
      </c>
      <c r="D18" s="206"/>
      <c r="E18" s="179">
        <f ca="1">IFERROR(F41-G41,0)</f>
        <v>-1</v>
      </c>
      <c r="F18" s="179">
        <f ca="1">IFERROR(G40-F40,0)</f>
        <v>1</v>
      </c>
      <c r="G18" s="178">
        <f ca="1">SUM(C18:F18)</f>
        <v>-2</v>
      </c>
      <c r="H18" s="183" t="str">
        <f t="shared" ref="H18:H20" si="21">B18</f>
        <v>South Africa</v>
      </c>
      <c r="I18" s="184">
        <f ca="1">C18*I4</f>
        <v>0</v>
      </c>
      <c r="J18" s="208"/>
      <c r="K18" s="184">
        <f ca="1">E18*K4</f>
        <v>0</v>
      </c>
      <c r="L18" s="184">
        <f ca="1">F18*L4</f>
        <v>0</v>
      </c>
      <c r="M18" s="185">
        <f ca="1">SUM(I18:L18)</f>
        <v>0</v>
      </c>
      <c r="N18" s="183" t="str">
        <f t="shared" ref="N18:N20" si="22">H18</f>
        <v>South Africa</v>
      </c>
      <c r="O18" s="184">
        <f ca="1">I18*O4</f>
        <v>0</v>
      </c>
      <c r="P18" s="208"/>
      <c r="Q18" s="184">
        <f ca="1">K18*Q4</f>
        <v>0</v>
      </c>
      <c r="R18" s="184">
        <f ca="1">L18*R4</f>
        <v>0</v>
      </c>
      <c r="S18" s="185">
        <f ca="1">SUM(O18:R18)</f>
        <v>0</v>
      </c>
      <c r="T18" s="183" t="str">
        <f t="shared" ref="T18:T20" si="23">N18</f>
        <v>South Africa</v>
      </c>
      <c r="U18" s="184">
        <f ca="1">O18*U4</f>
        <v>0</v>
      </c>
      <c r="V18" s="208"/>
      <c r="W18" s="184">
        <f ca="1">Q18*W4</f>
        <v>0</v>
      </c>
      <c r="X18" s="184">
        <f ca="1">R18*X4</f>
        <v>0</v>
      </c>
      <c r="Y18" s="185">
        <f ca="1">SUM(U18:X18)</f>
        <v>0</v>
      </c>
    </row>
    <row r="19" spans="1:25" x14ac:dyDescent="0.25">
      <c r="A19" s="144"/>
      <c r="B19" s="176" t="str">
        <f>D2</f>
        <v>Korea Republic</v>
      </c>
      <c r="C19" s="179">
        <f ca="1">IFERROR(G39-F39,0)</f>
        <v>2</v>
      </c>
      <c r="D19" s="179">
        <f ca="1">IFERROR(G41-F41,0)</f>
        <v>1</v>
      </c>
      <c r="E19" s="206"/>
      <c r="F19" s="179">
        <f>IFERROR(F38-G38,0)</f>
        <v>1</v>
      </c>
      <c r="G19" s="178">
        <f ca="1">SUM(C19:F19)</f>
        <v>4</v>
      </c>
      <c r="H19" s="183" t="str">
        <f t="shared" si="21"/>
        <v>Korea Republic</v>
      </c>
      <c r="I19" s="184">
        <f ca="1">C19*I5</f>
        <v>0</v>
      </c>
      <c r="J19" s="184">
        <f ca="1">D19*J5</f>
        <v>0</v>
      </c>
      <c r="K19" s="208"/>
      <c r="L19" s="184">
        <f ca="1">F19*L5</f>
        <v>0</v>
      </c>
      <c r="M19" s="185">
        <f ca="1">SUM(I19:L19)</f>
        <v>0</v>
      </c>
      <c r="N19" s="183" t="str">
        <f t="shared" si="22"/>
        <v>Korea Republic</v>
      </c>
      <c r="O19" s="184">
        <f ca="1">I19*O5</f>
        <v>0</v>
      </c>
      <c r="P19" s="184">
        <f ca="1">J19*P5</f>
        <v>0</v>
      </c>
      <c r="Q19" s="208"/>
      <c r="R19" s="184">
        <f ca="1">L19*R5</f>
        <v>0</v>
      </c>
      <c r="S19" s="185">
        <f ca="1">SUM(O19:R19)</f>
        <v>0</v>
      </c>
      <c r="T19" s="183" t="str">
        <f t="shared" si="23"/>
        <v>Korea Republic</v>
      </c>
      <c r="U19" s="184">
        <f ca="1">O19*U5</f>
        <v>0</v>
      </c>
      <c r="V19" s="184">
        <f ca="1">P19*V5</f>
        <v>0</v>
      </c>
      <c r="W19" s="208"/>
      <c r="X19" s="184">
        <f ca="1">R19*X5</f>
        <v>0</v>
      </c>
      <c r="Y19" s="185">
        <f ca="1">SUM(U19:X19)</f>
        <v>0</v>
      </c>
    </row>
    <row r="20" spans="1:25" x14ac:dyDescent="0.25">
      <c r="A20" s="144"/>
      <c r="B20" s="180" t="str">
        <f>E2</f>
        <v>Czechia</v>
      </c>
      <c r="C20" s="181">
        <f ca="1">IFERROR(F42-G42,0)</f>
        <v>-1</v>
      </c>
      <c r="D20" s="181">
        <f ca="1">IFERROR(F40-G40,0)</f>
        <v>-1</v>
      </c>
      <c r="E20" s="181">
        <f>IFERROR(G38-F38,0)</f>
        <v>-1</v>
      </c>
      <c r="F20" s="207"/>
      <c r="G20" s="182">
        <f ca="1">SUM(C20:F20)</f>
        <v>-3</v>
      </c>
      <c r="H20" s="186" t="str">
        <f t="shared" si="21"/>
        <v>Czechia</v>
      </c>
      <c r="I20" s="187">
        <f ca="1">C20*I6</f>
        <v>0</v>
      </c>
      <c r="J20" s="187">
        <f ca="1">D20*J6</f>
        <v>0</v>
      </c>
      <c r="K20" s="187">
        <f ca="1">E20*K6</f>
        <v>0</v>
      </c>
      <c r="L20" s="213"/>
      <c r="M20" s="188">
        <f ca="1">SUM(I20:L20)</f>
        <v>0</v>
      </c>
      <c r="N20" s="186" t="str">
        <f t="shared" si="22"/>
        <v>Czechia</v>
      </c>
      <c r="O20" s="187">
        <f ca="1">I20*O6</f>
        <v>0</v>
      </c>
      <c r="P20" s="187">
        <f ca="1">J20*P6</f>
        <v>0</v>
      </c>
      <c r="Q20" s="187">
        <f ca="1">K20*Q6</f>
        <v>0</v>
      </c>
      <c r="R20" s="213"/>
      <c r="S20" s="188">
        <f ca="1">SUM(O20:R20)</f>
        <v>0</v>
      </c>
      <c r="T20" s="186" t="str">
        <f t="shared" si="23"/>
        <v>Czechia</v>
      </c>
      <c r="U20" s="187">
        <f ca="1">O20*U6</f>
        <v>0</v>
      </c>
      <c r="V20" s="187">
        <f ca="1">P20*V6</f>
        <v>0</v>
      </c>
      <c r="W20" s="187">
        <f ca="1">Q20*W6</f>
        <v>0</v>
      </c>
      <c r="X20" s="213"/>
      <c r="Y20" s="188">
        <f ca="1">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Mexico</v>
      </c>
      <c r="D23" s="164" t="str">
        <f>C2</f>
        <v>South Africa</v>
      </c>
      <c r="E23" s="164" t="str">
        <f>D2</f>
        <v>Korea Republic</v>
      </c>
      <c r="F23" s="164" t="str">
        <f>E2</f>
        <v>Czechia</v>
      </c>
      <c r="G23" s="165" t="s">
        <v>26</v>
      </c>
      <c r="H23" s="169"/>
      <c r="I23" s="170" t="str">
        <f>C23</f>
        <v>Mexico</v>
      </c>
      <c r="J23" s="170" t="str">
        <f t="shared" ref="J23:L23" si="24">D23</f>
        <v>South Africa</v>
      </c>
      <c r="K23" s="170" t="str">
        <f t="shared" si="24"/>
        <v>Korea Republic</v>
      </c>
      <c r="L23" s="170" t="str">
        <f t="shared" si="24"/>
        <v>Czechia</v>
      </c>
      <c r="M23" s="171" t="s">
        <v>26</v>
      </c>
      <c r="N23" s="169"/>
      <c r="O23" s="170" t="str">
        <f>I23</f>
        <v>Mexico</v>
      </c>
      <c r="P23" s="170" t="str">
        <f t="shared" ref="P23:R23" si="25">J23</f>
        <v>South Africa</v>
      </c>
      <c r="Q23" s="170" t="str">
        <f t="shared" si="25"/>
        <v>Korea Republic</v>
      </c>
      <c r="R23" s="170" t="str">
        <f t="shared" si="25"/>
        <v>Czechia</v>
      </c>
      <c r="S23" s="171" t="s">
        <v>26</v>
      </c>
      <c r="T23" s="169"/>
      <c r="U23" s="170" t="str">
        <f>O23</f>
        <v>Mexico</v>
      </c>
      <c r="V23" s="170" t="str">
        <f t="shared" ref="V23:X23" si="26">P23</f>
        <v>South Africa</v>
      </c>
      <c r="W23" s="170" t="str">
        <f t="shared" si="26"/>
        <v>Korea Republic</v>
      </c>
      <c r="X23" s="170" t="str">
        <f t="shared" si="26"/>
        <v>Czechia</v>
      </c>
      <c r="Y23" s="171" t="s">
        <v>26</v>
      </c>
    </row>
    <row r="24" spans="1:25" x14ac:dyDescent="0.25">
      <c r="A24" s="143"/>
      <c r="B24" s="163" t="str">
        <f>B2</f>
        <v>Mexico</v>
      </c>
      <c r="C24" s="209"/>
      <c r="D24" s="164">
        <f>IF(F37="",0,F37)</f>
        <v>2</v>
      </c>
      <c r="E24" s="164">
        <f ca="1">IF(F39="",0,F39)</f>
        <v>0</v>
      </c>
      <c r="F24" s="164">
        <f ca="1">IF(G42="",0,G42)</f>
        <v>1</v>
      </c>
      <c r="G24" s="165">
        <f ca="1">SUM(C24:F24)</f>
        <v>3</v>
      </c>
      <c r="H24" s="169" t="str">
        <f>B24</f>
        <v>Mexico</v>
      </c>
      <c r="I24" s="214"/>
      <c r="J24" s="170">
        <f ca="1">D24*J3</f>
        <v>0</v>
      </c>
      <c r="K24" s="170">
        <f ca="1">E24*K3</f>
        <v>0</v>
      </c>
      <c r="L24" s="170">
        <f ca="1">F24*L3</f>
        <v>0</v>
      </c>
      <c r="M24" s="171">
        <f ca="1">SUM(I24:L24)</f>
        <v>0</v>
      </c>
      <c r="N24" s="169" t="str">
        <f>H24</f>
        <v>Mexico</v>
      </c>
      <c r="O24" s="214"/>
      <c r="P24" s="170">
        <f ca="1">J24*P3</f>
        <v>0</v>
      </c>
      <c r="Q24" s="170">
        <f ca="1">K24*Q3</f>
        <v>0</v>
      </c>
      <c r="R24" s="170">
        <f ca="1">L24*R3</f>
        <v>0</v>
      </c>
      <c r="S24" s="171">
        <f ca="1">SUM(O24:R24)</f>
        <v>0</v>
      </c>
      <c r="T24" s="169" t="str">
        <f>N24</f>
        <v>Mexico</v>
      </c>
      <c r="U24" s="214"/>
      <c r="V24" s="170">
        <f ca="1">P24*V3</f>
        <v>0</v>
      </c>
      <c r="W24" s="170">
        <f ca="1">Q24*W3</f>
        <v>0</v>
      </c>
      <c r="X24" s="170">
        <f ca="1">R24*X3</f>
        <v>0</v>
      </c>
      <c r="Y24" s="171">
        <f ca="1">SUM(U24:X24)</f>
        <v>0</v>
      </c>
    </row>
    <row r="25" spans="1:25" x14ac:dyDescent="0.25">
      <c r="A25" s="143"/>
      <c r="B25" s="163" t="str">
        <f>C2</f>
        <v>South Africa</v>
      </c>
      <c r="C25" s="164">
        <f>IF(G37="",0,G37)</f>
        <v>0</v>
      </c>
      <c r="D25" s="209"/>
      <c r="E25" s="164">
        <f ca="1">IF(F41="",0,F41)</f>
        <v>0</v>
      </c>
      <c r="F25" s="164">
        <f ca="1">IF(G40="",0,G40)</f>
        <v>3</v>
      </c>
      <c r="G25" s="165">
        <f ca="1">SUM(C25:F25)</f>
        <v>3</v>
      </c>
      <c r="H25" s="169" t="str">
        <f t="shared" ref="H25:H27" si="27">B25</f>
        <v>South Africa</v>
      </c>
      <c r="I25" s="170">
        <f ca="1">C25*I4</f>
        <v>0</v>
      </c>
      <c r="J25" s="214"/>
      <c r="K25" s="170">
        <f ca="1">E25*K4</f>
        <v>0</v>
      </c>
      <c r="L25" s="170">
        <f ca="1">F25*L4</f>
        <v>0</v>
      </c>
      <c r="M25" s="171">
        <f ca="1">SUM(I25:L25)</f>
        <v>0</v>
      </c>
      <c r="N25" s="169" t="str">
        <f t="shared" ref="N25:N27" si="28">H25</f>
        <v>South Africa</v>
      </c>
      <c r="O25" s="170">
        <f ca="1">I25*O4</f>
        <v>0</v>
      </c>
      <c r="P25" s="214"/>
      <c r="Q25" s="170">
        <f ca="1">K25*Q4</f>
        <v>0</v>
      </c>
      <c r="R25" s="170">
        <f ca="1">L25*R4</f>
        <v>0</v>
      </c>
      <c r="S25" s="171">
        <f ca="1">SUM(O25:R25)</f>
        <v>0</v>
      </c>
      <c r="T25" s="169" t="str">
        <f t="shared" ref="T25:T27" si="29">N25</f>
        <v>South Africa</v>
      </c>
      <c r="U25" s="170">
        <f ca="1">O25*U4</f>
        <v>0</v>
      </c>
      <c r="V25" s="214"/>
      <c r="W25" s="170">
        <f ca="1">Q25*W4</f>
        <v>0</v>
      </c>
      <c r="X25" s="170">
        <f ca="1">R25*X4</f>
        <v>0</v>
      </c>
      <c r="Y25" s="171">
        <f ca="1">SUM(U25:X25)</f>
        <v>0</v>
      </c>
    </row>
    <row r="26" spans="1:25" x14ac:dyDescent="0.25">
      <c r="A26" s="143"/>
      <c r="B26" s="163" t="str">
        <f>D2</f>
        <v>Korea Republic</v>
      </c>
      <c r="C26" s="164">
        <f ca="1">IF(G39="",0,G39)</f>
        <v>2</v>
      </c>
      <c r="D26" s="164">
        <f ca="1">IF(G41="",0,G41)</f>
        <v>1</v>
      </c>
      <c r="E26" s="209"/>
      <c r="F26" s="164">
        <f>IF(F38="",0,F38)</f>
        <v>2</v>
      </c>
      <c r="G26" s="165">
        <f ca="1">SUM(C26:F26)</f>
        <v>5</v>
      </c>
      <c r="H26" s="169" t="str">
        <f t="shared" si="27"/>
        <v>Korea Republic</v>
      </c>
      <c r="I26" s="170">
        <f ca="1">C26*I5</f>
        <v>0</v>
      </c>
      <c r="J26" s="170">
        <f ca="1">D26*J5</f>
        <v>0</v>
      </c>
      <c r="K26" s="214"/>
      <c r="L26" s="170">
        <f ca="1">F26*L5</f>
        <v>0</v>
      </c>
      <c r="M26" s="171">
        <f ca="1">SUM(I26:L26)</f>
        <v>0</v>
      </c>
      <c r="N26" s="169" t="str">
        <f t="shared" si="28"/>
        <v>Korea Republic</v>
      </c>
      <c r="O26" s="170">
        <f ca="1">I26*O5</f>
        <v>0</v>
      </c>
      <c r="P26" s="170">
        <f ca="1">J26*P5</f>
        <v>0</v>
      </c>
      <c r="Q26" s="214"/>
      <c r="R26" s="170">
        <f ca="1">L26*R5</f>
        <v>0</v>
      </c>
      <c r="S26" s="171">
        <f ca="1">SUM(O26:R26)</f>
        <v>0</v>
      </c>
      <c r="T26" s="169" t="str">
        <f t="shared" si="29"/>
        <v>Korea Republic</v>
      </c>
      <c r="U26" s="170">
        <f ca="1">O26*U5</f>
        <v>0</v>
      </c>
      <c r="V26" s="170">
        <f ca="1">P26*V5</f>
        <v>0</v>
      </c>
      <c r="W26" s="214"/>
      <c r="X26" s="170">
        <f ca="1">R26*X5</f>
        <v>0</v>
      </c>
      <c r="Y26" s="171">
        <f ca="1">SUM(U26:X26)</f>
        <v>0</v>
      </c>
    </row>
    <row r="27" spans="1:25" x14ac:dyDescent="0.25">
      <c r="A27" s="143"/>
      <c r="B27" s="166" t="str">
        <f>E2</f>
        <v>Czechia</v>
      </c>
      <c r="C27" s="167">
        <f ca="1">IF(F42="",0,F42)</f>
        <v>0</v>
      </c>
      <c r="D27" s="167">
        <f ca="1">IF(F40="",0,F40)</f>
        <v>2</v>
      </c>
      <c r="E27" s="167">
        <f>IF(G38="",0,G38)</f>
        <v>1</v>
      </c>
      <c r="F27" s="210"/>
      <c r="G27" s="168">
        <f ca="1">SUM(C27:F27)</f>
        <v>3</v>
      </c>
      <c r="H27" s="172" t="str">
        <f t="shared" si="27"/>
        <v>Czechia</v>
      </c>
      <c r="I27" s="173">
        <f ca="1">C27*I6</f>
        <v>0</v>
      </c>
      <c r="J27" s="173">
        <f ca="1">D27*J6</f>
        <v>0</v>
      </c>
      <c r="K27" s="173">
        <f ca="1">E27*K6</f>
        <v>0</v>
      </c>
      <c r="L27" s="215"/>
      <c r="M27" s="174">
        <f ca="1">SUM(I27:L27)</f>
        <v>0</v>
      </c>
      <c r="N27" s="172" t="str">
        <f t="shared" si="28"/>
        <v>Czechia</v>
      </c>
      <c r="O27" s="173">
        <f ca="1">I27*O6</f>
        <v>0</v>
      </c>
      <c r="P27" s="173">
        <f ca="1">J27*P6</f>
        <v>0</v>
      </c>
      <c r="Q27" s="173">
        <f ca="1">K27*Q6</f>
        <v>0</v>
      </c>
      <c r="R27" s="215"/>
      <c r="S27" s="174">
        <f ca="1">SUM(O27:R27)</f>
        <v>0</v>
      </c>
      <c r="T27" s="172" t="str">
        <f t="shared" si="29"/>
        <v>Czechia</v>
      </c>
      <c r="U27" s="173">
        <f ca="1">O27*U6</f>
        <v>0</v>
      </c>
      <c r="V27" s="173">
        <f ca="1">P27*V6</f>
        <v>0</v>
      </c>
      <c r="W27" s="173">
        <f ca="1">Q27*W6</f>
        <v>0</v>
      </c>
      <c r="X27" s="215"/>
      <c r="Y27" s="174">
        <f ca="1">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300" t="s">
        <v>669</v>
      </c>
      <c r="E29" s="300" t="s">
        <v>670</v>
      </c>
      <c r="F29" s="300" t="s">
        <v>671</v>
      </c>
      <c r="G29" s="232" t="s">
        <v>631</v>
      </c>
      <c r="H29" s="232" t="s">
        <v>632</v>
      </c>
      <c r="I29" s="232" t="s">
        <v>633</v>
      </c>
      <c r="J29" s="232" t="s">
        <v>676</v>
      </c>
      <c r="K29" s="232" t="s">
        <v>411</v>
      </c>
      <c r="L29" s="232" t="s">
        <v>661</v>
      </c>
      <c r="M29" s="232" t="s">
        <v>634</v>
      </c>
      <c r="N29" s="233" t="s">
        <v>635</v>
      </c>
    </row>
    <row r="30" spans="1:25" x14ac:dyDescent="0.25">
      <c r="A30" s="234">
        <f ca="1">N30</f>
        <v>2</v>
      </c>
      <c r="B30" s="235" t="str">
        <f>B2</f>
        <v>Mexico</v>
      </c>
      <c r="C30" s="236">
        <v>3</v>
      </c>
      <c r="D30" s="236">
        <f ca="1">COUNTIF(FWinners,B30)</f>
        <v>2</v>
      </c>
      <c r="E30" s="236">
        <f ca="1">COUNTIF(FDraws,"D"&amp;B30)</f>
        <v>0</v>
      </c>
      <c r="F30" s="236">
        <f ca="1">COUNTIF(FLosers,B30)</f>
        <v>1</v>
      </c>
      <c r="G30" s="236">
        <f ca="1">F37+F39+G42</f>
        <v>3</v>
      </c>
      <c r="H30" s="236">
        <f ca="1">G37+G39+F42</f>
        <v>2</v>
      </c>
      <c r="I30" s="236">
        <f ca="1">G30-H30</f>
        <v>1</v>
      </c>
      <c r="J30" s="237">
        <f ca="1">Z10</f>
        <v>3</v>
      </c>
      <c r="K30" s="236">
        <f>VLOOKUP($B30,Lookup10,11,FALSE)</f>
        <v>5</v>
      </c>
      <c r="L30" s="236">
        <f>VLOOKUP($B30,Lookup11,2,FALSE)</f>
        <v>13</v>
      </c>
      <c r="M30" s="238">
        <f ca="1">ROUND(G30*G$34+I30*I$34+J30*J$34-K30*K$34-L30*L$34,8)</f>
        <v>30102.948700000001</v>
      </c>
      <c r="N30" s="239">
        <f ca="1">RANK(M30,M$30:M$33,0)</f>
        <v>2</v>
      </c>
    </row>
    <row r="31" spans="1:25" x14ac:dyDescent="0.25">
      <c r="A31" s="234">
        <f ca="1">N31</f>
        <v>3</v>
      </c>
      <c r="B31" s="235" t="str">
        <f>C2</f>
        <v>South Africa</v>
      </c>
      <c r="C31" s="236">
        <v>3</v>
      </c>
      <c r="D31" s="236">
        <f ca="1">COUNTIF(FWinners,B31)</f>
        <v>1</v>
      </c>
      <c r="E31" s="236">
        <f ca="1">COUNTIF(FDraws,"D"&amp;B31)</f>
        <v>0</v>
      </c>
      <c r="F31" s="236">
        <f ca="1">COUNTIF(FLosers,B31)</f>
        <v>2</v>
      </c>
      <c r="G31" s="236">
        <f ca="1">G37+G40+F41</f>
        <v>3</v>
      </c>
      <c r="H31" s="236">
        <f ca="1">F37+F40+G41</f>
        <v>5</v>
      </c>
      <c r="I31" s="236">
        <f t="shared" ref="I31:I33" ca="1" si="30">G31-H31</f>
        <v>-2</v>
      </c>
      <c r="J31" s="237">
        <f ca="1">Z11</f>
        <v>2</v>
      </c>
      <c r="K31" s="236">
        <f>VLOOKUP($B31,Lookup10,11,FALSE)</f>
        <v>10</v>
      </c>
      <c r="L31" s="236">
        <f>VLOOKUP($B31,Lookup11,2,FALSE)</f>
        <v>40</v>
      </c>
      <c r="M31" s="238">
        <f ca="1">ROUND(G31*G$34+I31*I$34+J31*J$34-K31*K$34-L31*L$34,8)</f>
        <v>19802.896000000001</v>
      </c>
      <c r="N31" s="239">
        <f ca="1">RANK(M31,M$30:M$33,0)</f>
        <v>3</v>
      </c>
    </row>
    <row r="32" spans="1:25" x14ac:dyDescent="0.25">
      <c r="A32" s="234">
        <f ca="1">N32</f>
        <v>1</v>
      </c>
      <c r="B32" s="235" t="str">
        <f>D2</f>
        <v>Korea Republic</v>
      </c>
      <c r="C32" s="236">
        <v>3</v>
      </c>
      <c r="D32" s="236">
        <f ca="1">COUNTIF(FWinners,B32)</f>
        <v>3</v>
      </c>
      <c r="E32" s="236">
        <f ca="1">COUNTIF(FDraws,"D"&amp;B32)</f>
        <v>0</v>
      </c>
      <c r="F32" s="236">
        <f ca="1">COUNTIF(FLosers,B32)</f>
        <v>0</v>
      </c>
      <c r="G32" s="236">
        <f ca="1">F38+G39+G41</f>
        <v>5</v>
      </c>
      <c r="H32" s="236">
        <f ca="1">G38+F39+F41</f>
        <v>1</v>
      </c>
      <c r="I32" s="236">
        <f t="shared" ca="1" si="30"/>
        <v>4</v>
      </c>
      <c r="J32" s="237">
        <f ca="1">Z12</f>
        <v>4</v>
      </c>
      <c r="K32" s="236">
        <f>VLOOKUP($B32,Lookup10,11,FALSE)</f>
        <v>1</v>
      </c>
      <c r="L32" s="236">
        <f>VLOOKUP($B32,Lookup11,2,FALSE)</f>
        <v>23</v>
      </c>
      <c r="M32" s="238">
        <f ca="1">ROUND(G32*G$34+I32*I$34+J32*J$34-K32*K$34-L32*L$34,8)</f>
        <v>40404.987699999998</v>
      </c>
      <c r="N32" s="239">
        <f ca="1">RANK(M32,M$30:M$33,0)</f>
        <v>1</v>
      </c>
    </row>
    <row r="33" spans="1:16" x14ac:dyDescent="0.25">
      <c r="A33" s="234">
        <f ca="1">N33</f>
        <v>4</v>
      </c>
      <c r="B33" s="235" t="str">
        <f>E2</f>
        <v>Czechia</v>
      </c>
      <c r="C33" s="236">
        <v>3</v>
      </c>
      <c r="D33" s="236">
        <f ca="1">COUNTIF(FWinners,B33)</f>
        <v>0</v>
      </c>
      <c r="E33" s="236">
        <f ca="1">COUNTIF(FDraws,"D"&amp;B33)</f>
        <v>0</v>
      </c>
      <c r="F33" s="236">
        <f ca="1">COUNTIF(FLosers,B33)</f>
        <v>3</v>
      </c>
      <c r="G33" s="236">
        <f ca="1">G38+F40+F42</f>
        <v>3</v>
      </c>
      <c r="H33" s="236">
        <f ca="1">F38+G40+G42</f>
        <v>6</v>
      </c>
      <c r="I33" s="236">
        <f t="shared" ca="1" si="30"/>
        <v>-3</v>
      </c>
      <c r="J33" s="237">
        <f ca="1">Z13</f>
        <v>1</v>
      </c>
      <c r="K33" s="236">
        <f>VLOOKUP($B33,Lookup10,11,FALSE)</f>
        <v>0</v>
      </c>
      <c r="L33" s="236">
        <f>VLOOKUP($B33,Lookup11,2,FALSE)</f>
        <v>32</v>
      </c>
      <c r="M33" s="238">
        <f ca="1">ROUND(G33*G$34+I33*I$34+J33*J$34-K33*K$34-L33*L$34,8)</f>
        <v>9702.9968000000008</v>
      </c>
      <c r="N33" s="239">
        <f ca="1">RANK(M33,M$30:M$33,0)</f>
        <v>4</v>
      </c>
    </row>
    <row r="34" spans="1:16" x14ac:dyDescent="0.25">
      <c r="A34" s="240"/>
      <c r="B34" s="241" t="s">
        <v>636</v>
      </c>
      <c r="C34" s="242">
        <f>SUM(C30:C33)</f>
        <v>12</v>
      </c>
      <c r="D34" s="242"/>
      <c r="E34" s="242"/>
      <c r="F34" s="242"/>
      <c r="G34" s="205">
        <v>1</v>
      </c>
      <c r="H34" s="205"/>
      <c r="I34" s="205">
        <v>100</v>
      </c>
      <c r="J34" s="205">
        <v>10000</v>
      </c>
      <c r="K34" s="205">
        <v>0.01</v>
      </c>
      <c r="L34" s="205">
        <v>1E-4</v>
      </c>
      <c r="M34" s="242"/>
      <c r="N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MexicoSouth Africa</v>
      </c>
      <c r="B37" s="158" t="str">
        <f>B1&amp;C1</f>
        <v>A1A2</v>
      </c>
      <c r="C37" s="158">
        <v>1</v>
      </c>
      <c r="D37" s="150" t="str">
        <f>B2</f>
        <v>Mexico</v>
      </c>
      <c r="E37" s="150" t="str">
        <f>C2</f>
        <v>South Africa</v>
      </c>
      <c r="F37" s="158">
        <f t="shared" ref="F37:F42" si="31">VLOOKUP($B37,Lookup18,6,FALSE)</f>
        <v>2</v>
      </c>
      <c r="G37" s="158">
        <f t="shared" ref="G37:G42" si="32">VLOOKUP($B37,Lookup18,8,FALSE)</f>
        <v>0</v>
      </c>
      <c r="H37" s="158">
        <f t="shared" ref="H37:H42" si="33">IF(C37=0,0,IF(F37&lt;G37,Lpts,IF(F37&gt;G37,Wpts,Dpts)))</f>
        <v>3</v>
      </c>
      <c r="I37" s="158">
        <f t="shared" ref="I37:I42" si="34">IF(C37=0,0,IF(G37&lt;F37,Lpts,IF(G37&gt;F37,Wpts,Dpts)))</f>
        <v>0</v>
      </c>
      <c r="J37" s="158">
        <f t="shared" ref="J37:K42" si="35">IF(VLOOKUP($B37,Lookup12,4,FALSE)="",0,VLOOKUP($B37,Lookup12,4,FALSE))</f>
        <v>5</v>
      </c>
      <c r="K37" s="158">
        <f t="shared" si="35"/>
        <v>5</v>
      </c>
      <c r="L37" s="143"/>
      <c r="M37" s="143"/>
      <c r="N37" s="143"/>
      <c r="O37" s="143"/>
      <c r="P37" s="143"/>
    </row>
    <row r="38" spans="1:16" x14ac:dyDescent="0.25">
      <c r="A38" s="149" t="str">
        <f>D2&amp;E2</f>
        <v>Korea RepublicCzechia</v>
      </c>
      <c r="B38" s="158" t="str">
        <f>D1&amp;E1</f>
        <v>A3A4</v>
      </c>
      <c r="C38" s="158">
        <v>1</v>
      </c>
      <c r="D38" s="150" t="str">
        <f>D2</f>
        <v>Korea Republic</v>
      </c>
      <c r="E38" s="150" t="str">
        <f>E2</f>
        <v>Czechia</v>
      </c>
      <c r="F38" s="158">
        <f t="shared" si="31"/>
        <v>2</v>
      </c>
      <c r="G38" s="158">
        <f t="shared" si="32"/>
        <v>1</v>
      </c>
      <c r="H38" s="158">
        <f t="shared" si="33"/>
        <v>3</v>
      </c>
      <c r="I38" s="158">
        <f t="shared" si="34"/>
        <v>0</v>
      </c>
      <c r="J38" s="158">
        <f t="shared" si="35"/>
        <v>1</v>
      </c>
      <c r="K38" s="158">
        <f t="shared" si="35"/>
        <v>1</v>
      </c>
      <c r="L38" s="143"/>
      <c r="M38" s="143"/>
      <c r="N38" s="143"/>
      <c r="O38" s="143"/>
      <c r="P38" s="143"/>
    </row>
    <row r="39" spans="1:16" x14ac:dyDescent="0.25">
      <c r="A39" s="149" t="str">
        <f>B2&amp;D2</f>
        <v>MexicoKorea Republic</v>
      </c>
      <c r="B39" s="158" t="str">
        <f>B1&amp;D1</f>
        <v>A1A3</v>
      </c>
      <c r="C39" s="158">
        <v>1</v>
      </c>
      <c r="D39" s="150" t="str">
        <f>B2</f>
        <v>Mexico</v>
      </c>
      <c r="E39" s="150" t="str">
        <f>D2</f>
        <v>Korea Republic</v>
      </c>
      <c r="F39" s="158">
        <f t="shared" ca="1" si="31"/>
        <v>0</v>
      </c>
      <c r="G39" s="158">
        <f t="shared" ca="1" si="32"/>
        <v>2</v>
      </c>
      <c r="H39" s="158">
        <f t="shared" ca="1" si="33"/>
        <v>0</v>
      </c>
      <c r="I39" s="158">
        <f t="shared" ca="1" si="34"/>
        <v>3</v>
      </c>
      <c r="J39" s="158">
        <f t="shared" si="35"/>
        <v>0</v>
      </c>
      <c r="K39" s="158">
        <f t="shared" si="35"/>
        <v>0</v>
      </c>
      <c r="L39" s="143"/>
      <c r="M39" s="143"/>
      <c r="N39" s="143"/>
      <c r="O39" s="143"/>
      <c r="P39" s="143"/>
    </row>
    <row r="40" spans="1:16" x14ac:dyDescent="0.25">
      <c r="A40" s="149" t="str">
        <f>E2&amp;C2</f>
        <v>CzechiaSouth Africa</v>
      </c>
      <c r="B40" s="158" t="str">
        <f>E1&amp;C1</f>
        <v>A4A2</v>
      </c>
      <c r="C40" s="158">
        <v>1</v>
      </c>
      <c r="D40" s="150" t="str">
        <f>E2</f>
        <v>Czechia</v>
      </c>
      <c r="E40" s="150" t="str">
        <f>C2</f>
        <v>South Africa</v>
      </c>
      <c r="F40" s="158">
        <f t="shared" ca="1" si="31"/>
        <v>2</v>
      </c>
      <c r="G40" s="158">
        <f t="shared" ca="1" si="32"/>
        <v>3</v>
      </c>
      <c r="H40" s="158">
        <f t="shared" ca="1" si="33"/>
        <v>0</v>
      </c>
      <c r="I40" s="158">
        <f t="shared" ca="1" si="34"/>
        <v>3</v>
      </c>
      <c r="J40" s="158">
        <f t="shared" si="35"/>
        <v>0</v>
      </c>
      <c r="K40" s="158">
        <f t="shared" si="35"/>
        <v>0</v>
      </c>
      <c r="L40" s="143"/>
      <c r="M40" s="143"/>
      <c r="N40" s="143"/>
      <c r="O40" s="143"/>
      <c r="P40" s="143"/>
    </row>
    <row r="41" spans="1:16" x14ac:dyDescent="0.25">
      <c r="A41" s="149" t="str">
        <f>C2&amp;D2</f>
        <v>South AfricaKorea Republic</v>
      </c>
      <c r="B41" s="158" t="str">
        <f>C1&amp;D1</f>
        <v>A2A3</v>
      </c>
      <c r="C41" s="158">
        <v>1</v>
      </c>
      <c r="D41" s="150" t="str">
        <f>C2</f>
        <v>South Africa</v>
      </c>
      <c r="E41" s="150" t="str">
        <f>D2</f>
        <v>Korea Republic</v>
      </c>
      <c r="F41" s="158">
        <f t="shared" ca="1" si="31"/>
        <v>0</v>
      </c>
      <c r="G41" s="158">
        <f t="shared" ca="1" si="32"/>
        <v>1</v>
      </c>
      <c r="H41" s="158">
        <f t="shared" ca="1" si="33"/>
        <v>0</v>
      </c>
      <c r="I41" s="158">
        <f t="shared" ca="1" si="34"/>
        <v>3</v>
      </c>
      <c r="J41" s="158">
        <f t="shared" si="35"/>
        <v>0</v>
      </c>
      <c r="K41" s="158">
        <f t="shared" si="35"/>
        <v>0</v>
      </c>
      <c r="L41" s="143"/>
      <c r="M41" s="143"/>
      <c r="N41" s="143"/>
      <c r="O41" s="143"/>
      <c r="P41" s="143"/>
    </row>
    <row r="42" spans="1:16" x14ac:dyDescent="0.25">
      <c r="A42" s="151" t="str">
        <f>E2&amp;B2</f>
        <v>CzechiaMexico</v>
      </c>
      <c r="B42" s="159" t="str">
        <f>E1&amp;B1</f>
        <v>A4A1</v>
      </c>
      <c r="C42" s="159">
        <v>1</v>
      </c>
      <c r="D42" s="152" t="str">
        <f>E2</f>
        <v>Czechia</v>
      </c>
      <c r="E42" s="152" t="str">
        <f>B2</f>
        <v>Mexico</v>
      </c>
      <c r="F42" s="159">
        <f t="shared" ca="1" si="31"/>
        <v>0</v>
      </c>
      <c r="G42" s="159">
        <f t="shared" ca="1" si="32"/>
        <v>1</v>
      </c>
      <c r="H42" s="159">
        <f t="shared" ca="1" si="33"/>
        <v>0</v>
      </c>
      <c r="I42" s="159">
        <f t="shared" ca="1" si="34"/>
        <v>3</v>
      </c>
      <c r="J42" s="159">
        <f t="shared" si="35"/>
        <v>0</v>
      </c>
      <c r="K42" s="159">
        <f t="shared" si="35"/>
        <v>0</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 ca="1">$B45</f>
        <v>Korea Republic</v>
      </c>
      <c r="M44" s="154" t="str">
        <f ca="1">$B46</f>
        <v>Mexico</v>
      </c>
      <c r="N44" s="154" t="str">
        <f ca="1">$B47</f>
        <v>South Africa</v>
      </c>
      <c r="O44" s="154" t="str">
        <f ca="1">$B48</f>
        <v>Czechia</v>
      </c>
      <c r="P44" s="155"/>
    </row>
    <row r="45" spans="1:16" x14ac:dyDescent="0.25">
      <c r="A45" s="156">
        <v>1</v>
      </c>
      <c r="B45" s="156" t="str">
        <f ca="1">VLOOKUP($A45,Ranking,2,FALSE)</f>
        <v>Korea Republic</v>
      </c>
      <c r="C45" s="157">
        <v>3</v>
      </c>
      <c r="D45" s="157">
        <f ca="1">VLOOKUP($A45,Ranking,4,FALSE)</f>
        <v>3</v>
      </c>
      <c r="E45" s="157">
        <f ca="1">VLOOKUP($A45,Ranking,5,FALSE)</f>
        <v>0</v>
      </c>
      <c r="F45" s="157">
        <f ca="1">VLOOKUP($A45,Ranking,6,FALSE)</f>
        <v>0</v>
      </c>
      <c r="G45" s="157">
        <f ca="1">VLOOKUP($A45,Ranking,7,FALSE)</f>
        <v>5</v>
      </c>
      <c r="H45" s="157">
        <f ca="1">VLOOKUP($A45,Ranking,8,FALSE)</f>
        <v>1</v>
      </c>
      <c r="I45" s="157">
        <f ca="1">G45-H45</f>
        <v>4</v>
      </c>
      <c r="J45" s="157">
        <f ca="1">D45*Wpts+E45*Dpts+FGrpA!F45*Lpts</f>
        <v>9</v>
      </c>
      <c r="K45" s="201" t="str">
        <f ca="1">B45</f>
        <v>Korea Republic</v>
      </c>
      <c r="L45" s="203"/>
      <c r="M45" s="202" t="str">
        <f ca="1">IFERROR(VLOOKUP($B45&amp;M$44,A37:G42,6,FALSE)&amp;"-"&amp;VLOOKUP($B45&amp;M$44,A37:G42,7,FALSE),VLOOKUP(M$44&amp;$B45,A37:G42,7,FALSE)&amp;"-"&amp;VLOOKUP(M$44&amp;$B45,A37:G42,6,FALSE))</f>
        <v>2-0</v>
      </c>
      <c r="N45" s="202" t="str">
        <f ca="1">IFERROR(VLOOKUP($B45&amp;N$44,A37:G42,6,FALSE)&amp;"-"&amp;VLOOKUP($B45&amp;N$44,A37:G42,7,FALSE),VLOOKUP(N$44&amp;$B45,A37:G42,7,FALSE)&amp;"-"&amp;VLOOKUP(N$44&amp;$B45,A37:G42,6,FALSE))</f>
        <v>1-0</v>
      </c>
      <c r="O45" s="202" t="str">
        <f ca="1">IFERROR(VLOOKUP($B45&amp;O$44,A37:G42,6,FALSE)&amp;"-"&amp;VLOOKUP($B45&amp;O$44,A37:G42,7,FALSE),VLOOKUP(O$44&amp;$B45,A37:G42,7,FALSE)&amp;"-"&amp;VLOOKUP(O$44&amp;$B45,A37:G42,6,FALSE))</f>
        <v>2-1</v>
      </c>
      <c r="P45" s="155"/>
    </row>
    <row r="46" spans="1:16" x14ac:dyDescent="0.25">
      <c r="A46" s="156">
        <v>2</v>
      </c>
      <c r="B46" s="156" t="str">
        <f ca="1">VLOOKUP($A46,Ranking,2,FALSE)</f>
        <v>Mexico</v>
      </c>
      <c r="C46" s="157">
        <v>3</v>
      </c>
      <c r="D46" s="157">
        <f ca="1">VLOOKUP($A46,Ranking,4,FALSE)</f>
        <v>2</v>
      </c>
      <c r="E46" s="157">
        <f ca="1">VLOOKUP($A46,Ranking,5,FALSE)</f>
        <v>0</v>
      </c>
      <c r="F46" s="157">
        <f ca="1">VLOOKUP($A46,Ranking,6,FALSE)</f>
        <v>1</v>
      </c>
      <c r="G46" s="157">
        <f ca="1">VLOOKUP($A46,Ranking,7,FALSE)</f>
        <v>3</v>
      </c>
      <c r="H46" s="157">
        <f ca="1">VLOOKUP($A46,Ranking,8,FALSE)</f>
        <v>2</v>
      </c>
      <c r="I46" s="157">
        <f t="shared" ref="I46:I48" ca="1" si="36">G46-H46</f>
        <v>1</v>
      </c>
      <c r="J46" s="157">
        <f ca="1">D46*Wpts+E46*Dpts+FGrpA!F46*Lpts</f>
        <v>6</v>
      </c>
      <c r="K46" s="201" t="str">
        <f ca="1">B46</f>
        <v>Mexico</v>
      </c>
      <c r="L46" s="202" t="str">
        <f ca="1">IFERROR(VLOOKUP($B46&amp;L$44,A37:G42,6,FALSE)&amp;"-"&amp;VLOOKUP($B46&amp;L$44,A37:G42,7,FALSE),VLOOKUP(L$44&amp;$B46,A37:G42,7,FALSE)&amp;"-"&amp;VLOOKUP(L$44&amp;$B46,A37:G42,6,FALSE))</f>
        <v>0-2</v>
      </c>
      <c r="M46" s="203"/>
      <c r="N46" s="202" t="str">
        <f ca="1">IFERROR(VLOOKUP($B46&amp;N$44,A37:G42,6,FALSE)&amp;"-"&amp;VLOOKUP($B46&amp;N$44,A37:G42,7,FALSE),VLOOKUP(N$44&amp;$B46,A37:G42,7,FALSE)&amp;"-"&amp;VLOOKUP(N$44&amp;$B46,A37:G42,6,FALSE))</f>
        <v>2-0</v>
      </c>
      <c r="O46" s="202" t="str">
        <f ca="1">IFERROR(VLOOKUP($B46&amp;O$44,A37:G42,6,FALSE)&amp;"-"&amp;VLOOKUP($B46&amp;O$44,A37:G42,7,FALSE),VLOOKUP(O$44&amp;$B46,A37:G42,7,FALSE)&amp;"-"&amp;VLOOKUP(O$44&amp;$B46,A37:G42,6,FALSE))</f>
        <v>1-0</v>
      </c>
      <c r="P46" s="155"/>
    </row>
    <row r="47" spans="1:16" x14ac:dyDescent="0.25">
      <c r="A47" s="156">
        <v>3</v>
      </c>
      <c r="B47" s="156" t="str">
        <f ca="1">VLOOKUP($A47,Ranking,2,FALSE)</f>
        <v>South Africa</v>
      </c>
      <c r="C47" s="157">
        <v>3</v>
      </c>
      <c r="D47" s="157">
        <f ca="1">VLOOKUP($A47,Ranking,4,FALSE)</f>
        <v>1</v>
      </c>
      <c r="E47" s="157">
        <f ca="1">VLOOKUP($A47,Ranking,5,FALSE)</f>
        <v>0</v>
      </c>
      <c r="F47" s="157">
        <f ca="1">VLOOKUP($A47,Ranking,6,FALSE)</f>
        <v>2</v>
      </c>
      <c r="G47" s="157">
        <f ca="1">VLOOKUP($A47,Ranking,7,FALSE)</f>
        <v>3</v>
      </c>
      <c r="H47" s="157">
        <f ca="1">VLOOKUP($A47,Ranking,8,FALSE)</f>
        <v>5</v>
      </c>
      <c r="I47" s="157">
        <f t="shared" ca="1" si="36"/>
        <v>-2</v>
      </c>
      <c r="J47" s="157">
        <f ca="1">D47*Wpts+E47*Dpts+FGrpA!F47*Lpts</f>
        <v>3</v>
      </c>
      <c r="K47" s="201" t="str">
        <f ca="1">B47</f>
        <v>South Africa</v>
      </c>
      <c r="L47" s="202" t="str">
        <f ca="1">IFERROR(VLOOKUP($B47&amp;L$44,A37:G42,6,FALSE)&amp;"-"&amp;VLOOKUP($B47&amp;L$44,A37:G42,7,FALSE),VLOOKUP(L$44&amp;$B47,A37:G42,7,FALSE)&amp;"-"&amp;VLOOKUP(L$44&amp;$B47,A37:G42,6,FALSE))</f>
        <v>0-1</v>
      </c>
      <c r="M47" s="202" t="str">
        <f ca="1">IFERROR(VLOOKUP($B47&amp;M$44,A37:G42,6,FALSE)&amp;"-"&amp;VLOOKUP($B47&amp;M$44,A37:G42,7,FALSE),VLOOKUP(M$44&amp;$B47,A37:G42,7,FALSE)&amp;"-"&amp;VLOOKUP(M$44&amp;$B47,A37:G42,6,FALSE))</f>
        <v>0-2</v>
      </c>
      <c r="N47" s="203"/>
      <c r="O47" s="202" t="str">
        <f ca="1">IFERROR(VLOOKUP($B47&amp;O$44,A37:G42,6,FALSE)&amp;"-"&amp;VLOOKUP($B47&amp;O$44,A37:G42,7,FALSE),VLOOKUP(O$44&amp;$B47,A37:G42,7,FALSE)&amp;"-"&amp;VLOOKUP(O$44&amp;$B47,A37:G42,6,FALSE))</f>
        <v>3-2</v>
      </c>
      <c r="P47" s="155"/>
    </row>
    <row r="48" spans="1:16" x14ac:dyDescent="0.25">
      <c r="A48" s="156">
        <v>4</v>
      </c>
      <c r="B48" s="156" t="str">
        <f ca="1">VLOOKUP($A48,Ranking,2,FALSE)</f>
        <v>Czechia</v>
      </c>
      <c r="C48" s="157">
        <v>3</v>
      </c>
      <c r="D48" s="157">
        <f ca="1">VLOOKUP($A48,Ranking,4,FALSE)</f>
        <v>0</v>
      </c>
      <c r="E48" s="157">
        <f ca="1">VLOOKUP($A48,Ranking,5,FALSE)</f>
        <v>0</v>
      </c>
      <c r="F48" s="157">
        <f ca="1">VLOOKUP($A48,Ranking,6,FALSE)</f>
        <v>3</v>
      </c>
      <c r="G48" s="157">
        <f ca="1">VLOOKUP($A48,Ranking,7,FALSE)</f>
        <v>3</v>
      </c>
      <c r="H48" s="157">
        <f ca="1">VLOOKUP($A48,Ranking,8,FALSE)</f>
        <v>6</v>
      </c>
      <c r="I48" s="157">
        <f t="shared" ca="1" si="36"/>
        <v>-3</v>
      </c>
      <c r="J48" s="157">
        <f ca="1">D48*Wpts+E48*Dpts+FGrpA!F48*Lpts</f>
        <v>0</v>
      </c>
      <c r="K48" s="201" t="str">
        <f ca="1">B48</f>
        <v>Czechia</v>
      </c>
      <c r="L48" s="202" t="str">
        <f ca="1">IFERROR(VLOOKUP($B48&amp;L$44,A37:G42,6,FALSE)&amp;"-"&amp;VLOOKUP($B48&amp;L$44,A37:G42,7,FALSE),VLOOKUP(L$44&amp;$B48,A37:G42,7,FALSE)&amp;"-"&amp;VLOOKUP(L$44&amp;$B48,A37:G42,6,FALSE))</f>
        <v>1-2</v>
      </c>
      <c r="M48" s="202" t="str">
        <f ca="1">IFERROR(VLOOKUP($B48&amp;M$44,A37:G42,6,FALSE)&amp;"-"&amp;VLOOKUP($B48&amp;M$44,A37:G42,7,FALSE),VLOOKUP(M$44&amp;$B48,A37:G42,7,FALSE)&amp;"-"&amp;VLOOKUP(M$44&amp;$B48,A37:G42,6,FALSE))</f>
        <v>0-1</v>
      </c>
      <c r="N48" s="202" t="str">
        <f ca="1">IFERROR(VLOOKUP($B48&amp;N$44,A37:G42,6,FALSE)&amp;"-"&amp;VLOOKUP($B48&amp;N$44,A37:G42,7,FALSE),VLOOKUP(N$44&amp;$B48,A37:G42,7,FALSE)&amp;"-"&amp;VLOOKUP(N$44&amp;$B48,A37:G42,6,FALSE))</f>
        <v>2-3</v>
      </c>
      <c r="O48" s="203"/>
      <c r="P48" s="155"/>
    </row>
    <row r="49" spans="1:16" x14ac:dyDescent="0.25">
      <c r="A49" s="143"/>
      <c r="B49" s="143"/>
      <c r="C49" s="461">
        <f>SUM(C45:C48)</f>
        <v>12</v>
      </c>
      <c r="D49" s="143"/>
      <c r="E49" s="143"/>
      <c r="F49" s="143"/>
      <c r="G49" s="143"/>
      <c r="H49" s="143"/>
      <c r="I49" s="143"/>
      <c r="J49" s="143"/>
      <c r="K49" s="143"/>
      <c r="L49" s="143"/>
      <c r="M49" s="143"/>
      <c r="N49" s="143"/>
      <c r="O49" s="143"/>
      <c r="P49" s="143"/>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254C9-036F-4DBB-868E-EEA142CD5F44}">
  <sheetPr>
    <tabColor rgb="FF7030A0"/>
  </sheetPr>
  <dimension ref="A1:Z49"/>
  <sheetViews>
    <sheetView workbookViewId="0">
      <pane ySplit="2" topLeftCell="A19"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28" t="s">
        <v>320</v>
      </c>
      <c r="B1" s="216" t="str">
        <f>A2&amp;1</f>
        <v>J1</v>
      </c>
      <c r="C1" s="216" t="str">
        <f>A2&amp;2</f>
        <v>J2</v>
      </c>
      <c r="D1" s="216" t="str">
        <f>A2&amp;3</f>
        <v>J3</v>
      </c>
      <c r="E1" s="216" t="str">
        <f>A2&amp;4</f>
        <v>J4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622</v>
      </c>
      <c r="B2" s="217" t="str">
        <f>VLOOKUP(B1,Lookup08,2,FALSE)</f>
        <v>Argentina</v>
      </c>
      <c r="C2" s="217" t="str">
        <f>VLOOKUP(C1,Lookup08,2,FALSE)</f>
        <v>Algeria</v>
      </c>
      <c r="D2" s="217" t="str">
        <f>VLOOKUP(D1,Lookup08,2,FALSE)</f>
        <v>Austria</v>
      </c>
      <c r="E2" s="217" t="str">
        <f>VLOOKUP(E1,Lookup08,2,FALSE)</f>
        <v>Jordan</v>
      </c>
      <c r="F2" s="144"/>
      <c r="G2" s="144"/>
      <c r="H2" s="195"/>
      <c r="I2" s="196" t="str">
        <f>B2</f>
        <v>Argentina</v>
      </c>
      <c r="J2" s="196" t="str">
        <f>C2</f>
        <v>Algeria</v>
      </c>
      <c r="K2" s="196" t="str">
        <f>D2</f>
        <v>Austria</v>
      </c>
      <c r="L2" s="196" t="str">
        <f>E2</f>
        <v>Jordan</v>
      </c>
      <c r="M2" s="197" t="s">
        <v>26</v>
      </c>
      <c r="N2" s="195"/>
      <c r="O2" s="196" t="str">
        <f>I2</f>
        <v>Argentina</v>
      </c>
      <c r="P2" s="196" t="str">
        <f t="shared" ref="P2:R2" si="0">J2</f>
        <v>Algeria</v>
      </c>
      <c r="Q2" s="196" t="str">
        <f t="shared" si="0"/>
        <v>Austria</v>
      </c>
      <c r="R2" s="196" t="str">
        <f t="shared" si="0"/>
        <v>Jordan</v>
      </c>
      <c r="S2" s="197" t="s">
        <v>26</v>
      </c>
      <c r="T2" s="195"/>
      <c r="U2" s="196" t="str">
        <f>O2</f>
        <v>Argentina</v>
      </c>
      <c r="V2" s="196" t="str">
        <f t="shared" ref="V2:X2" si="1">P2</f>
        <v>Algeria</v>
      </c>
      <c r="W2" s="196" t="str">
        <f t="shared" si="1"/>
        <v>Austria</v>
      </c>
      <c r="X2" s="196" t="str">
        <f t="shared" si="1"/>
        <v>Jordan</v>
      </c>
      <c r="Y2" s="197" t="s">
        <v>26</v>
      </c>
    </row>
    <row r="3" spans="1:26" x14ac:dyDescent="0.25">
      <c r="A3" s="144"/>
      <c r="B3" s="144"/>
      <c r="C3" s="144"/>
      <c r="F3" s="144"/>
      <c r="G3" s="144"/>
      <c r="H3" s="195" t="str">
        <f>B2</f>
        <v>Argentina</v>
      </c>
      <c r="I3" s="211"/>
      <c r="J3" s="196">
        <f ca="1">IF(G10=G11,1,0)</f>
        <v>0</v>
      </c>
      <c r="K3" s="196">
        <f ca="1">IF(G10=G12,1,0)</f>
        <v>1</v>
      </c>
      <c r="L3" s="196">
        <f ca="1">IF(G10=G13,1,0)</f>
        <v>0</v>
      </c>
      <c r="M3" s="197">
        <f ca="1">SUM(I3:L3)</f>
        <v>1</v>
      </c>
      <c r="N3" s="195" t="str">
        <f>H3</f>
        <v>Argentina</v>
      </c>
      <c r="O3" s="211"/>
      <c r="P3" s="196">
        <f ca="1">IF(M10=M11,1,0)</f>
        <v>0</v>
      </c>
      <c r="Q3" s="196">
        <f ca="1">IF(M10=M12,1,0)</f>
        <v>1</v>
      </c>
      <c r="R3" s="196">
        <f ca="1">IF(M10=M13,1,0)</f>
        <v>0</v>
      </c>
      <c r="S3" s="197">
        <f ca="1">SUM(O3:R3)</f>
        <v>1</v>
      </c>
      <c r="T3" s="195" t="str">
        <f>N3</f>
        <v>Argentina</v>
      </c>
      <c r="U3" s="211"/>
      <c r="V3" s="196">
        <f ca="1">IF(S10=S11,1,0)</f>
        <v>0</v>
      </c>
      <c r="W3" s="196">
        <f ca="1">IF(S10=S12,1,0)</f>
        <v>1</v>
      </c>
      <c r="X3" s="196">
        <f ca="1">IF(S10=S13,1,0)</f>
        <v>0</v>
      </c>
      <c r="Y3" s="197">
        <f ca="1">SUM(U3:X3)</f>
        <v>1</v>
      </c>
    </row>
    <row r="4" spans="1:26" x14ac:dyDescent="0.25">
      <c r="A4" s="144"/>
      <c r="B4" s="144"/>
      <c r="C4" s="144"/>
      <c r="F4" s="144"/>
      <c r="G4" s="144"/>
      <c r="H4" s="195" t="str">
        <f>C2</f>
        <v>Algeria</v>
      </c>
      <c r="I4" s="196">
        <f ca="1">IF(G11=G10,1,0)</f>
        <v>0</v>
      </c>
      <c r="J4" s="211"/>
      <c r="K4" s="196">
        <f ca="1">IF(G11=G12,1,0)</f>
        <v>0</v>
      </c>
      <c r="L4" s="196">
        <f ca="1">IF(G11=G13,1,0)</f>
        <v>0</v>
      </c>
      <c r="M4" s="197">
        <f ca="1">SUM(I4:L4)</f>
        <v>0</v>
      </c>
      <c r="N4" s="195" t="str">
        <f t="shared" ref="N4:N6" si="2">H4</f>
        <v>Algeria</v>
      </c>
      <c r="O4" s="196">
        <f ca="1">IF(M11=M10,1,0)</f>
        <v>0</v>
      </c>
      <c r="P4" s="211"/>
      <c r="Q4" s="196">
        <f ca="1">IF(M11=M12,1,0)</f>
        <v>0</v>
      </c>
      <c r="R4" s="196">
        <f ca="1">IF(M11=M13,1,0)</f>
        <v>0</v>
      </c>
      <c r="S4" s="197">
        <f ca="1">SUM(O4:R4)</f>
        <v>0</v>
      </c>
      <c r="T4" s="195" t="str">
        <f t="shared" ref="T4:T6" si="3">N4</f>
        <v>Algeria</v>
      </c>
      <c r="U4" s="196">
        <f ca="1">IF(S11=S10,1,0)</f>
        <v>0</v>
      </c>
      <c r="V4" s="211"/>
      <c r="W4" s="196">
        <f ca="1">IF(S11=S12,1,0)</f>
        <v>0</v>
      </c>
      <c r="X4" s="196">
        <f ca="1">IF(S11=S13,1,0)</f>
        <v>0</v>
      </c>
      <c r="Y4" s="197">
        <f ca="1">SUM(U4:X4)</f>
        <v>0</v>
      </c>
    </row>
    <row r="5" spans="1:26" x14ac:dyDescent="0.25">
      <c r="A5" s="144"/>
      <c r="B5" s="144"/>
      <c r="C5" s="144"/>
      <c r="F5" s="144"/>
      <c r="G5" s="144"/>
      <c r="H5" s="195" t="str">
        <f>D2</f>
        <v>Austria</v>
      </c>
      <c r="I5" s="196">
        <f ca="1">IF(G12=G10,1,0)</f>
        <v>1</v>
      </c>
      <c r="J5" s="196">
        <f ca="1">IF(G12=G11,1,0)</f>
        <v>0</v>
      </c>
      <c r="K5" s="211"/>
      <c r="L5" s="196">
        <f ca="1">IF(G12=G13,1,0)</f>
        <v>0</v>
      </c>
      <c r="M5" s="197">
        <f ca="1">SUM(I5:L5)</f>
        <v>1</v>
      </c>
      <c r="N5" s="195" t="str">
        <f t="shared" si="2"/>
        <v>Austria</v>
      </c>
      <c r="O5" s="196">
        <f ca="1">IF(M12=M10,1,0)</f>
        <v>1</v>
      </c>
      <c r="P5" s="196">
        <f ca="1">IF(M12=M11,1,0)</f>
        <v>0</v>
      </c>
      <c r="Q5" s="211"/>
      <c r="R5" s="196">
        <f ca="1">IF(M12=M13,1,0)</f>
        <v>0</v>
      </c>
      <c r="S5" s="197">
        <f ca="1">SUM(O5:R5)</f>
        <v>1</v>
      </c>
      <c r="T5" s="195" t="str">
        <f t="shared" si="3"/>
        <v>Austria</v>
      </c>
      <c r="U5" s="196">
        <f ca="1">IF(S12=S10,1,0)</f>
        <v>1</v>
      </c>
      <c r="V5" s="196">
        <f ca="1">IF(S12=S11,1,0)</f>
        <v>0</v>
      </c>
      <c r="W5" s="211"/>
      <c r="X5" s="196">
        <f ca="1">IF(S12=S13,1,0)</f>
        <v>0</v>
      </c>
      <c r="Y5" s="197">
        <f ca="1">SUM(U5:X5)</f>
        <v>1</v>
      </c>
    </row>
    <row r="6" spans="1:26" x14ac:dyDescent="0.25">
      <c r="A6" s="144"/>
      <c r="B6" s="144"/>
      <c r="C6" s="144"/>
      <c r="F6" s="144"/>
      <c r="G6" s="144"/>
      <c r="H6" s="198" t="str">
        <f>E2</f>
        <v>Jordan</v>
      </c>
      <c r="I6" s="199">
        <f ca="1">IF(G13=G10,1,0)</f>
        <v>0</v>
      </c>
      <c r="J6" s="199">
        <f ca="1">IF(G13=G11,1,0)</f>
        <v>0</v>
      </c>
      <c r="K6" s="199">
        <f ca="1">IF(G13=G12,1,0)</f>
        <v>0</v>
      </c>
      <c r="L6" s="212"/>
      <c r="M6" s="200">
        <f ca="1">SUM(I6:L6)</f>
        <v>0</v>
      </c>
      <c r="N6" s="198" t="str">
        <f t="shared" si="2"/>
        <v>Jordan</v>
      </c>
      <c r="O6" s="199">
        <f ca="1">IF(M13=M10,1,0)</f>
        <v>0</v>
      </c>
      <c r="P6" s="199">
        <f ca="1">IF(M13=M11,1,0)</f>
        <v>0</v>
      </c>
      <c r="Q6" s="199">
        <f ca="1">IF(M13=M12,1,0)</f>
        <v>0</v>
      </c>
      <c r="R6" s="212"/>
      <c r="S6" s="200">
        <f ca="1">SUM(O6:R6)</f>
        <v>0</v>
      </c>
      <c r="T6" s="198" t="str">
        <f t="shared" si="3"/>
        <v>Jordan</v>
      </c>
      <c r="U6" s="199">
        <f ca="1">IF(S13=S10,1,0)</f>
        <v>0</v>
      </c>
      <c r="V6" s="199">
        <f ca="1">IF(S13=S11,1,0)</f>
        <v>0</v>
      </c>
      <c r="W6" s="199">
        <f ca="1">IF(S13=S12,1,0)</f>
        <v>0</v>
      </c>
      <c r="X6" s="212"/>
      <c r="Y6" s="200">
        <f ca="1">SUM(U6:X6)</f>
        <v>0</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Argentina</v>
      </c>
      <c r="D9" s="190" t="str">
        <f>C2</f>
        <v>Algeria</v>
      </c>
      <c r="E9" s="190" t="str">
        <f>D2</f>
        <v>Austria</v>
      </c>
      <c r="F9" s="190" t="str">
        <f>E2</f>
        <v>Jordan</v>
      </c>
      <c r="G9" s="191" t="s">
        <v>26</v>
      </c>
      <c r="H9" s="189"/>
      <c r="I9" s="190" t="str">
        <f>C9</f>
        <v>Argentina</v>
      </c>
      <c r="J9" s="190" t="str">
        <f t="shared" ref="J9:L9" si="4">D9</f>
        <v>Algeria</v>
      </c>
      <c r="K9" s="190" t="str">
        <f t="shared" si="4"/>
        <v>Austria</v>
      </c>
      <c r="L9" s="190" t="str">
        <f t="shared" si="4"/>
        <v>Jordan</v>
      </c>
      <c r="M9" s="191" t="s">
        <v>26</v>
      </c>
      <c r="N9" s="189"/>
      <c r="O9" s="190" t="str">
        <f>I9</f>
        <v>Argentina</v>
      </c>
      <c r="P9" s="190" t="str">
        <f t="shared" ref="P9:R9" si="5">J9</f>
        <v>Algeria</v>
      </c>
      <c r="Q9" s="190" t="str">
        <f t="shared" si="5"/>
        <v>Austria</v>
      </c>
      <c r="R9" s="190" t="str">
        <f t="shared" si="5"/>
        <v>Jordan</v>
      </c>
      <c r="S9" s="191" t="s">
        <v>26</v>
      </c>
      <c r="T9" s="189"/>
      <c r="U9" s="190" t="str">
        <f>O9</f>
        <v>Argentina</v>
      </c>
      <c r="V9" s="190" t="str">
        <f t="shared" ref="V9:X9" si="6">P9</f>
        <v>Algeria</v>
      </c>
      <c r="W9" s="190" t="str">
        <f t="shared" si="6"/>
        <v>Austria</v>
      </c>
      <c r="X9" s="190" t="str">
        <f t="shared" si="6"/>
        <v>Jordan</v>
      </c>
      <c r="Y9" s="191" t="s">
        <v>26</v>
      </c>
      <c r="Z9" s="227" t="s">
        <v>309</v>
      </c>
    </row>
    <row r="10" spans="1:26" x14ac:dyDescent="0.25">
      <c r="A10" s="144"/>
      <c r="B10" s="189" t="str">
        <f>B2</f>
        <v>Argentina</v>
      </c>
      <c r="C10" s="204"/>
      <c r="D10" s="190">
        <f ca="1">H37</f>
        <v>3</v>
      </c>
      <c r="E10" s="190">
        <f ca="1">H39</f>
        <v>1</v>
      </c>
      <c r="F10" s="190">
        <f ca="1">I42</f>
        <v>3</v>
      </c>
      <c r="G10" s="191">
        <f ca="1">SUM(C10:F10)</f>
        <v>7</v>
      </c>
      <c r="H10" s="189" t="str">
        <f>B10</f>
        <v>Argentina</v>
      </c>
      <c r="I10" s="218">
        <f>C10+I17/100+I24/10000</f>
        <v>0</v>
      </c>
      <c r="J10" s="219">
        <f t="shared" ref="J10:L10" ca="1" si="7">D10+J17/100+J24/10000</f>
        <v>3</v>
      </c>
      <c r="K10" s="219">
        <f t="shared" ca="1" si="7"/>
        <v>1.0001</v>
      </c>
      <c r="L10" s="219">
        <f t="shared" ca="1" si="7"/>
        <v>3</v>
      </c>
      <c r="M10" s="220">
        <f ca="1">SUM(I10:L10)</f>
        <v>7.0000999999999998</v>
      </c>
      <c r="N10" s="189" t="str">
        <f>H10</f>
        <v>Argentina</v>
      </c>
      <c r="O10" s="218">
        <f>I10+O17/100+O24/10000</f>
        <v>0</v>
      </c>
      <c r="P10" s="219">
        <f t="shared" ref="P10:R13" ca="1" si="8">J10+P17/100+P24/10000</f>
        <v>3</v>
      </c>
      <c r="Q10" s="219">
        <f t="shared" ca="1" si="8"/>
        <v>1.0002</v>
      </c>
      <c r="R10" s="219">
        <f t="shared" ca="1" si="8"/>
        <v>3</v>
      </c>
      <c r="S10" s="220">
        <f ca="1">SUM(O10:R10)</f>
        <v>7.0001999999999995</v>
      </c>
      <c r="T10" s="189" t="str">
        <f>N10</f>
        <v>Argentina</v>
      </c>
      <c r="U10" s="218">
        <f>O10+U17/100+U24/10000</f>
        <v>0</v>
      </c>
      <c r="V10" s="219">
        <f t="shared" ref="V10:X13" ca="1" si="9">P10+V17/100+V24/10000</f>
        <v>3</v>
      </c>
      <c r="W10" s="219">
        <f t="shared" ca="1" si="9"/>
        <v>1.0003</v>
      </c>
      <c r="X10" s="219">
        <f t="shared" ca="1" si="9"/>
        <v>3</v>
      </c>
      <c r="Y10" s="220">
        <f ca="1">ROUND(SUM(U10:X10),8)</f>
        <v>7.0003000000000002</v>
      </c>
      <c r="Z10" s="224">
        <f ca="1">_xlfn.RANK.EQ(Y10,Y$10:Y$13,1)</f>
        <v>3</v>
      </c>
    </row>
    <row r="11" spans="1:26" x14ac:dyDescent="0.25">
      <c r="A11" s="144"/>
      <c r="B11" s="189" t="str">
        <f>C2</f>
        <v>Algeria</v>
      </c>
      <c r="C11" s="190">
        <f ca="1">I37</f>
        <v>0</v>
      </c>
      <c r="D11" s="204"/>
      <c r="E11" s="190">
        <f ca="1">H41</f>
        <v>0</v>
      </c>
      <c r="F11" s="190">
        <f ca="1">I40</f>
        <v>3</v>
      </c>
      <c r="G11" s="191">
        <f ca="1">SUM(C11:F11)</f>
        <v>3</v>
      </c>
      <c r="H11" s="189" t="str">
        <f t="shared" ref="H11:H13" si="10">B11</f>
        <v>Algeria</v>
      </c>
      <c r="I11" s="219">
        <f t="shared" ref="I11:L13" ca="1" si="11">C11+I18/100+I25/10000</f>
        <v>0</v>
      </c>
      <c r="J11" s="218">
        <f t="shared" si="11"/>
        <v>0</v>
      </c>
      <c r="K11" s="219">
        <f t="shared" ca="1" si="11"/>
        <v>0</v>
      </c>
      <c r="L11" s="219">
        <f t="shared" ca="1" si="11"/>
        <v>3</v>
      </c>
      <c r="M11" s="220">
        <f ca="1">SUM(I11:L11)</f>
        <v>3</v>
      </c>
      <c r="N11" s="189" t="str">
        <f t="shared" ref="N11:N13" si="12">H11</f>
        <v>Algeria</v>
      </c>
      <c r="O11" s="219">
        <f t="shared" ref="O11:O13" ca="1" si="13">I11+O18/100+O25/10000</f>
        <v>0</v>
      </c>
      <c r="P11" s="218">
        <f t="shared" si="8"/>
        <v>0</v>
      </c>
      <c r="Q11" s="219">
        <f t="shared" ca="1" si="8"/>
        <v>0</v>
      </c>
      <c r="R11" s="219">
        <f t="shared" ca="1" si="8"/>
        <v>3</v>
      </c>
      <c r="S11" s="220">
        <f ca="1">SUM(O11:R11)</f>
        <v>3</v>
      </c>
      <c r="T11" s="189" t="str">
        <f t="shared" ref="T11:T13" si="14">N11</f>
        <v>Algeria</v>
      </c>
      <c r="U11" s="219">
        <f t="shared" ref="U11:U13" ca="1" si="15">O11+U18/100+U25/10000</f>
        <v>0</v>
      </c>
      <c r="V11" s="218">
        <f t="shared" si="9"/>
        <v>0</v>
      </c>
      <c r="W11" s="219">
        <f t="shared" ca="1" si="9"/>
        <v>0</v>
      </c>
      <c r="X11" s="219">
        <f t="shared" ca="1" si="9"/>
        <v>3</v>
      </c>
      <c r="Y11" s="220">
        <f t="shared" ref="Y11:Y13" ca="1" si="16">ROUND(SUM(U11:X11),8)</f>
        <v>3</v>
      </c>
      <c r="Z11" s="224">
        <f t="shared" ref="Z11:Z13" ca="1" si="17">_xlfn.RANK.EQ(Y11,Y$10:Y$13,1)</f>
        <v>2</v>
      </c>
    </row>
    <row r="12" spans="1:26" x14ac:dyDescent="0.25">
      <c r="A12" s="144"/>
      <c r="B12" s="189" t="str">
        <f>D2</f>
        <v>Austria</v>
      </c>
      <c r="C12" s="190">
        <f ca="1">I39</f>
        <v>1</v>
      </c>
      <c r="D12" s="190">
        <f ca="1">I41</f>
        <v>3</v>
      </c>
      <c r="E12" s="204"/>
      <c r="F12" s="190">
        <f ca="1">H38</f>
        <v>3</v>
      </c>
      <c r="G12" s="191">
        <f ca="1">SUM(C12:F12)</f>
        <v>7</v>
      </c>
      <c r="H12" s="189" t="str">
        <f t="shared" si="10"/>
        <v>Austria</v>
      </c>
      <c r="I12" s="219">
        <f t="shared" ca="1" si="11"/>
        <v>1.0001</v>
      </c>
      <c r="J12" s="219">
        <f t="shared" ca="1" si="11"/>
        <v>3</v>
      </c>
      <c r="K12" s="218">
        <f t="shared" si="11"/>
        <v>0</v>
      </c>
      <c r="L12" s="219">
        <f t="shared" ca="1" si="11"/>
        <v>3</v>
      </c>
      <c r="M12" s="220">
        <f ca="1">SUM(I12:L12)</f>
        <v>7.0000999999999998</v>
      </c>
      <c r="N12" s="189" t="str">
        <f t="shared" si="12"/>
        <v>Austria</v>
      </c>
      <c r="O12" s="219">
        <f t="shared" ca="1" si="13"/>
        <v>1.0002</v>
      </c>
      <c r="P12" s="219">
        <f t="shared" ca="1" si="8"/>
        <v>3</v>
      </c>
      <c r="Q12" s="218">
        <f t="shared" si="8"/>
        <v>0</v>
      </c>
      <c r="R12" s="219">
        <f t="shared" ca="1" si="8"/>
        <v>3</v>
      </c>
      <c r="S12" s="220">
        <f ca="1">SUM(O12:R12)</f>
        <v>7.0001999999999995</v>
      </c>
      <c r="T12" s="189" t="str">
        <f t="shared" si="14"/>
        <v>Austria</v>
      </c>
      <c r="U12" s="219">
        <f t="shared" ca="1" si="15"/>
        <v>1.0003</v>
      </c>
      <c r="V12" s="219">
        <f t="shared" ca="1" si="9"/>
        <v>3</v>
      </c>
      <c r="W12" s="218">
        <f t="shared" si="9"/>
        <v>0</v>
      </c>
      <c r="X12" s="219">
        <f t="shared" ca="1" si="9"/>
        <v>3</v>
      </c>
      <c r="Y12" s="220">
        <f t="shared" ca="1" si="16"/>
        <v>7.0003000000000002</v>
      </c>
      <c r="Z12" s="224">
        <f t="shared" ca="1" si="17"/>
        <v>3</v>
      </c>
    </row>
    <row r="13" spans="1:26" x14ac:dyDescent="0.25">
      <c r="A13" s="144"/>
      <c r="B13" s="192" t="str">
        <f>E2</f>
        <v>Jordan</v>
      </c>
      <c r="C13" s="193">
        <f ca="1">H42</f>
        <v>0</v>
      </c>
      <c r="D13" s="193">
        <f ca="1">H40</f>
        <v>0</v>
      </c>
      <c r="E13" s="193">
        <f ca="1">I38</f>
        <v>0</v>
      </c>
      <c r="F13" s="205"/>
      <c r="G13" s="194">
        <f ca="1">SUM(C13:F13)</f>
        <v>0</v>
      </c>
      <c r="H13" s="192" t="str">
        <f t="shared" si="10"/>
        <v>Jordan</v>
      </c>
      <c r="I13" s="221">
        <f t="shared" ca="1" si="11"/>
        <v>0</v>
      </c>
      <c r="J13" s="221">
        <f t="shared" ca="1" si="11"/>
        <v>0</v>
      </c>
      <c r="K13" s="221">
        <f t="shared" ca="1" si="11"/>
        <v>0</v>
      </c>
      <c r="L13" s="222">
        <f t="shared" si="11"/>
        <v>0</v>
      </c>
      <c r="M13" s="223">
        <f ca="1">SUM(I13:L13)</f>
        <v>0</v>
      </c>
      <c r="N13" s="192" t="str">
        <f t="shared" si="12"/>
        <v>Jordan</v>
      </c>
      <c r="O13" s="221">
        <f t="shared" ca="1" si="13"/>
        <v>0</v>
      </c>
      <c r="P13" s="221">
        <f t="shared" ca="1" si="8"/>
        <v>0</v>
      </c>
      <c r="Q13" s="221">
        <f t="shared" ca="1" si="8"/>
        <v>0</v>
      </c>
      <c r="R13" s="222">
        <f t="shared" si="8"/>
        <v>0</v>
      </c>
      <c r="S13" s="223">
        <f ca="1">SUM(O13:R13)</f>
        <v>0</v>
      </c>
      <c r="T13" s="192" t="str">
        <f t="shared" si="14"/>
        <v>Jordan</v>
      </c>
      <c r="U13" s="221">
        <f t="shared" ca="1" si="15"/>
        <v>0</v>
      </c>
      <c r="V13" s="221">
        <f t="shared" ca="1" si="9"/>
        <v>0</v>
      </c>
      <c r="W13" s="221">
        <f t="shared" ca="1" si="9"/>
        <v>0</v>
      </c>
      <c r="X13" s="222">
        <f t="shared" si="9"/>
        <v>0</v>
      </c>
      <c r="Y13" s="223">
        <f t="shared" ca="1" si="16"/>
        <v>0</v>
      </c>
      <c r="Z13" s="225">
        <f t="shared" ca="1" si="17"/>
        <v>1</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Argentina</v>
      </c>
      <c r="D16" s="177" t="str">
        <f>C2</f>
        <v>Algeria</v>
      </c>
      <c r="E16" s="177" t="str">
        <f>D2</f>
        <v>Austria</v>
      </c>
      <c r="F16" s="177" t="str">
        <f>E2</f>
        <v>Jordan</v>
      </c>
      <c r="G16" s="178" t="s">
        <v>26</v>
      </c>
      <c r="H16" s="183"/>
      <c r="I16" s="184" t="str">
        <f>C16</f>
        <v>Argentina</v>
      </c>
      <c r="J16" s="184" t="str">
        <f t="shared" ref="J16:L16" si="18">D16</f>
        <v>Algeria</v>
      </c>
      <c r="K16" s="184" t="str">
        <f t="shared" si="18"/>
        <v>Austria</v>
      </c>
      <c r="L16" s="184" t="str">
        <f t="shared" si="18"/>
        <v>Jordan</v>
      </c>
      <c r="M16" s="185" t="s">
        <v>26</v>
      </c>
      <c r="N16" s="183"/>
      <c r="O16" s="184" t="str">
        <f>I16</f>
        <v>Argentina</v>
      </c>
      <c r="P16" s="184" t="str">
        <f t="shared" ref="P16:R16" si="19">J16</f>
        <v>Algeria</v>
      </c>
      <c r="Q16" s="184" t="str">
        <f t="shared" si="19"/>
        <v>Austria</v>
      </c>
      <c r="R16" s="184" t="str">
        <f t="shared" si="19"/>
        <v>Jordan</v>
      </c>
      <c r="S16" s="185" t="s">
        <v>26</v>
      </c>
      <c r="T16" s="183"/>
      <c r="U16" s="184" t="str">
        <f>O16</f>
        <v>Argentina</v>
      </c>
      <c r="V16" s="184" t="str">
        <f t="shared" ref="V16:X16" si="20">P16</f>
        <v>Algeria</v>
      </c>
      <c r="W16" s="184" t="str">
        <f t="shared" si="20"/>
        <v>Austria</v>
      </c>
      <c r="X16" s="184" t="str">
        <f t="shared" si="20"/>
        <v>Jordan</v>
      </c>
      <c r="Y16" s="185" t="s">
        <v>26</v>
      </c>
    </row>
    <row r="17" spans="1:25" x14ac:dyDescent="0.25">
      <c r="A17" s="144"/>
      <c r="B17" s="176" t="str">
        <f>B2</f>
        <v>Argentina</v>
      </c>
      <c r="C17" s="206"/>
      <c r="D17" s="179">
        <f ca="1">IFERROR(F37-G37,0)</f>
        <v>3</v>
      </c>
      <c r="E17" s="179">
        <f ca="1">IFERROR(F39-G39,0)</f>
        <v>0</v>
      </c>
      <c r="F17" s="179">
        <f ca="1">IFERROR(G42-F42,0)</f>
        <v>2</v>
      </c>
      <c r="G17" s="178">
        <f ca="1">SUM(C17:F17)</f>
        <v>5</v>
      </c>
      <c r="H17" s="183" t="str">
        <f>B17</f>
        <v>Argentina</v>
      </c>
      <c r="I17" s="208"/>
      <c r="J17" s="184">
        <f ca="1">D17*J3</f>
        <v>0</v>
      </c>
      <c r="K17" s="184">
        <f ca="1">E17*K3</f>
        <v>0</v>
      </c>
      <c r="L17" s="184">
        <f ca="1">F17*L3</f>
        <v>0</v>
      </c>
      <c r="M17" s="185">
        <f ca="1">SUM(I17:L17)</f>
        <v>0</v>
      </c>
      <c r="N17" s="183" t="str">
        <f>H17</f>
        <v>Argentina</v>
      </c>
      <c r="O17" s="208"/>
      <c r="P17" s="184">
        <f ca="1">J17*P3</f>
        <v>0</v>
      </c>
      <c r="Q17" s="184">
        <f ca="1">K17*Q3</f>
        <v>0</v>
      </c>
      <c r="R17" s="184">
        <f ca="1">L17*R3</f>
        <v>0</v>
      </c>
      <c r="S17" s="185">
        <f ca="1">SUM(O17:R17)</f>
        <v>0</v>
      </c>
      <c r="T17" s="183" t="str">
        <f>N17</f>
        <v>Argentina</v>
      </c>
      <c r="U17" s="208"/>
      <c r="V17" s="184">
        <f ca="1">P17*V3</f>
        <v>0</v>
      </c>
      <c r="W17" s="184">
        <f ca="1">Q17*W3</f>
        <v>0</v>
      </c>
      <c r="X17" s="184">
        <f ca="1">R17*X3</f>
        <v>0</v>
      </c>
      <c r="Y17" s="185">
        <f ca="1">SUM(U17:X17)</f>
        <v>0</v>
      </c>
    </row>
    <row r="18" spans="1:25" x14ac:dyDescent="0.25">
      <c r="A18" s="144"/>
      <c r="B18" s="176" t="str">
        <f>C2</f>
        <v>Algeria</v>
      </c>
      <c r="C18" s="179">
        <f ca="1">IFERROR(G37-F37,0)</f>
        <v>-3</v>
      </c>
      <c r="D18" s="206"/>
      <c r="E18" s="179">
        <f ca="1">IFERROR(F41-G41,0)</f>
        <v>-2</v>
      </c>
      <c r="F18" s="179">
        <f ca="1">IFERROR(G40-F40,0)</f>
        <v>1</v>
      </c>
      <c r="G18" s="178">
        <f ca="1">SUM(C18:F18)</f>
        <v>-4</v>
      </c>
      <c r="H18" s="183" t="str">
        <f t="shared" ref="H18:H20" si="21">B18</f>
        <v>Algeria</v>
      </c>
      <c r="I18" s="184">
        <f ca="1">C18*I4</f>
        <v>0</v>
      </c>
      <c r="J18" s="208"/>
      <c r="K18" s="184">
        <f ca="1">E18*K4</f>
        <v>0</v>
      </c>
      <c r="L18" s="184">
        <f ca="1">F18*L4</f>
        <v>0</v>
      </c>
      <c r="M18" s="185">
        <f ca="1">SUM(I18:L18)</f>
        <v>0</v>
      </c>
      <c r="N18" s="183" t="str">
        <f t="shared" ref="N18:N20" si="22">H18</f>
        <v>Algeria</v>
      </c>
      <c r="O18" s="184">
        <f ca="1">I18*O4</f>
        <v>0</v>
      </c>
      <c r="P18" s="208"/>
      <c r="Q18" s="184">
        <f ca="1">K18*Q4</f>
        <v>0</v>
      </c>
      <c r="R18" s="184">
        <f ca="1">L18*R4</f>
        <v>0</v>
      </c>
      <c r="S18" s="185">
        <f ca="1">SUM(O18:R18)</f>
        <v>0</v>
      </c>
      <c r="T18" s="183" t="str">
        <f t="shared" ref="T18:T20" si="23">N18</f>
        <v>Algeria</v>
      </c>
      <c r="U18" s="184">
        <f ca="1">O18*U4</f>
        <v>0</v>
      </c>
      <c r="V18" s="208"/>
      <c r="W18" s="184">
        <f ca="1">Q18*W4</f>
        <v>0</v>
      </c>
      <c r="X18" s="184">
        <f ca="1">R18*X4</f>
        <v>0</v>
      </c>
      <c r="Y18" s="185">
        <f ca="1">SUM(U18:X18)</f>
        <v>0</v>
      </c>
    </row>
    <row r="19" spans="1:25" x14ac:dyDescent="0.25">
      <c r="A19" s="144"/>
      <c r="B19" s="176" t="str">
        <f>D2</f>
        <v>Austria</v>
      </c>
      <c r="C19" s="179">
        <f ca="1">IFERROR(G39-F39,0)</f>
        <v>0</v>
      </c>
      <c r="D19" s="179">
        <f ca="1">IFERROR(G41-F41,0)</f>
        <v>2</v>
      </c>
      <c r="E19" s="206"/>
      <c r="F19" s="179">
        <f ca="1">IFERROR(F38-G38,0)</f>
        <v>2</v>
      </c>
      <c r="G19" s="178">
        <f ca="1">SUM(C19:F19)</f>
        <v>4</v>
      </c>
      <c r="H19" s="183" t="str">
        <f t="shared" si="21"/>
        <v>Austria</v>
      </c>
      <c r="I19" s="184">
        <f ca="1">C19*I5</f>
        <v>0</v>
      </c>
      <c r="J19" s="184">
        <f ca="1">D19*J5</f>
        <v>0</v>
      </c>
      <c r="K19" s="208"/>
      <c r="L19" s="184">
        <f ca="1">F19*L5</f>
        <v>0</v>
      </c>
      <c r="M19" s="185">
        <f ca="1">SUM(I19:L19)</f>
        <v>0</v>
      </c>
      <c r="N19" s="183" t="str">
        <f t="shared" si="22"/>
        <v>Austria</v>
      </c>
      <c r="O19" s="184">
        <f ca="1">I19*O5</f>
        <v>0</v>
      </c>
      <c r="P19" s="184">
        <f ca="1">J19*P5</f>
        <v>0</v>
      </c>
      <c r="Q19" s="208"/>
      <c r="R19" s="184">
        <f ca="1">L19*R5</f>
        <v>0</v>
      </c>
      <c r="S19" s="185">
        <f ca="1">SUM(O19:R19)</f>
        <v>0</v>
      </c>
      <c r="T19" s="183" t="str">
        <f t="shared" si="23"/>
        <v>Austria</v>
      </c>
      <c r="U19" s="184">
        <f ca="1">O19*U5</f>
        <v>0</v>
      </c>
      <c r="V19" s="184">
        <f ca="1">P19*V5</f>
        <v>0</v>
      </c>
      <c r="W19" s="208"/>
      <c r="X19" s="184">
        <f ca="1">R19*X5</f>
        <v>0</v>
      </c>
      <c r="Y19" s="185">
        <f ca="1">SUM(U19:X19)</f>
        <v>0</v>
      </c>
    </row>
    <row r="20" spans="1:25" x14ac:dyDescent="0.25">
      <c r="A20" s="144"/>
      <c r="B20" s="180" t="str">
        <f>E2</f>
        <v>Jordan</v>
      </c>
      <c r="C20" s="181">
        <f ca="1">IFERROR(F42-G42,0)</f>
        <v>-2</v>
      </c>
      <c r="D20" s="181">
        <f ca="1">IFERROR(F40-G40,0)</f>
        <v>-1</v>
      </c>
      <c r="E20" s="181">
        <f ca="1">IFERROR(G38-F38,0)</f>
        <v>-2</v>
      </c>
      <c r="F20" s="207"/>
      <c r="G20" s="182">
        <f ca="1">SUM(C20:F20)</f>
        <v>-5</v>
      </c>
      <c r="H20" s="186" t="str">
        <f t="shared" si="21"/>
        <v>Jordan</v>
      </c>
      <c r="I20" s="187">
        <f ca="1">C20*I6</f>
        <v>0</v>
      </c>
      <c r="J20" s="187">
        <f ca="1">D20*J6</f>
        <v>0</v>
      </c>
      <c r="K20" s="187">
        <f ca="1">E20*K6</f>
        <v>0</v>
      </c>
      <c r="L20" s="213"/>
      <c r="M20" s="188">
        <f ca="1">SUM(I20:L20)</f>
        <v>0</v>
      </c>
      <c r="N20" s="186" t="str">
        <f t="shared" si="22"/>
        <v>Jordan</v>
      </c>
      <c r="O20" s="187">
        <f ca="1">I20*O6</f>
        <v>0</v>
      </c>
      <c r="P20" s="187">
        <f ca="1">J20*P6</f>
        <v>0</v>
      </c>
      <c r="Q20" s="187">
        <f ca="1">K20*Q6</f>
        <v>0</v>
      </c>
      <c r="R20" s="213"/>
      <c r="S20" s="188">
        <f ca="1">SUM(O20:R20)</f>
        <v>0</v>
      </c>
      <c r="T20" s="186" t="str">
        <f t="shared" si="23"/>
        <v>Jordan</v>
      </c>
      <c r="U20" s="187">
        <f ca="1">O20*U6</f>
        <v>0</v>
      </c>
      <c r="V20" s="187">
        <f ca="1">P20*V6</f>
        <v>0</v>
      </c>
      <c r="W20" s="187">
        <f ca="1">Q20*W6</f>
        <v>0</v>
      </c>
      <c r="X20" s="213"/>
      <c r="Y20" s="188">
        <f ca="1">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Argentina</v>
      </c>
      <c r="D23" s="164" t="str">
        <f>C2</f>
        <v>Algeria</v>
      </c>
      <c r="E23" s="164" t="str">
        <f>D2</f>
        <v>Austria</v>
      </c>
      <c r="F23" s="164" t="str">
        <f>E2</f>
        <v>Jordan</v>
      </c>
      <c r="G23" s="165" t="s">
        <v>26</v>
      </c>
      <c r="H23" s="169"/>
      <c r="I23" s="170" t="str">
        <f>C23</f>
        <v>Argentina</v>
      </c>
      <c r="J23" s="170" t="str">
        <f t="shared" ref="J23:L23" si="24">D23</f>
        <v>Algeria</v>
      </c>
      <c r="K23" s="170" t="str">
        <f t="shared" si="24"/>
        <v>Austria</v>
      </c>
      <c r="L23" s="170" t="str">
        <f t="shared" si="24"/>
        <v>Jordan</v>
      </c>
      <c r="M23" s="171" t="s">
        <v>26</v>
      </c>
      <c r="N23" s="169"/>
      <c r="O23" s="170" t="str">
        <f>I23</f>
        <v>Argentina</v>
      </c>
      <c r="P23" s="170" t="str">
        <f t="shared" ref="P23:R23" si="25">J23</f>
        <v>Algeria</v>
      </c>
      <c r="Q23" s="170" t="str">
        <f t="shared" si="25"/>
        <v>Austria</v>
      </c>
      <c r="R23" s="170" t="str">
        <f t="shared" si="25"/>
        <v>Jordan</v>
      </c>
      <c r="S23" s="171" t="s">
        <v>26</v>
      </c>
      <c r="T23" s="169"/>
      <c r="U23" s="170" t="str">
        <f>O23</f>
        <v>Argentina</v>
      </c>
      <c r="V23" s="170" t="str">
        <f t="shared" ref="V23:X23" si="26">P23</f>
        <v>Algeria</v>
      </c>
      <c r="W23" s="170" t="str">
        <f t="shared" si="26"/>
        <v>Austria</v>
      </c>
      <c r="X23" s="170" t="str">
        <f t="shared" si="26"/>
        <v>Jordan</v>
      </c>
      <c r="Y23" s="171" t="s">
        <v>26</v>
      </c>
    </row>
    <row r="24" spans="1:25" x14ac:dyDescent="0.25">
      <c r="A24" s="143"/>
      <c r="B24" s="163" t="str">
        <f>B2</f>
        <v>Argentina</v>
      </c>
      <c r="C24" s="209"/>
      <c r="D24" s="164">
        <f ca="1">IF(F37="",0,F37)</f>
        <v>4</v>
      </c>
      <c r="E24" s="164">
        <f ca="1">IF(F39="",0,F39)</f>
        <v>1</v>
      </c>
      <c r="F24" s="164">
        <f ca="1">IF(G42="",0,G42)</f>
        <v>2</v>
      </c>
      <c r="G24" s="165">
        <f ca="1">SUM(C24:F24)</f>
        <v>7</v>
      </c>
      <c r="H24" s="169" t="str">
        <f>B24</f>
        <v>Argentina</v>
      </c>
      <c r="I24" s="214"/>
      <c r="J24" s="170">
        <f ca="1">D24*J3</f>
        <v>0</v>
      </c>
      <c r="K24" s="170">
        <f ca="1">E24*K3</f>
        <v>1</v>
      </c>
      <c r="L24" s="170">
        <f ca="1">F24*L3</f>
        <v>0</v>
      </c>
      <c r="M24" s="171">
        <f ca="1">SUM(I24:L24)</f>
        <v>1</v>
      </c>
      <c r="N24" s="169" t="str">
        <f>H24</f>
        <v>Argentina</v>
      </c>
      <c r="O24" s="214"/>
      <c r="P24" s="170">
        <f ca="1">J24*P3</f>
        <v>0</v>
      </c>
      <c r="Q24" s="170">
        <f ca="1">K24*Q3</f>
        <v>1</v>
      </c>
      <c r="R24" s="170">
        <f ca="1">L24*R3</f>
        <v>0</v>
      </c>
      <c r="S24" s="171">
        <f ca="1">SUM(O24:R24)</f>
        <v>1</v>
      </c>
      <c r="T24" s="169" t="str">
        <f>N24</f>
        <v>Argentina</v>
      </c>
      <c r="U24" s="214"/>
      <c r="V24" s="170">
        <f ca="1">P24*V3</f>
        <v>0</v>
      </c>
      <c r="W24" s="170">
        <f ca="1">Q24*W3</f>
        <v>1</v>
      </c>
      <c r="X24" s="170">
        <f ca="1">R24*X3</f>
        <v>0</v>
      </c>
      <c r="Y24" s="171">
        <f ca="1">SUM(U24:X24)</f>
        <v>1</v>
      </c>
    </row>
    <row r="25" spans="1:25" x14ac:dyDescent="0.25">
      <c r="A25" s="143"/>
      <c r="B25" s="163" t="str">
        <f>C2</f>
        <v>Algeria</v>
      </c>
      <c r="C25" s="164">
        <f ca="1">IF(G37="",0,G37)</f>
        <v>1</v>
      </c>
      <c r="D25" s="209"/>
      <c r="E25" s="164">
        <f ca="1">IF(F41="",0,F41)</f>
        <v>1</v>
      </c>
      <c r="F25" s="164">
        <f ca="1">IF(G40="",0,G40)</f>
        <v>2</v>
      </c>
      <c r="G25" s="165">
        <f ca="1">SUM(C25:F25)</f>
        <v>4</v>
      </c>
      <c r="H25" s="169" t="str">
        <f t="shared" ref="H25:H27" si="27">B25</f>
        <v>Algeria</v>
      </c>
      <c r="I25" s="170">
        <f ca="1">C25*I4</f>
        <v>0</v>
      </c>
      <c r="J25" s="214"/>
      <c r="K25" s="170">
        <f ca="1">E25*K4</f>
        <v>0</v>
      </c>
      <c r="L25" s="170">
        <f ca="1">F25*L4</f>
        <v>0</v>
      </c>
      <c r="M25" s="171">
        <f ca="1">SUM(I25:L25)</f>
        <v>0</v>
      </c>
      <c r="N25" s="169" t="str">
        <f t="shared" ref="N25:N27" si="28">H25</f>
        <v>Algeria</v>
      </c>
      <c r="O25" s="170">
        <f ca="1">I25*O4</f>
        <v>0</v>
      </c>
      <c r="P25" s="214"/>
      <c r="Q25" s="170">
        <f ca="1">K25*Q4</f>
        <v>0</v>
      </c>
      <c r="R25" s="170">
        <f ca="1">L25*R4</f>
        <v>0</v>
      </c>
      <c r="S25" s="171">
        <f ca="1">SUM(O25:R25)</f>
        <v>0</v>
      </c>
      <c r="T25" s="169" t="str">
        <f t="shared" ref="T25:T27" si="29">N25</f>
        <v>Algeria</v>
      </c>
      <c r="U25" s="170">
        <f ca="1">O25*U4</f>
        <v>0</v>
      </c>
      <c r="V25" s="214"/>
      <c r="W25" s="170">
        <f ca="1">Q25*W4</f>
        <v>0</v>
      </c>
      <c r="X25" s="170">
        <f ca="1">R25*X4</f>
        <v>0</v>
      </c>
      <c r="Y25" s="171">
        <f ca="1">SUM(U25:X25)</f>
        <v>0</v>
      </c>
    </row>
    <row r="26" spans="1:25" x14ac:dyDescent="0.25">
      <c r="A26" s="143"/>
      <c r="B26" s="163" t="str">
        <f>D2</f>
        <v>Austria</v>
      </c>
      <c r="C26" s="164">
        <f ca="1">IF(G39="",0,G39)</f>
        <v>1</v>
      </c>
      <c r="D26" s="164">
        <f ca="1">IF(G41="",0,G41)</f>
        <v>3</v>
      </c>
      <c r="E26" s="209"/>
      <c r="F26" s="164">
        <f ca="1">IF(F38="",0,F38)</f>
        <v>3</v>
      </c>
      <c r="G26" s="165">
        <f ca="1">SUM(C26:F26)</f>
        <v>7</v>
      </c>
      <c r="H26" s="169" t="str">
        <f t="shared" si="27"/>
        <v>Austria</v>
      </c>
      <c r="I26" s="170">
        <f ca="1">C26*I5</f>
        <v>1</v>
      </c>
      <c r="J26" s="170">
        <f ca="1">D26*J5</f>
        <v>0</v>
      </c>
      <c r="K26" s="214"/>
      <c r="L26" s="170">
        <f ca="1">F26*L5</f>
        <v>0</v>
      </c>
      <c r="M26" s="171">
        <f ca="1">SUM(I26:L26)</f>
        <v>1</v>
      </c>
      <c r="N26" s="169" t="str">
        <f t="shared" si="28"/>
        <v>Austria</v>
      </c>
      <c r="O26" s="170">
        <f ca="1">I26*O5</f>
        <v>1</v>
      </c>
      <c r="P26" s="170">
        <f ca="1">J26*P5</f>
        <v>0</v>
      </c>
      <c r="Q26" s="214"/>
      <c r="R26" s="170">
        <f ca="1">L26*R5</f>
        <v>0</v>
      </c>
      <c r="S26" s="171">
        <f ca="1">SUM(O26:R26)</f>
        <v>1</v>
      </c>
      <c r="T26" s="169" t="str">
        <f t="shared" si="29"/>
        <v>Austria</v>
      </c>
      <c r="U26" s="170">
        <f ca="1">O26*U5</f>
        <v>1</v>
      </c>
      <c r="V26" s="170">
        <f ca="1">P26*V5</f>
        <v>0</v>
      </c>
      <c r="W26" s="214"/>
      <c r="X26" s="170">
        <f ca="1">R26*X5</f>
        <v>0</v>
      </c>
      <c r="Y26" s="171">
        <f ca="1">SUM(U26:X26)</f>
        <v>1</v>
      </c>
    </row>
    <row r="27" spans="1:25" x14ac:dyDescent="0.25">
      <c r="A27" s="143"/>
      <c r="B27" s="166" t="str">
        <f>E2</f>
        <v>Jordan</v>
      </c>
      <c r="C27" s="167">
        <f ca="1">IF(F42="",0,F42)</f>
        <v>0</v>
      </c>
      <c r="D27" s="167">
        <f ca="1">IF(F40="",0,F40)</f>
        <v>1</v>
      </c>
      <c r="E27" s="167">
        <f ca="1">IF(G38="",0,G38)</f>
        <v>1</v>
      </c>
      <c r="F27" s="210"/>
      <c r="G27" s="168">
        <f ca="1">SUM(C27:F27)</f>
        <v>2</v>
      </c>
      <c r="H27" s="172" t="str">
        <f t="shared" si="27"/>
        <v>Jordan</v>
      </c>
      <c r="I27" s="173">
        <f ca="1">C27*I6</f>
        <v>0</v>
      </c>
      <c r="J27" s="173">
        <f ca="1">D27*J6</f>
        <v>0</v>
      </c>
      <c r="K27" s="173">
        <f ca="1">E27*K6</f>
        <v>0</v>
      </c>
      <c r="L27" s="215"/>
      <c r="M27" s="174">
        <f ca="1">SUM(I27:L27)</f>
        <v>0</v>
      </c>
      <c r="N27" s="172" t="str">
        <f t="shared" si="28"/>
        <v>Jordan</v>
      </c>
      <c r="O27" s="173">
        <f ca="1">I27*O6</f>
        <v>0</v>
      </c>
      <c r="P27" s="173">
        <f ca="1">J27*P6</f>
        <v>0</v>
      </c>
      <c r="Q27" s="173">
        <f ca="1">K27*Q6</f>
        <v>0</v>
      </c>
      <c r="R27" s="215"/>
      <c r="S27" s="174">
        <f ca="1">SUM(O27:R27)</f>
        <v>0</v>
      </c>
      <c r="T27" s="172" t="str">
        <f t="shared" si="29"/>
        <v>Jordan</v>
      </c>
      <c r="U27" s="173">
        <f ca="1">O27*U6</f>
        <v>0</v>
      </c>
      <c r="V27" s="173">
        <f ca="1">P27*V6</f>
        <v>0</v>
      </c>
      <c r="W27" s="173">
        <f ca="1">Q27*W6</f>
        <v>0</v>
      </c>
      <c r="X27" s="215"/>
      <c r="Y27" s="174">
        <f ca="1">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300" t="s">
        <v>669</v>
      </c>
      <c r="E29" s="300" t="s">
        <v>670</v>
      </c>
      <c r="F29" s="300" t="s">
        <v>671</v>
      </c>
      <c r="G29" s="232" t="s">
        <v>631</v>
      </c>
      <c r="H29" s="232" t="s">
        <v>632</v>
      </c>
      <c r="I29" s="232" t="s">
        <v>633</v>
      </c>
      <c r="J29" s="232" t="s">
        <v>676</v>
      </c>
      <c r="K29" s="232" t="s">
        <v>411</v>
      </c>
      <c r="L29" s="232" t="s">
        <v>661</v>
      </c>
      <c r="M29" s="232" t="s">
        <v>634</v>
      </c>
      <c r="N29" s="233" t="s">
        <v>635</v>
      </c>
    </row>
    <row r="30" spans="1:25" x14ac:dyDescent="0.25">
      <c r="A30" s="234">
        <f ca="1">N30</f>
        <v>1</v>
      </c>
      <c r="B30" s="235" t="str">
        <f>B2</f>
        <v>Argentina</v>
      </c>
      <c r="C30" s="236">
        <v>3</v>
      </c>
      <c r="D30" s="236">
        <f ca="1">COUNTIF(FWinners,B30)</f>
        <v>2</v>
      </c>
      <c r="E30" s="236">
        <f ca="1">COUNTIF(FDraws,"D"&amp;B30)</f>
        <v>1</v>
      </c>
      <c r="F30" s="236">
        <f ca="1">COUNTIF(FLosers,B30)</f>
        <v>0</v>
      </c>
      <c r="G30" s="236">
        <f ca="1">F37+F39+G42</f>
        <v>7</v>
      </c>
      <c r="H30" s="236">
        <f ca="1">G37+G39+F42</f>
        <v>2</v>
      </c>
      <c r="I30" s="236">
        <f ca="1">G30-H30</f>
        <v>5</v>
      </c>
      <c r="J30" s="237">
        <f ca="1">Z10</f>
        <v>3</v>
      </c>
      <c r="K30" s="236">
        <f>VLOOKUP($B30,Lookup10,11,FALSE)</f>
        <v>0</v>
      </c>
      <c r="L30" s="236">
        <f>VLOOKUP($B30,Lookup11,2,FALSE)</f>
        <v>1</v>
      </c>
      <c r="M30" s="238">
        <f ca="1">ROUND(G30*G$34+I30*I$34+J30*J$34-K30*K$34-L30*L$34,8)</f>
        <v>30506.999899999999</v>
      </c>
      <c r="N30" s="239">
        <f ca="1">RANK(M30,M$30:M$33,0)</f>
        <v>1</v>
      </c>
    </row>
    <row r="31" spans="1:25" x14ac:dyDescent="0.25">
      <c r="A31" s="234">
        <f ca="1">N31</f>
        <v>3</v>
      </c>
      <c r="B31" s="235" t="str">
        <f>C2</f>
        <v>Algeria</v>
      </c>
      <c r="C31" s="236">
        <v>3</v>
      </c>
      <c r="D31" s="236">
        <f ca="1">COUNTIF(FWinners,B31)</f>
        <v>1</v>
      </c>
      <c r="E31" s="236">
        <f ca="1">COUNTIF(FDraws,"D"&amp;B31)</f>
        <v>0</v>
      </c>
      <c r="F31" s="236">
        <f ca="1">COUNTIF(FLosers,B31)</f>
        <v>2</v>
      </c>
      <c r="G31" s="236">
        <f ca="1">G37+G40+F41</f>
        <v>4</v>
      </c>
      <c r="H31" s="236">
        <f ca="1">F37+F40+G41</f>
        <v>8</v>
      </c>
      <c r="I31" s="236">
        <f t="shared" ref="I31:I33" ca="1" si="30">G31-H31</f>
        <v>-4</v>
      </c>
      <c r="J31" s="237">
        <f ca="1">Z11</f>
        <v>2</v>
      </c>
      <c r="K31" s="236">
        <f>VLOOKUP($B31,Lookup10,11,FALSE)</f>
        <v>0</v>
      </c>
      <c r="L31" s="236">
        <f>VLOOKUP($B31,Lookup11,2,FALSE)</f>
        <v>25</v>
      </c>
      <c r="M31" s="238">
        <f ca="1">ROUND(G31*G$34+I31*I$34+J31*J$34-K31*K$34-L31*L$34,8)</f>
        <v>19603.997500000001</v>
      </c>
      <c r="N31" s="239">
        <f ca="1">RANK(M31,M$30:M$33,0)</f>
        <v>3</v>
      </c>
    </row>
    <row r="32" spans="1:25" x14ac:dyDescent="0.25">
      <c r="A32" s="234">
        <f ca="1">N32</f>
        <v>2</v>
      </c>
      <c r="B32" s="235" t="str">
        <f>D2</f>
        <v>Austria</v>
      </c>
      <c r="C32" s="236">
        <v>3</v>
      </c>
      <c r="D32" s="236">
        <f ca="1">COUNTIF(FWinners,B32)</f>
        <v>2</v>
      </c>
      <c r="E32" s="236">
        <f ca="1">COUNTIF(FDraws,"D"&amp;B32)</f>
        <v>1</v>
      </c>
      <c r="F32" s="236">
        <f ca="1">COUNTIF(FLosers,B32)</f>
        <v>0</v>
      </c>
      <c r="G32" s="236">
        <f ca="1">F38+G39+G41</f>
        <v>7</v>
      </c>
      <c r="H32" s="236">
        <f ca="1">G38+F39+F41</f>
        <v>3</v>
      </c>
      <c r="I32" s="236">
        <f t="shared" ca="1" si="30"/>
        <v>4</v>
      </c>
      <c r="J32" s="237">
        <f ca="1">Z12</f>
        <v>3</v>
      </c>
      <c r="K32" s="236">
        <f>VLOOKUP($B32,Lookup10,11,FALSE)</f>
        <v>0</v>
      </c>
      <c r="L32" s="236">
        <f>VLOOKUP($B32,Lookup11,2,FALSE)</f>
        <v>22</v>
      </c>
      <c r="M32" s="238">
        <f ca="1">ROUND(G32*G$34+I32*I$34+J32*J$34-K32*K$34-L32*L$34,8)</f>
        <v>30406.997800000001</v>
      </c>
      <c r="N32" s="239">
        <f ca="1">RANK(M32,M$30:M$33,0)</f>
        <v>2</v>
      </c>
    </row>
    <row r="33" spans="1:16" x14ac:dyDescent="0.25">
      <c r="A33" s="234">
        <f ca="1">N33</f>
        <v>4</v>
      </c>
      <c r="B33" s="235" t="str">
        <f>E2</f>
        <v>Jordan</v>
      </c>
      <c r="C33" s="236">
        <v>3</v>
      </c>
      <c r="D33" s="236">
        <f ca="1">COUNTIF(FWinners,B33)</f>
        <v>0</v>
      </c>
      <c r="E33" s="236">
        <f ca="1">COUNTIF(FDraws,"D"&amp;B33)</f>
        <v>0</v>
      </c>
      <c r="F33" s="236">
        <f ca="1">COUNTIF(FLosers,B33)</f>
        <v>3</v>
      </c>
      <c r="G33" s="236">
        <f ca="1">G38+F40+F42</f>
        <v>2</v>
      </c>
      <c r="H33" s="236">
        <f ca="1">F38+G40+G42</f>
        <v>7</v>
      </c>
      <c r="I33" s="236">
        <f t="shared" ca="1" si="30"/>
        <v>-5</v>
      </c>
      <c r="J33" s="237">
        <f ca="1">Z13</f>
        <v>1</v>
      </c>
      <c r="K33" s="236">
        <f>VLOOKUP($B33,Lookup10,11,FALSE)</f>
        <v>0</v>
      </c>
      <c r="L33" s="236">
        <f>VLOOKUP($B33,Lookup11,2,FALSE)</f>
        <v>42</v>
      </c>
      <c r="M33" s="238">
        <f ca="1">ROUND(G33*G$34+I33*I$34+J33*J$34-K33*K$34-L33*L$34,8)</f>
        <v>9501.9958000000006</v>
      </c>
      <c r="N33" s="239">
        <f ca="1">RANK(M33,M$30:M$33,0)</f>
        <v>4</v>
      </c>
    </row>
    <row r="34" spans="1:16" x14ac:dyDescent="0.25">
      <c r="A34" s="240"/>
      <c r="B34" s="241" t="s">
        <v>636</v>
      </c>
      <c r="C34" s="242">
        <f>SUM(C30:C33)</f>
        <v>12</v>
      </c>
      <c r="D34" s="242"/>
      <c r="E34" s="242"/>
      <c r="F34" s="242"/>
      <c r="G34" s="205">
        <v>1</v>
      </c>
      <c r="H34" s="205"/>
      <c r="I34" s="205">
        <v>100</v>
      </c>
      <c r="J34" s="205">
        <v>10000</v>
      </c>
      <c r="K34" s="205">
        <v>0.01</v>
      </c>
      <c r="L34" s="205">
        <v>1E-4</v>
      </c>
      <c r="M34" s="242"/>
      <c r="N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ArgentinaAlgeria</v>
      </c>
      <c r="B37" s="158" t="str">
        <f>B1&amp;C1</f>
        <v>J1J2</v>
      </c>
      <c r="C37" s="158">
        <v>1</v>
      </c>
      <c r="D37" s="150" t="str">
        <f>B2</f>
        <v>Argentina</v>
      </c>
      <c r="E37" s="150" t="str">
        <f>C2</f>
        <v>Algeria</v>
      </c>
      <c r="F37" s="158">
        <f t="shared" ref="F37:F42" ca="1" si="31">VLOOKUP($B37,Lookup18,6,FALSE)</f>
        <v>4</v>
      </c>
      <c r="G37" s="158">
        <f t="shared" ref="G37:G42" ca="1" si="32">VLOOKUP($B37,Lookup18,8,FALSE)</f>
        <v>1</v>
      </c>
      <c r="H37" s="158">
        <f t="shared" ref="H37:H42" ca="1" si="33">IF(C37=0,0,IF(F37&lt;G37,Lpts,IF(F37&gt;G37,Wpts,Dpts)))</f>
        <v>3</v>
      </c>
      <c r="I37" s="158">
        <f t="shared" ref="I37:I42" ca="1" si="34">IF(C37=0,0,IF(G37&lt;F37,Lpts,IF(G37&gt;F37,Wpts,Dpts)))</f>
        <v>0</v>
      </c>
      <c r="J37" s="158">
        <f t="shared" ref="J37:K42" si="35">IF(VLOOKUP($B37,Lookup12,4,FALSE)="",0,VLOOKUP($B37,Lookup12,4,FALSE))</f>
        <v>0</v>
      </c>
      <c r="K37" s="158">
        <f t="shared" si="35"/>
        <v>0</v>
      </c>
      <c r="L37" s="143"/>
      <c r="M37" s="143"/>
      <c r="N37" s="143"/>
      <c r="O37" s="143"/>
      <c r="P37" s="143"/>
    </row>
    <row r="38" spans="1:16" x14ac:dyDescent="0.25">
      <c r="A38" s="149" t="str">
        <f>D2&amp;E2</f>
        <v>AustriaJordan</v>
      </c>
      <c r="B38" s="158" t="str">
        <f>D1&amp;E1</f>
        <v>J3J4</v>
      </c>
      <c r="C38" s="158">
        <v>1</v>
      </c>
      <c r="D38" s="150" t="str">
        <f>D2</f>
        <v>Austria</v>
      </c>
      <c r="E38" s="150" t="str">
        <f>E2</f>
        <v>Jordan</v>
      </c>
      <c r="F38" s="158">
        <f t="shared" ca="1" si="31"/>
        <v>3</v>
      </c>
      <c r="G38" s="158">
        <f t="shared" ca="1" si="32"/>
        <v>1</v>
      </c>
      <c r="H38" s="158">
        <f t="shared" ca="1" si="33"/>
        <v>3</v>
      </c>
      <c r="I38" s="158">
        <f t="shared" ca="1" si="34"/>
        <v>0</v>
      </c>
      <c r="J38" s="158">
        <f t="shared" si="35"/>
        <v>0</v>
      </c>
      <c r="K38" s="158">
        <f t="shared" si="35"/>
        <v>0</v>
      </c>
      <c r="L38" s="143"/>
      <c r="M38" s="143"/>
      <c r="N38" s="143"/>
      <c r="O38" s="143"/>
      <c r="P38" s="143"/>
    </row>
    <row r="39" spans="1:16" x14ac:dyDescent="0.25">
      <c r="A39" s="149" t="str">
        <f>B2&amp;D2</f>
        <v>ArgentinaAustria</v>
      </c>
      <c r="B39" s="158" t="str">
        <f>B1&amp;D1</f>
        <v>J1J3</v>
      </c>
      <c r="C39" s="158">
        <v>1</v>
      </c>
      <c r="D39" s="150" t="str">
        <f>B2</f>
        <v>Argentina</v>
      </c>
      <c r="E39" s="150" t="str">
        <f>D2</f>
        <v>Austria</v>
      </c>
      <c r="F39" s="158">
        <f t="shared" ca="1" si="31"/>
        <v>1</v>
      </c>
      <c r="G39" s="158">
        <f t="shared" ca="1" si="32"/>
        <v>1</v>
      </c>
      <c r="H39" s="158">
        <f t="shared" ca="1" si="33"/>
        <v>1</v>
      </c>
      <c r="I39" s="158">
        <f t="shared" ca="1" si="34"/>
        <v>1</v>
      </c>
      <c r="J39" s="158">
        <f t="shared" si="35"/>
        <v>0</v>
      </c>
      <c r="K39" s="158">
        <f t="shared" si="35"/>
        <v>0</v>
      </c>
      <c r="L39" s="143"/>
      <c r="M39" s="143"/>
      <c r="N39" s="143"/>
      <c r="O39" s="143"/>
      <c r="P39" s="143"/>
    </row>
    <row r="40" spans="1:16" x14ac:dyDescent="0.25">
      <c r="A40" s="149" t="str">
        <f>E2&amp;C2</f>
        <v>JordanAlgeria</v>
      </c>
      <c r="B40" s="158" t="str">
        <f>E1&amp;C1</f>
        <v>J4J2</v>
      </c>
      <c r="C40" s="158">
        <v>1</v>
      </c>
      <c r="D40" s="150" t="str">
        <f>E2</f>
        <v>Jordan</v>
      </c>
      <c r="E40" s="150" t="str">
        <f>C2</f>
        <v>Algeria</v>
      </c>
      <c r="F40" s="158">
        <f t="shared" ca="1" si="31"/>
        <v>1</v>
      </c>
      <c r="G40" s="158">
        <f t="shared" ca="1" si="32"/>
        <v>2</v>
      </c>
      <c r="H40" s="158">
        <f t="shared" ca="1" si="33"/>
        <v>0</v>
      </c>
      <c r="I40" s="158">
        <f t="shared" ca="1" si="34"/>
        <v>3</v>
      </c>
      <c r="J40" s="158">
        <f t="shared" si="35"/>
        <v>0</v>
      </c>
      <c r="K40" s="158">
        <f t="shared" si="35"/>
        <v>0</v>
      </c>
      <c r="L40" s="143"/>
      <c r="M40" s="143"/>
      <c r="N40" s="143"/>
      <c r="O40" s="143"/>
      <c r="P40" s="143"/>
    </row>
    <row r="41" spans="1:16" x14ac:dyDescent="0.25">
      <c r="A41" s="149" t="str">
        <f>C2&amp;D2</f>
        <v>AlgeriaAustria</v>
      </c>
      <c r="B41" s="158" t="str">
        <f>C1&amp;D1</f>
        <v>J2J3</v>
      </c>
      <c r="C41" s="158">
        <v>1</v>
      </c>
      <c r="D41" s="150" t="str">
        <f>C2</f>
        <v>Algeria</v>
      </c>
      <c r="E41" s="150" t="str">
        <f>D2</f>
        <v>Austria</v>
      </c>
      <c r="F41" s="158">
        <f t="shared" ca="1" si="31"/>
        <v>1</v>
      </c>
      <c r="G41" s="158">
        <f t="shared" ca="1" si="32"/>
        <v>3</v>
      </c>
      <c r="H41" s="158">
        <f t="shared" ca="1" si="33"/>
        <v>0</v>
      </c>
      <c r="I41" s="158">
        <f t="shared" ca="1" si="34"/>
        <v>3</v>
      </c>
      <c r="J41" s="158">
        <f t="shared" si="35"/>
        <v>0</v>
      </c>
      <c r="K41" s="158">
        <f t="shared" si="35"/>
        <v>0</v>
      </c>
      <c r="L41" s="143"/>
      <c r="M41" s="143"/>
      <c r="N41" s="143"/>
      <c r="O41" s="143"/>
      <c r="P41" s="143"/>
    </row>
    <row r="42" spans="1:16" x14ac:dyDescent="0.25">
      <c r="A42" s="151" t="str">
        <f>E2&amp;B2</f>
        <v>JordanArgentina</v>
      </c>
      <c r="B42" s="159" t="str">
        <f>E1&amp;B1</f>
        <v>J4J1</v>
      </c>
      <c r="C42" s="159">
        <v>1</v>
      </c>
      <c r="D42" s="152" t="str">
        <f>E2</f>
        <v>Jordan</v>
      </c>
      <c r="E42" s="152" t="str">
        <f>B2</f>
        <v>Argentina</v>
      </c>
      <c r="F42" s="159">
        <f t="shared" ca="1" si="31"/>
        <v>0</v>
      </c>
      <c r="G42" s="159">
        <f t="shared" ca="1" si="32"/>
        <v>2</v>
      </c>
      <c r="H42" s="159">
        <f t="shared" ca="1" si="33"/>
        <v>0</v>
      </c>
      <c r="I42" s="159">
        <f t="shared" ca="1" si="34"/>
        <v>3</v>
      </c>
      <c r="J42" s="159">
        <f t="shared" si="35"/>
        <v>0</v>
      </c>
      <c r="K42" s="159">
        <f t="shared" si="35"/>
        <v>0</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 ca="1">$B45</f>
        <v>Argentina</v>
      </c>
      <c r="M44" s="154" t="str">
        <f ca="1">$B46</f>
        <v>Austria</v>
      </c>
      <c r="N44" s="154" t="str">
        <f ca="1">$B47</f>
        <v>Algeria</v>
      </c>
      <c r="O44" s="154" t="str">
        <f ca="1">$B48</f>
        <v>Jordan</v>
      </c>
      <c r="P44" s="155"/>
    </row>
    <row r="45" spans="1:16" x14ac:dyDescent="0.25">
      <c r="A45" s="156">
        <v>1</v>
      </c>
      <c r="B45" s="156" t="str">
        <f ca="1">VLOOKUP($A45,Ranking,2,FALSE)</f>
        <v>Argentina</v>
      </c>
      <c r="C45" s="157">
        <v>3</v>
      </c>
      <c r="D45" s="157">
        <f ca="1">VLOOKUP($A45,Ranking,4,FALSE)</f>
        <v>2</v>
      </c>
      <c r="E45" s="157">
        <f ca="1">VLOOKUP($A45,Ranking,5,FALSE)</f>
        <v>1</v>
      </c>
      <c r="F45" s="157">
        <f ca="1">VLOOKUP($A45,Ranking,6,FALSE)</f>
        <v>0</v>
      </c>
      <c r="G45" s="157">
        <f ca="1">VLOOKUP($A45,Ranking,7,FALSE)</f>
        <v>7</v>
      </c>
      <c r="H45" s="157">
        <f ca="1">VLOOKUP($A45,Ranking,8,FALSE)</f>
        <v>2</v>
      </c>
      <c r="I45" s="157">
        <f ca="1">G45-H45</f>
        <v>5</v>
      </c>
      <c r="J45" s="157">
        <f ca="1">D45*Wpts+E45*Dpts+FGrpJ!F45*Lpts</f>
        <v>7</v>
      </c>
      <c r="K45" s="201" t="str">
        <f ca="1">B45</f>
        <v>Argentina</v>
      </c>
      <c r="L45" s="203"/>
      <c r="M45" s="202" t="str">
        <f ca="1">IFERROR(VLOOKUP($B45&amp;M$44,A37:G42,6,FALSE)&amp;"-"&amp;VLOOKUP($B45&amp;M$44,A37:G42,7,FALSE),VLOOKUP(M$44&amp;$B45,A37:G42,7,FALSE)&amp;"-"&amp;VLOOKUP(M$44&amp;$B45,A37:G42,6,FALSE))</f>
        <v>1-1</v>
      </c>
      <c r="N45" s="202" t="str">
        <f ca="1">IFERROR(VLOOKUP($B45&amp;N$44,A37:G42,6,FALSE)&amp;"-"&amp;VLOOKUP($B45&amp;N$44,A37:G42,7,FALSE),VLOOKUP(N$44&amp;$B45,A37:G42,7,FALSE)&amp;"-"&amp;VLOOKUP(N$44&amp;$B45,A37:G42,6,FALSE))</f>
        <v>4-1</v>
      </c>
      <c r="O45" s="202" t="str">
        <f ca="1">IFERROR(VLOOKUP($B45&amp;O$44,A37:G42,6,FALSE)&amp;"-"&amp;VLOOKUP($B45&amp;O$44,A37:G42,7,FALSE),VLOOKUP(O$44&amp;$B45,A37:G42,7,FALSE)&amp;"-"&amp;VLOOKUP(O$44&amp;$B45,A37:G42,6,FALSE))</f>
        <v>2-0</v>
      </c>
      <c r="P45" s="155"/>
    </row>
    <row r="46" spans="1:16" x14ac:dyDescent="0.25">
      <c r="A46" s="156">
        <v>2</v>
      </c>
      <c r="B46" s="156" t="str">
        <f ca="1">VLOOKUP($A46,Ranking,2,FALSE)</f>
        <v>Austria</v>
      </c>
      <c r="C46" s="157">
        <v>3</v>
      </c>
      <c r="D46" s="157">
        <f ca="1">VLOOKUP($A46,Ranking,4,FALSE)</f>
        <v>2</v>
      </c>
      <c r="E46" s="157">
        <f ca="1">VLOOKUP($A46,Ranking,5,FALSE)</f>
        <v>1</v>
      </c>
      <c r="F46" s="157">
        <f ca="1">VLOOKUP($A46,Ranking,6,FALSE)</f>
        <v>0</v>
      </c>
      <c r="G46" s="157">
        <f ca="1">VLOOKUP($A46,Ranking,7,FALSE)</f>
        <v>7</v>
      </c>
      <c r="H46" s="157">
        <f ca="1">VLOOKUP($A46,Ranking,8,FALSE)</f>
        <v>3</v>
      </c>
      <c r="I46" s="157">
        <f t="shared" ref="I46:I48" ca="1" si="36">G46-H46</f>
        <v>4</v>
      </c>
      <c r="J46" s="157">
        <f ca="1">D46*Wpts+E46*Dpts+FGrpJ!F46*Lpts</f>
        <v>7</v>
      </c>
      <c r="K46" s="201" t="str">
        <f ca="1">B46</f>
        <v>Austria</v>
      </c>
      <c r="L46" s="202" t="str">
        <f ca="1">IFERROR(VLOOKUP($B46&amp;L$44,A37:G42,6,FALSE)&amp;"-"&amp;VLOOKUP($B46&amp;L$44,A37:G42,7,FALSE),VLOOKUP(L$44&amp;$B46,A37:G42,7,FALSE)&amp;"-"&amp;VLOOKUP(L$44&amp;$B46,A37:G42,6,FALSE))</f>
        <v>1-1</v>
      </c>
      <c r="M46" s="203"/>
      <c r="N46" s="202" t="str">
        <f ca="1">IFERROR(VLOOKUP($B46&amp;N$44,A37:G42,6,FALSE)&amp;"-"&amp;VLOOKUP($B46&amp;N$44,A37:G42,7,FALSE),VLOOKUP(N$44&amp;$B46,A37:G42,7,FALSE)&amp;"-"&amp;VLOOKUP(N$44&amp;$B46,A37:G42,6,FALSE))</f>
        <v>3-1</v>
      </c>
      <c r="O46" s="202" t="str">
        <f ca="1">IFERROR(VLOOKUP($B46&amp;O$44,A37:G42,6,FALSE)&amp;"-"&amp;VLOOKUP($B46&amp;O$44,A37:G42,7,FALSE),VLOOKUP(O$44&amp;$B46,A37:G42,7,FALSE)&amp;"-"&amp;VLOOKUP(O$44&amp;$B46,A37:G42,6,FALSE))</f>
        <v>3-1</v>
      </c>
      <c r="P46" s="155"/>
    </row>
    <row r="47" spans="1:16" x14ac:dyDescent="0.25">
      <c r="A47" s="156">
        <v>3</v>
      </c>
      <c r="B47" s="156" t="str">
        <f ca="1">VLOOKUP($A47,Ranking,2,FALSE)</f>
        <v>Algeria</v>
      </c>
      <c r="C47" s="157">
        <v>3</v>
      </c>
      <c r="D47" s="157">
        <f ca="1">VLOOKUP($A47,Ranking,4,FALSE)</f>
        <v>1</v>
      </c>
      <c r="E47" s="157">
        <f ca="1">VLOOKUP($A47,Ranking,5,FALSE)</f>
        <v>0</v>
      </c>
      <c r="F47" s="157">
        <f ca="1">VLOOKUP($A47,Ranking,6,FALSE)</f>
        <v>2</v>
      </c>
      <c r="G47" s="157">
        <f ca="1">VLOOKUP($A47,Ranking,7,FALSE)</f>
        <v>4</v>
      </c>
      <c r="H47" s="157">
        <f ca="1">VLOOKUP($A47,Ranking,8,FALSE)</f>
        <v>8</v>
      </c>
      <c r="I47" s="157">
        <f t="shared" ca="1" si="36"/>
        <v>-4</v>
      </c>
      <c r="J47" s="157">
        <f ca="1">D47*Wpts+E47*Dpts+FGrpJ!F47*Lpts</f>
        <v>3</v>
      </c>
      <c r="K47" s="201" t="str">
        <f ca="1">B47</f>
        <v>Algeria</v>
      </c>
      <c r="L47" s="202" t="str">
        <f ca="1">IFERROR(VLOOKUP($B47&amp;L$44,A37:G42,6,FALSE)&amp;"-"&amp;VLOOKUP($B47&amp;L$44,A37:G42,7,FALSE),VLOOKUP(L$44&amp;$B47,A37:G42,7,FALSE)&amp;"-"&amp;VLOOKUP(L$44&amp;$B47,A37:G42,6,FALSE))</f>
        <v>1-4</v>
      </c>
      <c r="M47" s="202" t="str">
        <f ca="1">IFERROR(VLOOKUP($B47&amp;M$44,A37:G42,6,FALSE)&amp;"-"&amp;VLOOKUP($B47&amp;M$44,A37:G42,7,FALSE),VLOOKUP(M$44&amp;$B47,A37:G42,7,FALSE)&amp;"-"&amp;VLOOKUP(M$44&amp;$B47,A37:G42,6,FALSE))</f>
        <v>1-3</v>
      </c>
      <c r="N47" s="203"/>
      <c r="O47" s="202" t="str">
        <f ca="1">IFERROR(VLOOKUP($B47&amp;O$44,A37:G42,6,FALSE)&amp;"-"&amp;VLOOKUP($B47&amp;O$44,A37:G42,7,FALSE),VLOOKUP(O$44&amp;$B47,A37:G42,7,FALSE)&amp;"-"&amp;VLOOKUP(O$44&amp;$B47,A37:G42,6,FALSE))</f>
        <v>2-1</v>
      </c>
      <c r="P47" s="155"/>
    </row>
    <row r="48" spans="1:16" x14ac:dyDescent="0.25">
      <c r="A48" s="156">
        <v>4</v>
      </c>
      <c r="B48" s="156" t="str">
        <f ca="1">VLOOKUP($A48,Ranking,2,FALSE)</f>
        <v>Jordan</v>
      </c>
      <c r="C48" s="157">
        <v>3</v>
      </c>
      <c r="D48" s="157">
        <f ca="1">VLOOKUP($A48,Ranking,4,FALSE)</f>
        <v>0</v>
      </c>
      <c r="E48" s="157">
        <f ca="1">VLOOKUP($A48,Ranking,5,FALSE)</f>
        <v>0</v>
      </c>
      <c r="F48" s="157">
        <f ca="1">VLOOKUP($A48,Ranking,6,FALSE)</f>
        <v>3</v>
      </c>
      <c r="G48" s="157">
        <f ca="1">VLOOKUP($A48,Ranking,7,FALSE)</f>
        <v>2</v>
      </c>
      <c r="H48" s="157">
        <f ca="1">VLOOKUP($A48,Ranking,8,FALSE)</f>
        <v>7</v>
      </c>
      <c r="I48" s="157">
        <f t="shared" ca="1" si="36"/>
        <v>-5</v>
      </c>
      <c r="J48" s="157">
        <f ca="1">D48*Wpts+E48*Dpts+FGrpJ!F48*Lpts</f>
        <v>0</v>
      </c>
      <c r="K48" s="201" t="str">
        <f ca="1">B48</f>
        <v>Jordan</v>
      </c>
      <c r="L48" s="202" t="str">
        <f ca="1">IFERROR(VLOOKUP($B48&amp;L$44,A37:G42,6,FALSE)&amp;"-"&amp;VLOOKUP($B48&amp;L$44,A37:G42,7,FALSE),VLOOKUP(L$44&amp;$B48,A37:G42,7,FALSE)&amp;"-"&amp;VLOOKUP(L$44&amp;$B48,A37:G42,6,FALSE))</f>
        <v>0-2</v>
      </c>
      <c r="M48" s="202" t="str">
        <f ca="1">IFERROR(VLOOKUP($B48&amp;M$44,A37:G42,6,FALSE)&amp;"-"&amp;VLOOKUP($B48&amp;M$44,A37:G42,7,FALSE),VLOOKUP(M$44&amp;$B48,A37:G42,7,FALSE)&amp;"-"&amp;VLOOKUP(M$44&amp;$B48,A37:G42,6,FALSE))</f>
        <v>1-3</v>
      </c>
      <c r="N48" s="202" t="str">
        <f ca="1">IFERROR(VLOOKUP($B48&amp;N$44,A37:G42,6,FALSE)&amp;"-"&amp;VLOOKUP($B48&amp;N$44,A37:G42,7,FALSE),VLOOKUP(N$44&amp;$B48,A37:G42,7,FALSE)&amp;"-"&amp;VLOOKUP(N$44&amp;$B48,A37:G42,6,FALSE))</f>
        <v>1-2</v>
      </c>
      <c r="O48" s="203"/>
      <c r="P48" s="155"/>
    </row>
    <row r="49" spans="1:16" x14ac:dyDescent="0.25">
      <c r="A49" s="143"/>
      <c r="B49" s="143"/>
      <c r="C49" s="461">
        <f>SUM(C45:C48)</f>
        <v>12</v>
      </c>
      <c r="D49" s="143"/>
      <c r="E49" s="143"/>
      <c r="F49" s="143"/>
      <c r="G49" s="143"/>
      <c r="H49" s="143"/>
      <c r="I49" s="143"/>
      <c r="J49" s="143"/>
      <c r="K49" s="143"/>
      <c r="L49" s="143"/>
      <c r="M49" s="143"/>
      <c r="N49" s="143"/>
      <c r="O49" s="143"/>
      <c r="P49" s="143"/>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71DE7-4197-4A0A-BC89-39E18E0ECC97}">
  <sheetPr>
    <tabColor rgb="FF7030A0"/>
  </sheetPr>
  <dimension ref="A1:Z49"/>
  <sheetViews>
    <sheetView workbookViewId="0">
      <pane ySplit="2" topLeftCell="A17"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28" t="s">
        <v>320</v>
      </c>
      <c r="B1" s="216" t="str">
        <f>A2&amp;1</f>
        <v>K1</v>
      </c>
      <c r="C1" s="216" t="str">
        <f>A2&amp;2</f>
        <v>K2</v>
      </c>
      <c r="D1" s="216" t="str">
        <f>A2&amp;3</f>
        <v>K3</v>
      </c>
      <c r="E1" s="216" t="str">
        <f>A2&amp;4</f>
        <v>K4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623</v>
      </c>
      <c r="B2" s="217" t="str">
        <f>VLOOKUP(B1,Lookup08,2,FALSE)</f>
        <v>Portugal</v>
      </c>
      <c r="C2" s="217" t="str">
        <f>VLOOKUP(C1,Lookup08,2,FALSE)</f>
        <v>Congo DR</v>
      </c>
      <c r="D2" s="217" t="str">
        <f>VLOOKUP(D1,Lookup08,2,FALSE)</f>
        <v>Uzbekistan</v>
      </c>
      <c r="E2" s="217" t="str">
        <f>VLOOKUP(E1,Lookup08,2,FALSE)</f>
        <v>Colombia</v>
      </c>
      <c r="F2" s="144"/>
      <c r="G2" s="144"/>
      <c r="H2" s="195"/>
      <c r="I2" s="196" t="str">
        <f>B2</f>
        <v>Portugal</v>
      </c>
      <c r="J2" s="196" t="str">
        <f>C2</f>
        <v>Congo DR</v>
      </c>
      <c r="K2" s="196" t="str">
        <f>D2</f>
        <v>Uzbekistan</v>
      </c>
      <c r="L2" s="196" t="str">
        <f>E2</f>
        <v>Colombia</v>
      </c>
      <c r="M2" s="197" t="s">
        <v>26</v>
      </c>
      <c r="N2" s="195"/>
      <c r="O2" s="196" t="str">
        <f>I2</f>
        <v>Portugal</v>
      </c>
      <c r="P2" s="196" t="str">
        <f t="shared" ref="P2:R2" si="0">J2</f>
        <v>Congo DR</v>
      </c>
      <c r="Q2" s="196" t="str">
        <f t="shared" si="0"/>
        <v>Uzbekistan</v>
      </c>
      <c r="R2" s="196" t="str">
        <f t="shared" si="0"/>
        <v>Colombia</v>
      </c>
      <c r="S2" s="197" t="s">
        <v>26</v>
      </c>
      <c r="T2" s="195"/>
      <c r="U2" s="196" t="str">
        <f>O2</f>
        <v>Portugal</v>
      </c>
      <c r="V2" s="196" t="str">
        <f t="shared" ref="V2:X2" si="1">P2</f>
        <v>Congo DR</v>
      </c>
      <c r="W2" s="196" t="str">
        <f t="shared" si="1"/>
        <v>Uzbekistan</v>
      </c>
      <c r="X2" s="196" t="str">
        <f t="shared" si="1"/>
        <v>Colombia</v>
      </c>
      <c r="Y2" s="197" t="s">
        <v>26</v>
      </c>
    </row>
    <row r="3" spans="1:26" x14ac:dyDescent="0.25">
      <c r="A3" s="144"/>
      <c r="B3" s="144"/>
      <c r="C3" s="144"/>
      <c r="F3" s="144"/>
      <c r="G3" s="144"/>
      <c r="H3" s="195" t="str">
        <f>B2</f>
        <v>Portugal</v>
      </c>
      <c r="I3" s="211"/>
      <c r="J3" s="196">
        <f ca="1">IF(G10=G11,1,0)</f>
        <v>0</v>
      </c>
      <c r="K3" s="196">
        <f ca="1">IF(G10=G12,1,0)</f>
        <v>0</v>
      </c>
      <c r="L3" s="196">
        <f ca="1">IF(G10=G13,1,0)</f>
        <v>1</v>
      </c>
      <c r="M3" s="197">
        <f ca="1">SUM(I3:L3)</f>
        <v>1</v>
      </c>
      <c r="N3" s="195" t="str">
        <f>H3</f>
        <v>Portugal</v>
      </c>
      <c r="O3" s="211"/>
      <c r="P3" s="196">
        <f ca="1">IF(M10=M11,1,0)</f>
        <v>0</v>
      </c>
      <c r="Q3" s="196">
        <f ca="1">IF(M10=M12,1,0)</f>
        <v>0</v>
      </c>
      <c r="R3" s="196">
        <f ca="1">IF(M10=M13,1,0)</f>
        <v>1</v>
      </c>
      <c r="S3" s="197">
        <f ca="1">SUM(O3:R3)</f>
        <v>1</v>
      </c>
      <c r="T3" s="195" t="str">
        <f>N3</f>
        <v>Portugal</v>
      </c>
      <c r="U3" s="211"/>
      <c r="V3" s="196">
        <f ca="1">IF(S10=S11,1,0)</f>
        <v>0</v>
      </c>
      <c r="W3" s="196">
        <f ca="1">IF(S10=S12,1,0)</f>
        <v>0</v>
      </c>
      <c r="X3" s="196">
        <f ca="1">IF(S10=S13,1,0)</f>
        <v>1</v>
      </c>
      <c r="Y3" s="197">
        <f ca="1">SUM(U3:X3)</f>
        <v>1</v>
      </c>
    </row>
    <row r="4" spans="1:26" x14ac:dyDescent="0.25">
      <c r="A4" s="144"/>
      <c r="B4" s="144"/>
      <c r="C4" s="144"/>
      <c r="F4" s="144"/>
      <c r="G4" s="144"/>
      <c r="H4" s="195" t="str">
        <f>C2</f>
        <v>Congo DR</v>
      </c>
      <c r="I4" s="196">
        <f ca="1">IF(G11=G10,1,0)</f>
        <v>0</v>
      </c>
      <c r="J4" s="211"/>
      <c r="K4" s="196">
        <f ca="1">IF(G11=G12,1,0)</f>
        <v>0</v>
      </c>
      <c r="L4" s="196">
        <f ca="1">IF(G11=G13,1,0)</f>
        <v>0</v>
      </c>
      <c r="M4" s="197">
        <f ca="1">SUM(I4:L4)</f>
        <v>0</v>
      </c>
      <c r="N4" s="195" t="str">
        <f t="shared" ref="N4:N6" si="2">H4</f>
        <v>Congo DR</v>
      </c>
      <c r="O4" s="196">
        <f ca="1">IF(M11=M10,1,0)</f>
        <v>0</v>
      </c>
      <c r="P4" s="211"/>
      <c r="Q4" s="196">
        <f ca="1">IF(M11=M12,1,0)</f>
        <v>0</v>
      </c>
      <c r="R4" s="196">
        <f ca="1">IF(M11=M13,1,0)</f>
        <v>0</v>
      </c>
      <c r="S4" s="197">
        <f ca="1">SUM(O4:R4)</f>
        <v>0</v>
      </c>
      <c r="T4" s="195" t="str">
        <f t="shared" ref="T4:T6" si="3">N4</f>
        <v>Congo DR</v>
      </c>
      <c r="U4" s="196">
        <f ca="1">IF(S11=S10,1,0)</f>
        <v>0</v>
      </c>
      <c r="V4" s="211"/>
      <c r="W4" s="196">
        <f ca="1">IF(S11=S12,1,0)</f>
        <v>0</v>
      </c>
      <c r="X4" s="196">
        <f ca="1">IF(S11=S13,1,0)</f>
        <v>0</v>
      </c>
      <c r="Y4" s="197">
        <f ca="1">SUM(U4:X4)</f>
        <v>0</v>
      </c>
    </row>
    <row r="5" spans="1:26" x14ac:dyDescent="0.25">
      <c r="A5" s="144"/>
      <c r="B5" s="144"/>
      <c r="C5" s="144"/>
      <c r="F5" s="144"/>
      <c r="G5" s="144"/>
      <c r="H5" s="195" t="str">
        <f>D2</f>
        <v>Uzbekistan</v>
      </c>
      <c r="I5" s="196">
        <f ca="1">IF(G12=G10,1,0)</f>
        <v>0</v>
      </c>
      <c r="J5" s="196">
        <f ca="1">IF(G12=G11,1,0)</f>
        <v>0</v>
      </c>
      <c r="K5" s="211"/>
      <c r="L5" s="196">
        <f ca="1">IF(G12=G13,1,0)</f>
        <v>0</v>
      </c>
      <c r="M5" s="197">
        <f ca="1">SUM(I5:L5)</f>
        <v>0</v>
      </c>
      <c r="N5" s="195" t="str">
        <f t="shared" si="2"/>
        <v>Uzbekistan</v>
      </c>
      <c r="O5" s="196">
        <f ca="1">IF(M12=M10,1,0)</f>
        <v>0</v>
      </c>
      <c r="P5" s="196">
        <f ca="1">IF(M12=M11,1,0)</f>
        <v>0</v>
      </c>
      <c r="Q5" s="211"/>
      <c r="R5" s="196">
        <f ca="1">IF(M12=M13,1,0)</f>
        <v>0</v>
      </c>
      <c r="S5" s="197">
        <f ca="1">SUM(O5:R5)</f>
        <v>0</v>
      </c>
      <c r="T5" s="195" t="str">
        <f t="shared" si="3"/>
        <v>Uzbekistan</v>
      </c>
      <c r="U5" s="196">
        <f ca="1">IF(S12=S10,1,0)</f>
        <v>0</v>
      </c>
      <c r="V5" s="196">
        <f ca="1">IF(S12=S11,1,0)</f>
        <v>0</v>
      </c>
      <c r="W5" s="211"/>
      <c r="X5" s="196">
        <f ca="1">IF(S12=S13,1,0)</f>
        <v>0</v>
      </c>
      <c r="Y5" s="197">
        <f ca="1">SUM(U5:X5)</f>
        <v>0</v>
      </c>
    </row>
    <row r="6" spans="1:26" x14ac:dyDescent="0.25">
      <c r="A6" s="144"/>
      <c r="B6" s="144"/>
      <c r="C6" s="144"/>
      <c r="F6" s="144"/>
      <c r="G6" s="144"/>
      <c r="H6" s="198" t="str">
        <f>E2</f>
        <v>Colombia</v>
      </c>
      <c r="I6" s="199">
        <f ca="1">IF(G13=G10,1,0)</f>
        <v>1</v>
      </c>
      <c r="J6" s="199">
        <f ca="1">IF(G13=G11,1,0)</f>
        <v>0</v>
      </c>
      <c r="K6" s="199">
        <f ca="1">IF(G13=G12,1,0)</f>
        <v>0</v>
      </c>
      <c r="L6" s="212"/>
      <c r="M6" s="200">
        <f ca="1">SUM(I6:L6)</f>
        <v>1</v>
      </c>
      <c r="N6" s="198" t="str">
        <f t="shared" si="2"/>
        <v>Colombia</v>
      </c>
      <c r="O6" s="199">
        <f ca="1">IF(M13=M10,1,0)</f>
        <v>1</v>
      </c>
      <c r="P6" s="199">
        <f ca="1">IF(M13=M11,1,0)</f>
        <v>0</v>
      </c>
      <c r="Q6" s="199">
        <f ca="1">IF(M13=M12,1,0)</f>
        <v>0</v>
      </c>
      <c r="R6" s="212"/>
      <c r="S6" s="200">
        <f ca="1">SUM(O6:R6)</f>
        <v>1</v>
      </c>
      <c r="T6" s="198" t="str">
        <f t="shared" si="3"/>
        <v>Colombia</v>
      </c>
      <c r="U6" s="199">
        <f ca="1">IF(S13=S10,1,0)</f>
        <v>1</v>
      </c>
      <c r="V6" s="199">
        <f ca="1">IF(S13=S11,1,0)</f>
        <v>0</v>
      </c>
      <c r="W6" s="199">
        <f ca="1">IF(S13=S12,1,0)</f>
        <v>0</v>
      </c>
      <c r="X6" s="212"/>
      <c r="Y6" s="200">
        <f ca="1">SUM(U6:X6)</f>
        <v>1</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Portugal</v>
      </c>
      <c r="D9" s="190" t="str">
        <f>C2</f>
        <v>Congo DR</v>
      </c>
      <c r="E9" s="190" t="str">
        <f>D2</f>
        <v>Uzbekistan</v>
      </c>
      <c r="F9" s="190" t="str">
        <f>E2</f>
        <v>Colombia</v>
      </c>
      <c r="G9" s="191" t="s">
        <v>26</v>
      </c>
      <c r="H9" s="189"/>
      <c r="I9" s="190" t="str">
        <f>C9</f>
        <v>Portugal</v>
      </c>
      <c r="J9" s="190" t="str">
        <f t="shared" ref="J9:L9" si="4">D9</f>
        <v>Congo DR</v>
      </c>
      <c r="K9" s="190" t="str">
        <f t="shared" si="4"/>
        <v>Uzbekistan</v>
      </c>
      <c r="L9" s="190" t="str">
        <f t="shared" si="4"/>
        <v>Colombia</v>
      </c>
      <c r="M9" s="191" t="s">
        <v>26</v>
      </c>
      <c r="N9" s="189"/>
      <c r="O9" s="190" t="str">
        <f>I9</f>
        <v>Portugal</v>
      </c>
      <c r="P9" s="190" t="str">
        <f t="shared" ref="P9:R9" si="5">J9</f>
        <v>Congo DR</v>
      </c>
      <c r="Q9" s="190" t="str">
        <f t="shared" si="5"/>
        <v>Uzbekistan</v>
      </c>
      <c r="R9" s="190" t="str">
        <f t="shared" si="5"/>
        <v>Colombia</v>
      </c>
      <c r="S9" s="191" t="s">
        <v>26</v>
      </c>
      <c r="T9" s="189"/>
      <c r="U9" s="190" t="str">
        <f>O9</f>
        <v>Portugal</v>
      </c>
      <c r="V9" s="190" t="str">
        <f t="shared" ref="V9:X9" si="6">P9</f>
        <v>Congo DR</v>
      </c>
      <c r="W9" s="190" t="str">
        <f t="shared" si="6"/>
        <v>Uzbekistan</v>
      </c>
      <c r="X9" s="190" t="str">
        <f t="shared" si="6"/>
        <v>Colombia</v>
      </c>
      <c r="Y9" s="191" t="s">
        <v>26</v>
      </c>
      <c r="Z9" s="227" t="s">
        <v>309</v>
      </c>
    </row>
    <row r="10" spans="1:26" x14ac:dyDescent="0.25">
      <c r="A10" s="144"/>
      <c r="B10" s="189" t="str">
        <f>B2</f>
        <v>Portugal</v>
      </c>
      <c r="C10" s="204"/>
      <c r="D10" s="190">
        <f ca="1">H37</f>
        <v>3</v>
      </c>
      <c r="E10" s="190">
        <f ca="1">H39</f>
        <v>3</v>
      </c>
      <c r="F10" s="190">
        <f ca="1">I42</f>
        <v>1</v>
      </c>
      <c r="G10" s="191">
        <f ca="1">SUM(C10:F10)</f>
        <v>7</v>
      </c>
      <c r="H10" s="189" t="str">
        <f>B10</f>
        <v>Portugal</v>
      </c>
      <c r="I10" s="218">
        <f>C10+I17/100+I24/10000</f>
        <v>0</v>
      </c>
      <c r="J10" s="219">
        <f t="shared" ref="J10:L10" ca="1" si="7">D10+J17/100+J24/10000</f>
        <v>3</v>
      </c>
      <c r="K10" s="219">
        <f t="shared" ca="1" si="7"/>
        <v>3</v>
      </c>
      <c r="L10" s="219">
        <f t="shared" ca="1" si="7"/>
        <v>1</v>
      </c>
      <c r="M10" s="220">
        <f ca="1">SUM(I10:L10)</f>
        <v>7</v>
      </c>
      <c r="N10" s="189" t="str">
        <f>H10</f>
        <v>Portugal</v>
      </c>
      <c r="O10" s="218">
        <f>I10+O17/100+O24/10000</f>
        <v>0</v>
      </c>
      <c r="P10" s="219">
        <f t="shared" ref="P10:R13" ca="1" si="8">J10+P17/100+P24/10000</f>
        <v>3</v>
      </c>
      <c r="Q10" s="219">
        <f t="shared" ca="1" si="8"/>
        <v>3</v>
      </c>
      <c r="R10" s="219">
        <f t="shared" ca="1" si="8"/>
        <v>1</v>
      </c>
      <c r="S10" s="220">
        <f ca="1">SUM(O10:R10)</f>
        <v>7</v>
      </c>
      <c r="T10" s="189" t="str">
        <f>N10</f>
        <v>Portugal</v>
      </c>
      <c r="U10" s="218">
        <f>O10+U17/100+U24/10000</f>
        <v>0</v>
      </c>
      <c r="V10" s="219">
        <f t="shared" ref="V10:X13" ca="1" si="9">P10+V17/100+V24/10000</f>
        <v>3</v>
      </c>
      <c r="W10" s="219">
        <f t="shared" ca="1" si="9"/>
        <v>3</v>
      </c>
      <c r="X10" s="219">
        <f t="shared" ca="1" si="9"/>
        <v>1</v>
      </c>
      <c r="Y10" s="220">
        <f ca="1">ROUND(SUM(U10:X10),8)</f>
        <v>7</v>
      </c>
      <c r="Z10" s="224">
        <f ca="1">_xlfn.RANK.EQ(Y10,Y$10:Y$13,1)</f>
        <v>3</v>
      </c>
    </row>
    <row r="11" spans="1:26" x14ac:dyDescent="0.25">
      <c r="A11" s="144"/>
      <c r="B11" s="189" t="str">
        <f>C2</f>
        <v>Congo DR</v>
      </c>
      <c r="C11" s="190">
        <f ca="1">I37</f>
        <v>0</v>
      </c>
      <c r="D11" s="204"/>
      <c r="E11" s="190">
        <f ca="1">H41</f>
        <v>3</v>
      </c>
      <c r="F11" s="190">
        <f ca="1">I40</f>
        <v>0</v>
      </c>
      <c r="G11" s="191">
        <f ca="1">SUM(C11:F11)</f>
        <v>3</v>
      </c>
      <c r="H11" s="189" t="str">
        <f t="shared" ref="H11:H13" si="10">B11</f>
        <v>Congo DR</v>
      </c>
      <c r="I11" s="219">
        <f t="shared" ref="I11:L13" ca="1" si="11">C11+I18/100+I25/10000</f>
        <v>0</v>
      </c>
      <c r="J11" s="218">
        <f t="shared" si="11"/>
        <v>0</v>
      </c>
      <c r="K11" s="219">
        <f t="shared" ca="1" si="11"/>
        <v>3</v>
      </c>
      <c r="L11" s="219">
        <f t="shared" ca="1" si="11"/>
        <v>0</v>
      </c>
      <c r="M11" s="220">
        <f ca="1">SUM(I11:L11)</f>
        <v>3</v>
      </c>
      <c r="N11" s="189" t="str">
        <f t="shared" ref="N11:N13" si="12">H11</f>
        <v>Congo DR</v>
      </c>
      <c r="O11" s="219">
        <f t="shared" ref="O11:O13" ca="1" si="13">I11+O18/100+O25/10000</f>
        <v>0</v>
      </c>
      <c r="P11" s="218">
        <f t="shared" si="8"/>
        <v>0</v>
      </c>
      <c r="Q11" s="219">
        <f t="shared" ca="1" si="8"/>
        <v>3</v>
      </c>
      <c r="R11" s="219">
        <f t="shared" ca="1" si="8"/>
        <v>0</v>
      </c>
      <c r="S11" s="220">
        <f ca="1">SUM(O11:R11)</f>
        <v>3</v>
      </c>
      <c r="T11" s="189" t="str">
        <f t="shared" ref="T11:T13" si="14">N11</f>
        <v>Congo DR</v>
      </c>
      <c r="U11" s="219">
        <f t="shared" ref="U11:U13" ca="1" si="15">O11+U18/100+U25/10000</f>
        <v>0</v>
      </c>
      <c r="V11" s="218">
        <f t="shared" si="9"/>
        <v>0</v>
      </c>
      <c r="W11" s="219">
        <f t="shared" ca="1" si="9"/>
        <v>3</v>
      </c>
      <c r="X11" s="219">
        <f t="shared" ca="1" si="9"/>
        <v>0</v>
      </c>
      <c r="Y11" s="220">
        <f t="shared" ref="Y11:Y13" ca="1" si="16">ROUND(SUM(U11:X11),8)</f>
        <v>3</v>
      </c>
      <c r="Z11" s="224">
        <f t="shared" ref="Z11:Z13" ca="1" si="17">_xlfn.RANK.EQ(Y11,Y$10:Y$13,1)</f>
        <v>2</v>
      </c>
    </row>
    <row r="12" spans="1:26" x14ac:dyDescent="0.25">
      <c r="A12" s="144"/>
      <c r="B12" s="189" t="str">
        <f>D2</f>
        <v>Uzbekistan</v>
      </c>
      <c r="C12" s="190">
        <f ca="1">I39</f>
        <v>0</v>
      </c>
      <c r="D12" s="190">
        <f ca="1">I41</f>
        <v>0</v>
      </c>
      <c r="E12" s="204"/>
      <c r="F12" s="190">
        <f ca="1">H38</f>
        <v>0</v>
      </c>
      <c r="G12" s="191">
        <f ca="1">SUM(C12:F12)</f>
        <v>0</v>
      </c>
      <c r="H12" s="189" t="str">
        <f t="shared" si="10"/>
        <v>Uzbekistan</v>
      </c>
      <c r="I12" s="219">
        <f t="shared" ca="1" si="11"/>
        <v>0</v>
      </c>
      <c r="J12" s="219">
        <f t="shared" ca="1" si="11"/>
        <v>0</v>
      </c>
      <c r="K12" s="218">
        <f t="shared" si="11"/>
        <v>0</v>
      </c>
      <c r="L12" s="219">
        <f t="shared" ca="1" si="11"/>
        <v>0</v>
      </c>
      <c r="M12" s="220">
        <f ca="1">SUM(I12:L12)</f>
        <v>0</v>
      </c>
      <c r="N12" s="189" t="str">
        <f t="shared" si="12"/>
        <v>Uzbekistan</v>
      </c>
      <c r="O12" s="219">
        <f t="shared" ca="1" si="13"/>
        <v>0</v>
      </c>
      <c r="P12" s="219">
        <f t="shared" ca="1" si="8"/>
        <v>0</v>
      </c>
      <c r="Q12" s="218">
        <f t="shared" si="8"/>
        <v>0</v>
      </c>
      <c r="R12" s="219">
        <f t="shared" ca="1" si="8"/>
        <v>0</v>
      </c>
      <c r="S12" s="220">
        <f ca="1">SUM(O12:R12)</f>
        <v>0</v>
      </c>
      <c r="T12" s="189" t="str">
        <f t="shared" si="14"/>
        <v>Uzbekistan</v>
      </c>
      <c r="U12" s="219">
        <f t="shared" ca="1" si="15"/>
        <v>0</v>
      </c>
      <c r="V12" s="219">
        <f t="shared" ca="1" si="9"/>
        <v>0</v>
      </c>
      <c r="W12" s="218">
        <f t="shared" si="9"/>
        <v>0</v>
      </c>
      <c r="X12" s="219">
        <f t="shared" ca="1" si="9"/>
        <v>0</v>
      </c>
      <c r="Y12" s="220">
        <f t="shared" ca="1" si="16"/>
        <v>0</v>
      </c>
      <c r="Z12" s="224">
        <f t="shared" ca="1" si="17"/>
        <v>1</v>
      </c>
    </row>
    <row r="13" spans="1:26" x14ac:dyDescent="0.25">
      <c r="A13" s="144"/>
      <c r="B13" s="192" t="str">
        <f>E2</f>
        <v>Colombia</v>
      </c>
      <c r="C13" s="193">
        <f ca="1">H42</f>
        <v>1</v>
      </c>
      <c r="D13" s="193">
        <f ca="1">H40</f>
        <v>3</v>
      </c>
      <c r="E13" s="193">
        <f ca="1">I38</f>
        <v>3</v>
      </c>
      <c r="F13" s="205"/>
      <c r="G13" s="194">
        <f ca="1">SUM(C13:F13)</f>
        <v>7</v>
      </c>
      <c r="H13" s="192" t="str">
        <f t="shared" si="10"/>
        <v>Colombia</v>
      </c>
      <c r="I13" s="221">
        <f t="shared" ca="1" si="11"/>
        <v>1</v>
      </c>
      <c r="J13" s="221">
        <f t="shared" ca="1" si="11"/>
        <v>3</v>
      </c>
      <c r="K13" s="221">
        <f t="shared" ca="1" si="11"/>
        <v>3</v>
      </c>
      <c r="L13" s="222">
        <f t="shared" si="11"/>
        <v>0</v>
      </c>
      <c r="M13" s="223">
        <f ca="1">SUM(I13:L13)</f>
        <v>7</v>
      </c>
      <c r="N13" s="192" t="str">
        <f t="shared" si="12"/>
        <v>Colombia</v>
      </c>
      <c r="O13" s="221">
        <f t="shared" ca="1" si="13"/>
        <v>1</v>
      </c>
      <c r="P13" s="221">
        <f t="shared" ca="1" si="8"/>
        <v>3</v>
      </c>
      <c r="Q13" s="221">
        <f t="shared" ca="1" si="8"/>
        <v>3</v>
      </c>
      <c r="R13" s="222">
        <f t="shared" si="8"/>
        <v>0</v>
      </c>
      <c r="S13" s="223">
        <f ca="1">SUM(O13:R13)</f>
        <v>7</v>
      </c>
      <c r="T13" s="192" t="str">
        <f t="shared" si="14"/>
        <v>Colombia</v>
      </c>
      <c r="U13" s="221">
        <f t="shared" ca="1" si="15"/>
        <v>1</v>
      </c>
      <c r="V13" s="221">
        <f t="shared" ca="1" si="9"/>
        <v>3</v>
      </c>
      <c r="W13" s="221">
        <f t="shared" ca="1" si="9"/>
        <v>3</v>
      </c>
      <c r="X13" s="222">
        <f t="shared" si="9"/>
        <v>0</v>
      </c>
      <c r="Y13" s="223">
        <f t="shared" ca="1" si="16"/>
        <v>7</v>
      </c>
      <c r="Z13" s="225">
        <f t="shared" ca="1" si="17"/>
        <v>3</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Portugal</v>
      </c>
      <c r="D16" s="177" t="str">
        <f>C2</f>
        <v>Congo DR</v>
      </c>
      <c r="E16" s="177" t="str">
        <f>D2</f>
        <v>Uzbekistan</v>
      </c>
      <c r="F16" s="177" t="str">
        <f>E2</f>
        <v>Colombia</v>
      </c>
      <c r="G16" s="178" t="s">
        <v>26</v>
      </c>
      <c r="H16" s="183"/>
      <c r="I16" s="184" t="str">
        <f>C16</f>
        <v>Portugal</v>
      </c>
      <c r="J16" s="184" t="str">
        <f t="shared" ref="J16:L16" si="18">D16</f>
        <v>Congo DR</v>
      </c>
      <c r="K16" s="184" t="str">
        <f t="shared" si="18"/>
        <v>Uzbekistan</v>
      </c>
      <c r="L16" s="184" t="str">
        <f t="shared" si="18"/>
        <v>Colombia</v>
      </c>
      <c r="M16" s="185" t="s">
        <v>26</v>
      </c>
      <c r="N16" s="183"/>
      <c r="O16" s="184" t="str">
        <f>I16</f>
        <v>Portugal</v>
      </c>
      <c r="P16" s="184" t="str">
        <f t="shared" ref="P16:R16" si="19">J16</f>
        <v>Congo DR</v>
      </c>
      <c r="Q16" s="184" t="str">
        <f t="shared" si="19"/>
        <v>Uzbekistan</v>
      </c>
      <c r="R16" s="184" t="str">
        <f t="shared" si="19"/>
        <v>Colombia</v>
      </c>
      <c r="S16" s="185" t="s">
        <v>26</v>
      </c>
      <c r="T16" s="183"/>
      <c r="U16" s="184" t="str">
        <f>O16</f>
        <v>Portugal</v>
      </c>
      <c r="V16" s="184" t="str">
        <f t="shared" ref="V16:X16" si="20">P16</f>
        <v>Congo DR</v>
      </c>
      <c r="W16" s="184" t="str">
        <f t="shared" si="20"/>
        <v>Uzbekistan</v>
      </c>
      <c r="X16" s="184" t="str">
        <f t="shared" si="20"/>
        <v>Colombia</v>
      </c>
      <c r="Y16" s="185" t="s">
        <v>26</v>
      </c>
    </row>
    <row r="17" spans="1:25" x14ac:dyDescent="0.25">
      <c r="A17" s="144"/>
      <c r="B17" s="176" t="str">
        <f>B2</f>
        <v>Portugal</v>
      </c>
      <c r="C17" s="206"/>
      <c r="D17" s="179">
        <f ca="1">IFERROR(F37-G37,0)</f>
        <v>1</v>
      </c>
      <c r="E17" s="179">
        <f ca="1">IFERROR(F39-G39,0)</f>
        <v>1</v>
      </c>
      <c r="F17" s="179">
        <f ca="1">IFERROR(G42-F42,0)</f>
        <v>0</v>
      </c>
      <c r="G17" s="178">
        <f ca="1">SUM(C17:F17)</f>
        <v>2</v>
      </c>
      <c r="H17" s="183" t="str">
        <f>B17</f>
        <v>Portugal</v>
      </c>
      <c r="I17" s="208"/>
      <c r="J17" s="184">
        <f ca="1">D17*J3</f>
        <v>0</v>
      </c>
      <c r="K17" s="184">
        <f ca="1">E17*K3</f>
        <v>0</v>
      </c>
      <c r="L17" s="184">
        <f ca="1">F17*L3</f>
        <v>0</v>
      </c>
      <c r="M17" s="185">
        <f ca="1">SUM(I17:L17)</f>
        <v>0</v>
      </c>
      <c r="N17" s="183" t="str">
        <f>H17</f>
        <v>Portugal</v>
      </c>
      <c r="O17" s="208"/>
      <c r="P17" s="184">
        <f ca="1">J17*P3</f>
        <v>0</v>
      </c>
      <c r="Q17" s="184">
        <f ca="1">K17*Q3</f>
        <v>0</v>
      </c>
      <c r="R17" s="184">
        <f ca="1">L17*R3</f>
        <v>0</v>
      </c>
      <c r="S17" s="185">
        <f ca="1">SUM(O17:R17)</f>
        <v>0</v>
      </c>
      <c r="T17" s="183" t="str">
        <f>N17</f>
        <v>Portugal</v>
      </c>
      <c r="U17" s="208"/>
      <c r="V17" s="184">
        <f ca="1">P17*V3</f>
        <v>0</v>
      </c>
      <c r="W17" s="184">
        <f ca="1">Q17*W3</f>
        <v>0</v>
      </c>
      <c r="X17" s="184">
        <f ca="1">R17*X3</f>
        <v>0</v>
      </c>
      <c r="Y17" s="185">
        <f ca="1">SUM(U17:X17)</f>
        <v>0</v>
      </c>
    </row>
    <row r="18" spans="1:25" x14ac:dyDescent="0.25">
      <c r="A18" s="144"/>
      <c r="B18" s="176" t="str">
        <f>C2</f>
        <v>Congo DR</v>
      </c>
      <c r="C18" s="179">
        <f ca="1">IFERROR(G37-F37,0)</f>
        <v>-1</v>
      </c>
      <c r="D18" s="206"/>
      <c r="E18" s="179">
        <f ca="1">IFERROR(F41-G41,0)</f>
        <v>1</v>
      </c>
      <c r="F18" s="179">
        <f ca="1">IFERROR(G40-F40,0)</f>
        <v>-2</v>
      </c>
      <c r="G18" s="178">
        <f ca="1">SUM(C18:F18)</f>
        <v>-2</v>
      </c>
      <c r="H18" s="183" t="str">
        <f t="shared" ref="H18:H20" si="21">B18</f>
        <v>Congo DR</v>
      </c>
      <c r="I18" s="184">
        <f ca="1">C18*I4</f>
        <v>0</v>
      </c>
      <c r="J18" s="208"/>
      <c r="K18" s="184">
        <f ca="1">E18*K4</f>
        <v>0</v>
      </c>
      <c r="L18" s="184">
        <f ca="1">F18*L4</f>
        <v>0</v>
      </c>
      <c r="M18" s="185">
        <f ca="1">SUM(I18:L18)</f>
        <v>0</v>
      </c>
      <c r="N18" s="183" t="str">
        <f t="shared" ref="N18:N20" si="22">H18</f>
        <v>Congo DR</v>
      </c>
      <c r="O18" s="184">
        <f ca="1">I18*O4</f>
        <v>0</v>
      </c>
      <c r="P18" s="208"/>
      <c r="Q18" s="184">
        <f ca="1">K18*Q4</f>
        <v>0</v>
      </c>
      <c r="R18" s="184">
        <f ca="1">L18*R4</f>
        <v>0</v>
      </c>
      <c r="S18" s="185">
        <f ca="1">SUM(O18:R18)</f>
        <v>0</v>
      </c>
      <c r="T18" s="183" t="str">
        <f t="shared" ref="T18:T20" si="23">N18</f>
        <v>Congo DR</v>
      </c>
      <c r="U18" s="184">
        <f ca="1">O18*U4</f>
        <v>0</v>
      </c>
      <c r="V18" s="208"/>
      <c r="W18" s="184">
        <f ca="1">Q18*W4</f>
        <v>0</v>
      </c>
      <c r="X18" s="184">
        <f ca="1">R18*X4</f>
        <v>0</v>
      </c>
      <c r="Y18" s="185">
        <f ca="1">SUM(U18:X18)</f>
        <v>0</v>
      </c>
    </row>
    <row r="19" spans="1:25" x14ac:dyDescent="0.25">
      <c r="A19" s="144"/>
      <c r="B19" s="176" t="str">
        <f>D2</f>
        <v>Uzbekistan</v>
      </c>
      <c r="C19" s="179">
        <f ca="1">IFERROR(G39-F39,0)</f>
        <v>-1</v>
      </c>
      <c r="D19" s="179">
        <f ca="1">IFERROR(G41-F41,0)</f>
        <v>-1</v>
      </c>
      <c r="E19" s="206"/>
      <c r="F19" s="179">
        <f ca="1">IFERROR(F38-G38,0)</f>
        <v>-3</v>
      </c>
      <c r="G19" s="178">
        <f ca="1">SUM(C19:F19)</f>
        <v>-5</v>
      </c>
      <c r="H19" s="183" t="str">
        <f t="shared" si="21"/>
        <v>Uzbekistan</v>
      </c>
      <c r="I19" s="184">
        <f ca="1">C19*I5</f>
        <v>0</v>
      </c>
      <c r="J19" s="184">
        <f ca="1">D19*J5</f>
        <v>0</v>
      </c>
      <c r="K19" s="208"/>
      <c r="L19" s="184">
        <f ca="1">F19*L5</f>
        <v>0</v>
      </c>
      <c r="M19" s="185">
        <f ca="1">SUM(I19:L19)</f>
        <v>0</v>
      </c>
      <c r="N19" s="183" t="str">
        <f t="shared" si="22"/>
        <v>Uzbekistan</v>
      </c>
      <c r="O19" s="184">
        <f ca="1">I19*O5</f>
        <v>0</v>
      </c>
      <c r="P19" s="184">
        <f ca="1">J19*P5</f>
        <v>0</v>
      </c>
      <c r="Q19" s="208"/>
      <c r="R19" s="184">
        <f ca="1">L19*R5</f>
        <v>0</v>
      </c>
      <c r="S19" s="185">
        <f ca="1">SUM(O19:R19)</f>
        <v>0</v>
      </c>
      <c r="T19" s="183" t="str">
        <f t="shared" si="23"/>
        <v>Uzbekistan</v>
      </c>
      <c r="U19" s="184">
        <f ca="1">O19*U5</f>
        <v>0</v>
      </c>
      <c r="V19" s="184">
        <f ca="1">P19*V5</f>
        <v>0</v>
      </c>
      <c r="W19" s="208"/>
      <c r="X19" s="184">
        <f ca="1">R19*X5</f>
        <v>0</v>
      </c>
      <c r="Y19" s="185">
        <f ca="1">SUM(U19:X19)</f>
        <v>0</v>
      </c>
    </row>
    <row r="20" spans="1:25" x14ac:dyDescent="0.25">
      <c r="A20" s="144"/>
      <c r="B20" s="180" t="str">
        <f>E2</f>
        <v>Colombia</v>
      </c>
      <c r="C20" s="181">
        <f ca="1">IFERROR(F42-G42,0)</f>
        <v>0</v>
      </c>
      <c r="D20" s="181">
        <f ca="1">IFERROR(F40-G40,0)</f>
        <v>2</v>
      </c>
      <c r="E20" s="181">
        <f ca="1">IFERROR(G38-F38,0)</f>
        <v>3</v>
      </c>
      <c r="F20" s="207"/>
      <c r="G20" s="182">
        <f ca="1">SUM(C20:F20)</f>
        <v>5</v>
      </c>
      <c r="H20" s="186" t="str">
        <f t="shared" si="21"/>
        <v>Colombia</v>
      </c>
      <c r="I20" s="187">
        <f ca="1">C20*I6</f>
        <v>0</v>
      </c>
      <c r="J20" s="187">
        <f ca="1">D20*J6</f>
        <v>0</v>
      </c>
      <c r="K20" s="187">
        <f ca="1">E20*K6</f>
        <v>0</v>
      </c>
      <c r="L20" s="213"/>
      <c r="M20" s="188">
        <f ca="1">SUM(I20:L20)</f>
        <v>0</v>
      </c>
      <c r="N20" s="186" t="str">
        <f t="shared" si="22"/>
        <v>Colombia</v>
      </c>
      <c r="O20" s="187">
        <f ca="1">I20*O6</f>
        <v>0</v>
      </c>
      <c r="P20" s="187">
        <f ca="1">J20*P6</f>
        <v>0</v>
      </c>
      <c r="Q20" s="187">
        <f ca="1">K20*Q6</f>
        <v>0</v>
      </c>
      <c r="R20" s="213"/>
      <c r="S20" s="188">
        <f ca="1">SUM(O20:R20)</f>
        <v>0</v>
      </c>
      <c r="T20" s="186" t="str">
        <f t="shared" si="23"/>
        <v>Colombia</v>
      </c>
      <c r="U20" s="187">
        <f ca="1">O20*U6</f>
        <v>0</v>
      </c>
      <c r="V20" s="187">
        <f ca="1">P20*V6</f>
        <v>0</v>
      </c>
      <c r="W20" s="187">
        <f ca="1">Q20*W6</f>
        <v>0</v>
      </c>
      <c r="X20" s="213"/>
      <c r="Y20" s="188">
        <f ca="1">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Portugal</v>
      </c>
      <c r="D23" s="164" t="str">
        <f>C2</f>
        <v>Congo DR</v>
      </c>
      <c r="E23" s="164" t="str">
        <f>D2</f>
        <v>Uzbekistan</v>
      </c>
      <c r="F23" s="164" t="str">
        <f>E2</f>
        <v>Colombia</v>
      </c>
      <c r="G23" s="165" t="s">
        <v>26</v>
      </c>
      <c r="H23" s="169"/>
      <c r="I23" s="170" t="str">
        <f>C23</f>
        <v>Portugal</v>
      </c>
      <c r="J23" s="170" t="str">
        <f t="shared" ref="J23:L23" si="24">D23</f>
        <v>Congo DR</v>
      </c>
      <c r="K23" s="170" t="str">
        <f t="shared" si="24"/>
        <v>Uzbekistan</v>
      </c>
      <c r="L23" s="170" t="str">
        <f t="shared" si="24"/>
        <v>Colombia</v>
      </c>
      <c r="M23" s="171" t="s">
        <v>26</v>
      </c>
      <c r="N23" s="169"/>
      <c r="O23" s="170" t="str">
        <f>I23</f>
        <v>Portugal</v>
      </c>
      <c r="P23" s="170" t="str">
        <f t="shared" ref="P23:R23" si="25">J23</f>
        <v>Congo DR</v>
      </c>
      <c r="Q23" s="170" t="str">
        <f t="shared" si="25"/>
        <v>Uzbekistan</v>
      </c>
      <c r="R23" s="170" t="str">
        <f t="shared" si="25"/>
        <v>Colombia</v>
      </c>
      <c r="S23" s="171" t="s">
        <v>26</v>
      </c>
      <c r="T23" s="169"/>
      <c r="U23" s="170" t="str">
        <f>O23</f>
        <v>Portugal</v>
      </c>
      <c r="V23" s="170" t="str">
        <f t="shared" ref="V23:X23" si="26">P23</f>
        <v>Congo DR</v>
      </c>
      <c r="W23" s="170" t="str">
        <f t="shared" si="26"/>
        <v>Uzbekistan</v>
      </c>
      <c r="X23" s="170" t="str">
        <f t="shared" si="26"/>
        <v>Colombia</v>
      </c>
      <c r="Y23" s="171" t="s">
        <v>26</v>
      </c>
    </row>
    <row r="24" spans="1:25" x14ac:dyDescent="0.25">
      <c r="A24" s="143"/>
      <c r="B24" s="163" t="str">
        <f>B2</f>
        <v>Portugal</v>
      </c>
      <c r="C24" s="209"/>
      <c r="D24" s="164">
        <f ca="1">IF(F37="",0,F37)</f>
        <v>2</v>
      </c>
      <c r="E24" s="164">
        <f ca="1">IF(F39="",0,F39)</f>
        <v>1</v>
      </c>
      <c r="F24" s="164">
        <f ca="1">IF(G42="",0,G42)</f>
        <v>0</v>
      </c>
      <c r="G24" s="165">
        <f ca="1">SUM(C24:F24)</f>
        <v>3</v>
      </c>
      <c r="H24" s="169" t="str">
        <f>B24</f>
        <v>Portugal</v>
      </c>
      <c r="I24" s="214"/>
      <c r="J24" s="170">
        <f ca="1">D24*J3</f>
        <v>0</v>
      </c>
      <c r="K24" s="170">
        <f ca="1">E24*K3</f>
        <v>0</v>
      </c>
      <c r="L24" s="170">
        <f ca="1">F24*L3</f>
        <v>0</v>
      </c>
      <c r="M24" s="171">
        <f ca="1">SUM(I24:L24)</f>
        <v>0</v>
      </c>
      <c r="N24" s="169" t="str">
        <f>H24</f>
        <v>Portugal</v>
      </c>
      <c r="O24" s="214"/>
      <c r="P24" s="170">
        <f ca="1">J24*P3</f>
        <v>0</v>
      </c>
      <c r="Q24" s="170">
        <f ca="1">K24*Q3</f>
        <v>0</v>
      </c>
      <c r="R24" s="170">
        <f ca="1">L24*R3</f>
        <v>0</v>
      </c>
      <c r="S24" s="171">
        <f ca="1">SUM(O24:R24)</f>
        <v>0</v>
      </c>
      <c r="T24" s="169" t="str">
        <f>N24</f>
        <v>Portugal</v>
      </c>
      <c r="U24" s="214"/>
      <c r="V24" s="170">
        <f ca="1">P24*V3</f>
        <v>0</v>
      </c>
      <c r="W24" s="170">
        <f ca="1">Q24*W3</f>
        <v>0</v>
      </c>
      <c r="X24" s="170">
        <f ca="1">R24*X3</f>
        <v>0</v>
      </c>
      <c r="Y24" s="171">
        <f ca="1">SUM(U24:X24)</f>
        <v>0</v>
      </c>
    </row>
    <row r="25" spans="1:25" x14ac:dyDescent="0.25">
      <c r="A25" s="143"/>
      <c r="B25" s="163" t="str">
        <f>C2</f>
        <v>Congo DR</v>
      </c>
      <c r="C25" s="164">
        <f ca="1">IF(G37="",0,G37)</f>
        <v>1</v>
      </c>
      <c r="D25" s="209"/>
      <c r="E25" s="164">
        <f ca="1">IF(F41="",0,F41)</f>
        <v>2</v>
      </c>
      <c r="F25" s="164">
        <f ca="1">IF(G40="",0,G40)</f>
        <v>0</v>
      </c>
      <c r="G25" s="165">
        <f ca="1">SUM(C25:F25)</f>
        <v>3</v>
      </c>
      <c r="H25" s="169" t="str">
        <f t="shared" ref="H25:H27" si="27">B25</f>
        <v>Congo DR</v>
      </c>
      <c r="I25" s="170">
        <f ca="1">C25*I4</f>
        <v>0</v>
      </c>
      <c r="J25" s="214"/>
      <c r="K25" s="170">
        <f ca="1">E25*K4</f>
        <v>0</v>
      </c>
      <c r="L25" s="170">
        <f ca="1">F25*L4</f>
        <v>0</v>
      </c>
      <c r="M25" s="171">
        <f ca="1">SUM(I25:L25)</f>
        <v>0</v>
      </c>
      <c r="N25" s="169" t="str">
        <f t="shared" ref="N25:N27" si="28">H25</f>
        <v>Congo DR</v>
      </c>
      <c r="O25" s="170">
        <f ca="1">I25*O4</f>
        <v>0</v>
      </c>
      <c r="P25" s="214"/>
      <c r="Q25" s="170">
        <f ca="1">K25*Q4</f>
        <v>0</v>
      </c>
      <c r="R25" s="170">
        <f ca="1">L25*R4</f>
        <v>0</v>
      </c>
      <c r="S25" s="171">
        <f ca="1">SUM(O25:R25)</f>
        <v>0</v>
      </c>
      <c r="T25" s="169" t="str">
        <f t="shared" ref="T25:T27" si="29">N25</f>
        <v>Congo DR</v>
      </c>
      <c r="U25" s="170">
        <f ca="1">O25*U4</f>
        <v>0</v>
      </c>
      <c r="V25" s="214"/>
      <c r="W25" s="170">
        <f ca="1">Q25*W4</f>
        <v>0</v>
      </c>
      <c r="X25" s="170">
        <f ca="1">R25*X4</f>
        <v>0</v>
      </c>
      <c r="Y25" s="171">
        <f ca="1">SUM(U25:X25)</f>
        <v>0</v>
      </c>
    </row>
    <row r="26" spans="1:25" x14ac:dyDescent="0.25">
      <c r="A26" s="143"/>
      <c r="B26" s="163" t="str">
        <f>D2</f>
        <v>Uzbekistan</v>
      </c>
      <c r="C26" s="164">
        <f ca="1">IF(G39="",0,G39)</f>
        <v>0</v>
      </c>
      <c r="D26" s="164">
        <f ca="1">IF(G41="",0,G41)</f>
        <v>1</v>
      </c>
      <c r="E26" s="209"/>
      <c r="F26" s="164">
        <f ca="1">IF(F38="",0,F38)</f>
        <v>0</v>
      </c>
      <c r="G26" s="165">
        <f ca="1">SUM(C26:F26)</f>
        <v>1</v>
      </c>
      <c r="H26" s="169" t="str">
        <f t="shared" si="27"/>
        <v>Uzbekistan</v>
      </c>
      <c r="I26" s="170">
        <f ca="1">C26*I5</f>
        <v>0</v>
      </c>
      <c r="J26" s="170">
        <f ca="1">D26*J5</f>
        <v>0</v>
      </c>
      <c r="K26" s="214"/>
      <c r="L26" s="170">
        <f ca="1">F26*L5</f>
        <v>0</v>
      </c>
      <c r="M26" s="171">
        <f ca="1">SUM(I26:L26)</f>
        <v>0</v>
      </c>
      <c r="N26" s="169" t="str">
        <f t="shared" si="28"/>
        <v>Uzbekistan</v>
      </c>
      <c r="O26" s="170">
        <f ca="1">I26*O5</f>
        <v>0</v>
      </c>
      <c r="P26" s="170">
        <f ca="1">J26*P5</f>
        <v>0</v>
      </c>
      <c r="Q26" s="214"/>
      <c r="R26" s="170">
        <f ca="1">L26*R5</f>
        <v>0</v>
      </c>
      <c r="S26" s="171">
        <f ca="1">SUM(O26:R26)</f>
        <v>0</v>
      </c>
      <c r="T26" s="169" t="str">
        <f t="shared" si="29"/>
        <v>Uzbekistan</v>
      </c>
      <c r="U26" s="170">
        <f ca="1">O26*U5</f>
        <v>0</v>
      </c>
      <c r="V26" s="170">
        <f ca="1">P26*V5</f>
        <v>0</v>
      </c>
      <c r="W26" s="214"/>
      <c r="X26" s="170">
        <f ca="1">R26*X5</f>
        <v>0</v>
      </c>
      <c r="Y26" s="171">
        <f ca="1">SUM(U26:X26)</f>
        <v>0</v>
      </c>
    </row>
    <row r="27" spans="1:25" x14ac:dyDescent="0.25">
      <c r="A27" s="143"/>
      <c r="B27" s="166" t="str">
        <f>E2</f>
        <v>Colombia</v>
      </c>
      <c r="C27" s="167">
        <f ca="1">IF(F42="",0,F42)</f>
        <v>0</v>
      </c>
      <c r="D27" s="167">
        <f ca="1">IF(F40="",0,F40)</f>
        <v>2</v>
      </c>
      <c r="E27" s="167">
        <f ca="1">IF(G38="",0,G38)</f>
        <v>3</v>
      </c>
      <c r="F27" s="210"/>
      <c r="G27" s="168">
        <f ca="1">SUM(C27:F27)</f>
        <v>5</v>
      </c>
      <c r="H27" s="172" t="str">
        <f t="shared" si="27"/>
        <v>Colombia</v>
      </c>
      <c r="I27" s="173">
        <f ca="1">C27*I6</f>
        <v>0</v>
      </c>
      <c r="J27" s="173">
        <f ca="1">D27*J6</f>
        <v>0</v>
      </c>
      <c r="K27" s="173">
        <f ca="1">E27*K6</f>
        <v>0</v>
      </c>
      <c r="L27" s="215"/>
      <c r="M27" s="174">
        <f ca="1">SUM(I27:L27)</f>
        <v>0</v>
      </c>
      <c r="N27" s="172" t="str">
        <f t="shared" si="28"/>
        <v>Colombia</v>
      </c>
      <c r="O27" s="173">
        <f ca="1">I27*O6</f>
        <v>0</v>
      </c>
      <c r="P27" s="173">
        <f ca="1">J27*P6</f>
        <v>0</v>
      </c>
      <c r="Q27" s="173">
        <f ca="1">K27*Q6</f>
        <v>0</v>
      </c>
      <c r="R27" s="215"/>
      <c r="S27" s="174">
        <f ca="1">SUM(O27:R27)</f>
        <v>0</v>
      </c>
      <c r="T27" s="172" t="str">
        <f t="shared" si="29"/>
        <v>Colombia</v>
      </c>
      <c r="U27" s="173">
        <f ca="1">O27*U6</f>
        <v>0</v>
      </c>
      <c r="V27" s="173">
        <f ca="1">P27*V6</f>
        <v>0</v>
      </c>
      <c r="W27" s="173">
        <f ca="1">Q27*W6</f>
        <v>0</v>
      </c>
      <c r="X27" s="215"/>
      <c r="Y27" s="174">
        <f ca="1">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300" t="s">
        <v>669</v>
      </c>
      <c r="E29" s="300" t="s">
        <v>670</v>
      </c>
      <c r="F29" s="300" t="s">
        <v>671</v>
      </c>
      <c r="G29" s="232" t="s">
        <v>631</v>
      </c>
      <c r="H29" s="232" t="s">
        <v>632</v>
      </c>
      <c r="I29" s="232" t="s">
        <v>633</v>
      </c>
      <c r="J29" s="232" t="s">
        <v>676</v>
      </c>
      <c r="K29" s="232" t="s">
        <v>411</v>
      </c>
      <c r="L29" s="232" t="s">
        <v>661</v>
      </c>
      <c r="M29" s="232" t="s">
        <v>634</v>
      </c>
      <c r="N29" s="233" t="s">
        <v>635</v>
      </c>
    </row>
    <row r="30" spans="1:25" x14ac:dyDescent="0.25">
      <c r="A30" s="234">
        <f ca="1">N30</f>
        <v>2</v>
      </c>
      <c r="B30" s="235" t="str">
        <f>B2</f>
        <v>Portugal</v>
      </c>
      <c r="C30" s="236">
        <v>3</v>
      </c>
      <c r="D30" s="236">
        <f ca="1">COUNTIF(FWinners,B30)</f>
        <v>2</v>
      </c>
      <c r="E30" s="236">
        <f ca="1">COUNTIF(FDraws,"D"&amp;B30)</f>
        <v>1</v>
      </c>
      <c r="F30" s="236">
        <f ca="1">COUNTIF(FLosers,B30)</f>
        <v>0</v>
      </c>
      <c r="G30" s="236">
        <f ca="1">F37+F39+G42</f>
        <v>3</v>
      </c>
      <c r="H30" s="236">
        <f ca="1">G37+G39+F42</f>
        <v>1</v>
      </c>
      <c r="I30" s="236">
        <f ca="1">G30-H30</f>
        <v>2</v>
      </c>
      <c r="J30" s="237">
        <f ca="1">Z10</f>
        <v>3</v>
      </c>
      <c r="K30" s="236">
        <f>VLOOKUP($B30,Lookup10,11,FALSE)</f>
        <v>0</v>
      </c>
      <c r="L30" s="236">
        <f>VLOOKUP($B30,Lookup11,2,FALSE)</f>
        <v>5</v>
      </c>
      <c r="M30" s="238">
        <f ca="1">ROUND(G30*G$34+I30*I$34+J30*J$34-K30*K$34-L30*L$34,8)</f>
        <v>30202.999500000002</v>
      </c>
      <c r="N30" s="239">
        <f ca="1">RANK(M30,M$30:M$33,0)</f>
        <v>2</v>
      </c>
    </row>
    <row r="31" spans="1:25" x14ac:dyDescent="0.25">
      <c r="A31" s="234">
        <f ca="1">N31</f>
        <v>3</v>
      </c>
      <c r="B31" s="235" t="str">
        <f>C2</f>
        <v>Congo DR</v>
      </c>
      <c r="C31" s="236">
        <v>3</v>
      </c>
      <c r="D31" s="236">
        <f ca="1">COUNTIF(FWinners,B31)</f>
        <v>1</v>
      </c>
      <c r="E31" s="236">
        <f ca="1">COUNTIF(FDraws,"D"&amp;B31)</f>
        <v>0</v>
      </c>
      <c r="F31" s="236">
        <f ca="1">COUNTIF(FLosers,B31)</f>
        <v>2</v>
      </c>
      <c r="G31" s="236">
        <f ca="1">G37+G40+F41</f>
        <v>3</v>
      </c>
      <c r="H31" s="236">
        <f ca="1">F37+F40+G41</f>
        <v>5</v>
      </c>
      <c r="I31" s="236">
        <f t="shared" ref="I31:I33" ca="1" si="30">G31-H31</f>
        <v>-2</v>
      </c>
      <c r="J31" s="237">
        <f ca="1">Z11</f>
        <v>2</v>
      </c>
      <c r="K31" s="236">
        <f>VLOOKUP($B31,Lookup10,11,FALSE)</f>
        <v>0</v>
      </c>
      <c r="L31" s="236">
        <f>VLOOKUP($B31,Lookup11,2,FALSE)</f>
        <v>36</v>
      </c>
      <c r="M31" s="238">
        <f ca="1">ROUND(G31*G$34+I31*I$34+J31*J$34-K31*K$34-L31*L$34,8)</f>
        <v>19802.9964</v>
      </c>
      <c r="N31" s="239">
        <f ca="1">RANK(M31,M$30:M$33,0)</f>
        <v>3</v>
      </c>
    </row>
    <row r="32" spans="1:25" x14ac:dyDescent="0.25">
      <c r="A32" s="234">
        <f ca="1">N32</f>
        <v>4</v>
      </c>
      <c r="B32" s="235" t="str">
        <f>D2</f>
        <v>Uzbekistan</v>
      </c>
      <c r="C32" s="236">
        <v>3</v>
      </c>
      <c r="D32" s="236">
        <f ca="1">COUNTIF(FWinners,B32)</f>
        <v>0</v>
      </c>
      <c r="E32" s="236">
        <f ca="1">COUNTIF(FDraws,"D"&amp;B32)</f>
        <v>0</v>
      </c>
      <c r="F32" s="236">
        <f ca="1">COUNTIF(FLosers,B32)</f>
        <v>3</v>
      </c>
      <c r="G32" s="236">
        <f ca="1">F38+G39+G41</f>
        <v>1</v>
      </c>
      <c r="H32" s="236">
        <f ca="1">G38+F39+F41</f>
        <v>6</v>
      </c>
      <c r="I32" s="236">
        <f t="shared" ca="1" si="30"/>
        <v>-5</v>
      </c>
      <c r="J32" s="237">
        <f ca="1">Z12</f>
        <v>1</v>
      </c>
      <c r="K32" s="236">
        <f>VLOOKUP($B32,Lookup10,11,FALSE)</f>
        <v>0</v>
      </c>
      <c r="L32" s="236">
        <f>VLOOKUP($B32,Lookup11,2,FALSE)</f>
        <v>37</v>
      </c>
      <c r="M32" s="238">
        <f ca="1">ROUND(G32*G$34+I32*I$34+J32*J$34-K32*K$34-L32*L$34,8)</f>
        <v>9500.9963000000007</v>
      </c>
      <c r="N32" s="239">
        <f ca="1">RANK(M32,M$30:M$33,0)</f>
        <v>4</v>
      </c>
    </row>
    <row r="33" spans="1:16" x14ac:dyDescent="0.25">
      <c r="A33" s="234">
        <f ca="1">N33</f>
        <v>1</v>
      </c>
      <c r="B33" s="235" t="str">
        <f>E2</f>
        <v>Colombia</v>
      </c>
      <c r="C33" s="236">
        <v>3</v>
      </c>
      <c r="D33" s="236">
        <f ca="1">COUNTIF(FWinners,B33)</f>
        <v>2</v>
      </c>
      <c r="E33" s="236">
        <f ca="1">COUNTIF(FDraws,"D"&amp;B33)</f>
        <v>1</v>
      </c>
      <c r="F33" s="236">
        <f ca="1">COUNTIF(FLosers,B33)</f>
        <v>0</v>
      </c>
      <c r="G33" s="236">
        <f ca="1">G38+F40+F42</f>
        <v>5</v>
      </c>
      <c r="H33" s="236">
        <f ca="1">F38+G40+G42</f>
        <v>0</v>
      </c>
      <c r="I33" s="236">
        <f t="shared" ca="1" si="30"/>
        <v>5</v>
      </c>
      <c r="J33" s="237">
        <f ca="1">Z13</f>
        <v>3</v>
      </c>
      <c r="K33" s="236">
        <f>VLOOKUP($B33,Lookup10,11,FALSE)</f>
        <v>0</v>
      </c>
      <c r="L33" s="236">
        <f>VLOOKUP($B33,Lookup11,2,FALSE)</f>
        <v>12</v>
      </c>
      <c r="M33" s="238">
        <f ca="1">ROUND(G33*G$34+I33*I$34+J33*J$34-K33*K$34-L33*L$34,8)</f>
        <v>30504.998800000001</v>
      </c>
      <c r="N33" s="239">
        <f ca="1">RANK(M33,M$30:M$33,0)</f>
        <v>1</v>
      </c>
    </row>
    <row r="34" spans="1:16" x14ac:dyDescent="0.25">
      <c r="A34" s="240"/>
      <c r="B34" s="241" t="s">
        <v>636</v>
      </c>
      <c r="C34" s="242">
        <f>SUM(C30:C33)</f>
        <v>12</v>
      </c>
      <c r="D34" s="242"/>
      <c r="E34" s="242"/>
      <c r="F34" s="242"/>
      <c r="G34" s="205">
        <v>1</v>
      </c>
      <c r="H34" s="205"/>
      <c r="I34" s="205">
        <v>100</v>
      </c>
      <c r="J34" s="205">
        <v>10000</v>
      </c>
      <c r="K34" s="205">
        <v>0.01</v>
      </c>
      <c r="L34" s="205">
        <v>1E-4</v>
      </c>
      <c r="M34" s="242"/>
      <c r="N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PortugalCongo DR</v>
      </c>
      <c r="B37" s="158" t="str">
        <f>B1&amp;C1</f>
        <v>K1K2</v>
      </c>
      <c r="C37" s="158">
        <v>1</v>
      </c>
      <c r="D37" s="150" t="str">
        <f>B2</f>
        <v>Portugal</v>
      </c>
      <c r="E37" s="150" t="str">
        <f>C2</f>
        <v>Congo DR</v>
      </c>
      <c r="F37" s="158">
        <f t="shared" ref="F37:F42" ca="1" si="31">VLOOKUP($B37,Lookup18,6,FALSE)</f>
        <v>2</v>
      </c>
      <c r="G37" s="158">
        <f t="shared" ref="G37:G42" ca="1" si="32">VLOOKUP($B37,Lookup18,8,FALSE)</f>
        <v>1</v>
      </c>
      <c r="H37" s="158">
        <f t="shared" ref="H37:H42" ca="1" si="33">IF(C37=0,0,IF(F37&lt;G37,Lpts,IF(F37&gt;G37,Wpts,Dpts)))</f>
        <v>3</v>
      </c>
      <c r="I37" s="158">
        <f t="shared" ref="I37:I42" ca="1" si="34">IF(C37=0,0,IF(G37&lt;F37,Lpts,IF(G37&gt;F37,Wpts,Dpts)))</f>
        <v>0</v>
      </c>
      <c r="J37" s="158">
        <f t="shared" ref="J37:K42" si="35">IF(VLOOKUP($B37,Lookup12,4,FALSE)="",0,VLOOKUP($B37,Lookup12,4,FALSE))</f>
        <v>0</v>
      </c>
      <c r="K37" s="158">
        <f t="shared" si="35"/>
        <v>0</v>
      </c>
      <c r="L37" s="143"/>
      <c r="M37" s="143"/>
      <c r="N37" s="143"/>
      <c r="O37" s="143"/>
      <c r="P37" s="143"/>
    </row>
    <row r="38" spans="1:16" x14ac:dyDescent="0.25">
      <c r="A38" s="149" t="str">
        <f>D2&amp;E2</f>
        <v>UzbekistanColombia</v>
      </c>
      <c r="B38" s="158" t="str">
        <f>D1&amp;E1</f>
        <v>K3K4</v>
      </c>
      <c r="C38" s="158">
        <v>1</v>
      </c>
      <c r="D38" s="150" t="str">
        <f>D2</f>
        <v>Uzbekistan</v>
      </c>
      <c r="E38" s="150" t="str">
        <f>E2</f>
        <v>Colombia</v>
      </c>
      <c r="F38" s="158">
        <f t="shared" ca="1" si="31"/>
        <v>0</v>
      </c>
      <c r="G38" s="158">
        <f t="shared" ca="1" si="32"/>
        <v>3</v>
      </c>
      <c r="H38" s="158">
        <f t="shared" ca="1" si="33"/>
        <v>0</v>
      </c>
      <c r="I38" s="158">
        <f t="shared" ca="1" si="34"/>
        <v>3</v>
      </c>
      <c r="J38" s="158">
        <f t="shared" si="35"/>
        <v>0</v>
      </c>
      <c r="K38" s="158">
        <f t="shared" si="35"/>
        <v>0</v>
      </c>
      <c r="L38" s="143"/>
      <c r="M38" s="143"/>
      <c r="N38" s="143"/>
      <c r="O38" s="143"/>
      <c r="P38" s="143"/>
    </row>
    <row r="39" spans="1:16" x14ac:dyDescent="0.25">
      <c r="A39" s="149" t="str">
        <f>B2&amp;D2</f>
        <v>PortugalUzbekistan</v>
      </c>
      <c r="B39" s="158" t="str">
        <f>B1&amp;D1</f>
        <v>K1K3</v>
      </c>
      <c r="C39" s="158">
        <v>1</v>
      </c>
      <c r="D39" s="150" t="str">
        <f>B2</f>
        <v>Portugal</v>
      </c>
      <c r="E39" s="150" t="str">
        <f>D2</f>
        <v>Uzbekistan</v>
      </c>
      <c r="F39" s="158">
        <f t="shared" ca="1" si="31"/>
        <v>1</v>
      </c>
      <c r="G39" s="158">
        <f t="shared" ca="1" si="32"/>
        <v>0</v>
      </c>
      <c r="H39" s="158">
        <f t="shared" ca="1" si="33"/>
        <v>3</v>
      </c>
      <c r="I39" s="158">
        <f t="shared" ca="1" si="34"/>
        <v>0</v>
      </c>
      <c r="J39" s="158">
        <f t="shared" si="35"/>
        <v>0</v>
      </c>
      <c r="K39" s="158">
        <f t="shared" si="35"/>
        <v>0</v>
      </c>
      <c r="L39" s="143"/>
      <c r="M39" s="143"/>
      <c r="N39" s="143"/>
      <c r="O39" s="143"/>
      <c r="P39" s="143"/>
    </row>
    <row r="40" spans="1:16" x14ac:dyDescent="0.25">
      <c r="A40" s="149" t="str">
        <f>E2&amp;C2</f>
        <v>ColombiaCongo DR</v>
      </c>
      <c r="B40" s="158" t="str">
        <f>E1&amp;C1</f>
        <v>K4K2</v>
      </c>
      <c r="C40" s="158">
        <v>1</v>
      </c>
      <c r="D40" s="150" t="str">
        <f>E2</f>
        <v>Colombia</v>
      </c>
      <c r="E40" s="150" t="str">
        <f>C2</f>
        <v>Congo DR</v>
      </c>
      <c r="F40" s="158">
        <f t="shared" ca="1" si="31"/>
        <v>2</v>
      </c>
      <c r="G40" s="158">
        <f t="shared" ca="1" si="32"/>
        <v>0</v>
      </c>
      <c r="H40" s="158">
        <f t="shared" ca="1" si="33"/>
        <v>3</v>
      </c>
      <c r="I40" s="158">
        <f t="shared" ca="1" si="34"/>
        <v>0</v>
      </c>
      <c r="J40" s="158">
        <f t="shared" si="35"/>
        <v>0</v>
      </c>
      <c r="K40" s="158">
        <f t="shared" si="35"/>
        <v>0</v>
      </c>
      <c r="L40" s="143"/>
      <c r="M40" s="143"/>
      <c r="N40" s="143"/>
      <c r="O40" s="143"/>
      <c r="P40" s="143"/>
    </row>
    <row r="41" spans="1:16" x14ac:dyDescent="0.25">
      <c r="A41" s="149" t="str">
        <f>C2&amp;D2</f>
        <v>Congo DRUzbekistan</v>
      </c>
      <c r="B41" s="158" t="str">
        <f>C1&amp;D1</f>
        <v>K2K3</v>
      </c>
      <c r="C41" s="158">
        <v>1</v>
      </c>
      <c r="D41" s="150" t="str">
        <f>C2</f>
        <v>Congo DR</v>
      </c>
      <c r="E41" s="150" t="str">
        <f>D2</f>
        <v>Uzbekistan</v>
      </c>
      <c r="F41" s="158">
        <f t="shared" ca="1" si="31"/>
        <v>2</v>
      </c>
      <c r="G41" s="158">
        <f t="shared" ca="1" si="32"/>
        <v>1</v>
      </c>
      <c r="H41" s="158">
        <f t="shared" ca="1" si="33"/>
        <v>3</v>
      </c>
      <c r="I41" s="158">
        <f t="shared" ca="1" si="34"/>
        <v>0</v>
      </c>
      <c r="J41" s="158">
        <f t="shared" si="35"/>
        <v>0</v>
      </c>
      <c r="K41" s="158">
        <f t="shared" si="35"/>
        <v>0</v>
      </c>
      <c r="L41" s="143"/>
      <c r="M41" s="143"/>
      <c r="N41" s="143"/>
      <c r="O41" s="143"/>
      <c r="P41" s="143"/>
    </row>
    <row r="42" spans="1:16" x14ac:dyDescent="0.25">
      <c r="A42" s="151" t="str">
        <f>E2&amp;B2</f>
        <v>ColombiaPortugal</v>
      </c>
      <c r="B42" s="159" t="str">
        <f>E1&amp;B1</f>
        <v>K4K1</v>
      </c>
      <c r="C42" s="159">
        <v>1</v>
      </c>
      <c r="D42" s="152" t="str">
        <f>E2</f>
        <v>Colombia</v>
      </c>
      <c r="E42" s="152" t="str">
        <f>B2</f>
        <v>Portugal</v>
      </c>
      <c r="F42" s="159">
        <f t="shared" ca="1" si="31"/>
        <v>0</v>
      </c>
      <c r="G42" s="159">
        <f t="shared" ca="1" si="32"/>
        <v>0</v>
      </c>
      <c r="H42" s="159">
        <f t="shared" ca="1" si="33"/>
        <v>1</v>
      </c>
      <c r="I42" s="159">
        <f t="shared" ca="1" si="34"/>
        <v>1</v>
      </c>
      <c r="J42" s="159">
        <f t="shared" si="35"/>
        <v>0</v>
      </c>
      <c r="K42" s="159">
        <f t="shared" si="35"/>
        <v>0</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 ca="1">$B45</f>
        <v>Colombia</v>
      </c>
      <c r="M44" s="154" t="str">
        <f ca="1">$B46</f>
        <v>Portugal</v>
      </c>
      <c r="N44" s="154" t="str">
        <f ca="1">$B47</f>
        <v>Congo DR</v>
      </c>
      <c r="O44" s="154" t="str">
        <f ca="1">$B48</f>
        <v>Uzbekistan</v>
      </c>
      <c r="P44" s="155"/>
    </row>
    <row r="45" spans="1:16" x14ac:dyDescent="0.25">
      <c r="A45" s="156">
        <v>1</v>
      </c>
      <c r="B45" s="156" t="str">
        <f ca="1">VLOOKUP($A45,Ranking,2,FALSE)</f>
        <v>Colombia</v>
      </c>
      <c r="C45" s="157">
        <v>3</v>
      </c>
      <c r="D45" s="157">
        <f ca="1">VLOOKUP($A45,Ranking,4,FALSE)</f>
        <v>2</v>
      </c>
      <c r="E45" s="157">
        <f ca="1">VLOOKUP($A45,Ranking,5,FALSE)</f>
        <v>1</v>
      </c>
      <c r="F45" s="157">
        <f ca="1">VLOOKUP($A45,Ranking,6,FALSE)</f>
        <v>0</v>
      </c>
      <c r="G45" s="157">
        <f ca="1">VLOOKUP($A45,Ranking,7,FALSE)</f>
        <v>5</v>
      </c>
      <c r="H45" s="157">
        <f ca="1">VLOOKUP($A45,Ranking,8,FALSE)</f>
        <v>0</v>
      </c>
      <c r="I45" s="157">
        <f ca="1">G45-H45</f>
        <v>5</v>
      </c>
      <c r="J45" s="157">
        <f ca="1">D45*Wpts+E45*Dpts+FGrpK!F45*Lpts</f>
        <v>7</v>
      </c>
      <c r="K45" s="201" t="str">
        <f ca="1">B45</f>
        <v>Colombia</v>
      </c>
      <c r="L45" s="203"/>
      <c r="M45" s="202" t="str">
        <f ca="1">IFERROR(VLOOKUP($B45&amp;M$44,A37:G42,6,FALSE)&amp;"-"&amp;VLOOKUP($B45&amp;M$44,A37:G42,7,FALSE),VLOOKUP(M$44&amp;$B45,A37:G42,7,FALSE)&amp;"-"&amp;VLOOKUP(M$44&amp;$B45,A37:G42,6,FALSE))</f>
        <v>0-0</v>
      </c>
      <c r="N45" s="202" t="str">
        <f ca="1">IFERROR(VLOOKUP($B45&amp;N$44,A37:G42,6,FALSE)&amp;"-"&amp;VLOOKUP($B45&amp;N$44,A37:G42,7,FALSE),VLOOKUP(N$44&amp;$B45,A37:G42,7,FALSE)&amp;"-"&amp;VLOOKUP(N$44&amp;$B45,A37:G42,6,FALSE))</f>
        <v>2-0</v>
      </c>
      <c r="O45" s="202" t="str">
        <f ca="1">IFERROR(VLOOKUP($B45&amp;O$44,A37:G42,6,FALSE)&amp;"-"&amp;VLOOKUP($B45&amp;O$44,A37:G42,7,FALSE),VLOOKUP(O$44&amp;$B45,A37:G42,7,FALSE)&amp;"-"&amp;VLOOKUP(O$44&amp;$B45,A37:G42,6,FALSE))</f>
        <v>3-0</v>
      </c>
      <c r="P45" s="155"/>
    </row>
    <row r="46" spans="1:16" x14ac:dyDescent="0.25">
      <c r="A46" s="156">
        <v>2</v>
      </c>
      <c r="B46" s="156" t="str">
        <f ca="1">VLOOKUP($A46,Ranking,2,FALSE)</f>
        <v>Portugal</v>
      </c>
      <c r="C46" s="157">
        <v>3</v>
      </c>
      <c r="D46" s="157">
        <f ca="1">VLOOKUP($A46,Ranking,4,FALSE)</f>
        <v>2</v>
      </c>
      <c r="E46" s="157">
        <f ca="1">VLOOKUP($A46,Ranking,5,FALSE)</f>
        <v>1</v>
      </c>
      <c r="F46" s="157">
        <f ca="1">VLOOKUP($A46,Ranking,6,FALSE)</f>
        <v>0</v>
      </c>
      <c r="G46" s="157">
        <f ca="1">VLOOKUP($A46,Ranking,7,FALSE)</f>
        <v>3</v>
      </c>
      <c r="H46" s="157">
        <f ca="1">VLOOKUP($A46,Ranking,8,FALSE)</f>
        <v>1</v>
      </c>
      <c r="I46" s="157">
        <f t="shared" ref="I46:I48" ca="1" si="36">G46-H46</f>
        <v>2</v>
      </c>
      <c r="J46" s="157">
        <f ca="1">D46*Wpts+E46*Dpts+FGrpK!F46*Lpts</f>
        <v>7</v>
      </c>
      <c r="K46" s="201" t="str">
        <f ca="1">B46</f>
        <v>Portugal</v>
      </c>
      <c r="L46" s="202" t="str">
        <f ca="1">IFERROR(VLOOKUP($B46&amp;L$44,A37:G42,6,FALSE)&amp;"-"&amp;VLOOKUP($B46&amp;L$44,A37:G42,7,FALSE),VLOOKUP(L$44&amp;$B46,A37:G42,7,FALSE)&amp;"-"&amp;VLOOKUP(L$44&amp;$B46,A37:G42,6,FALSE))</f>
        <v>0-0</v>
      </c>
      <c r="M46" s="203"/>
      <c r="N46" s="202" t="str">
        <f ca="1">IFERROR(VLOOKUP($B46&amp;N$44,A37:G42,6,FALSE)&amp;"-"&amp;VLOOKUP($B46&amp;N$44,A37:G42,7,FALSE),VLOOKUP(N$44&amp;$B46,A37:G42,7,FALSE)&amp;"-"&amp;VLOOKUP(N$44&amp;$B46,A37:G42,6,FALSE))</f>
        <v>2-1</v>
      </c>
      <c r="O46" s="202" t="str">
        <f ca="1">IFERROR(VLOOKUP($B46&amp;O$44,A37:G42,6,FALSE)&amp;"-"&amp;VLOOKUP($B46&amp;O$44,A37:G42,7,FALSE),VLOOKUP(O$44&amp;$B46,A37:G42,7,FALSE)&amp;"-"&amp;VLOOKUP(O$44&amp;$B46,A37:G42,6,FALSE))</f>
        <v>1-0</v>
      </c>
      <c r="P46" s="155"/>
    </row>
    <row r="47" spans="1:16" x14ac:dyDescent="0.25">
      <c r="A47" s="156">
        <v>3</v>
      </c>
      <c r="B47" s="156" t="str">
        <f ca="1">VLOOKUP($A47,Ranking,2,FALSE)</f>
        <v>Congo DR</v>
      </c>
      <c r="C47" s="157">
        <v>3</v>
      </c>
      <c r="D47" s="157">
        <f ca="1">VLOOKUP($A47,Ranking,4,FALSE)</f>
        <v>1</v>
      </c>
      <c r="E47" s="157">
        <f ca="1">VLOOKUP($A47,Ranking,5,FALSE)</f>
        <v>0</v>
      </c>
      <c r="F47" s="157">
        <f ca="1">VLOOKUP($A47,Ranking,6,FALSE)</f>
        <v>2</v>
      </c>
      <c r="G47" s="157">
        <f ca="1">VLOOKUP($A47,Ranking,7,FALSE)</f>
        <v>3</v>
      </c>
      <c r="H47" s="157">
        <f ca="1">VLOOKUP($A47,Ranking,8,FALSE)</f>
        <v>5</v>
      </c>
      <c r="I47" s="157">
        <f t="shared" ca="1" si="36"/>
        <v>-2</v>
      </c>
      <c r="J47" s="157">
        <f ca="1">D47*Wpts+E47*Dpts+FGrpK!F47*Lpts</f>
        <v>3</v>
      </c>
      <c r="K47" s="201" t="str">
        <f ca="1">B47</f>
        <v>Congo DR</v>
      </c>
      <c r="L47" s="202" t="str">
        <f ca="1">IFERROR(VLOOKUP($B47&amp;L$44,A37:G42,6,FALSE)&amp;"-"&amp;VLOOKUP($B47&amp;L$44,A37:G42,7,FALSE),VLOOKUP(L$44&amp;$B47,A37:G42,7,FALSE)&amp;"-"&amp;VLOOKUP(L$44&amp;$B47,A37:G42,6,FALSE))</f>
        <v>0-2</v>
      </c>
      <c r="M47" s="202" t="str">
        <f ca="1">IFERROR(VLOOKUP($B47&amp;M$44,A37:G42,6,FALSE)&amp;"-"&amp;VLOOKUP($B47&amp;M$44,A37:G42,7,FALSE),VLOOKUP(M$44&amp;$B47,A37:G42,7,FALSE)&amp;"-"&amp;VLOOKUP(M$44&amp;$B47,A37:G42,6,FALSE))</f>
        <v>1-2</v>
      </c>
      <c r="N47" s="203"/>
      <c r="O47" s="202" t="str">
        <f ca="1">IFERROR(VLOOKUP($B47&amp;O$44,A37:G42,6,FALSE)&amp;"-"&amp;VLOOKUP($B47&amp;O$44,A37:G42,7,FALSE),VLOOKUP(O$44&amp;$B47,A37:G42,7,FALSE)&amp;"-"&amp;VLOOKUP(O$44&amp;$B47,A37:G42,6,FALSE))</f>
        <v>2-1</v>
      </c>
      <c r="P47" s="155"/>
    </row>
    <row r="48" spans="1:16" x14ac:dyDescent="0.25">
      <c r="A48" s="156">
        <v>4</v>
      </c>
      <c r="B48" s="156" t="str">
        <f ca="1">VLOOKUP($A48,Ranking,2,FALSE)</f>
        <v>Uzbekistan</v>
      </c>
      <c r="C48" s="157">
        <v>3</v>
      </c>
      <c r="D48" s="157">
        <f ca="1">VLOOKUP($A48,Ranking,4,FALSE)</f>
        <v>0</v>
      </c>
      <c r="E48" s="157">
        <f ca="1">VLOOKUP($A48,Ranking,5,FALSE)</f>
        <v>0</v>
      </c>
      <c r="F48" s="157">
        <f ca="1">VLOOKUP($A48,Ranking,6,FALSE)</f>
        <v>3</v>
      </c>
      <c r="G48" s="157">
        <f ca="1">VLOOKUP($A48,Ranking,7,FALSE)</f>
        <v>1</v>
      </c>
      <c r="H48" s="157">
        <f ca="1">VLOOKUP($A48,Ranking,8,FALSE)</f>
        <v>6</v>
      </c>
      <c r="I48" s="157">
        <f t="shared" ca="1" si="36"/>
        <v>-5</v>
      </c>
      <c r="J48" s="157">
        <f ca="1">D48*Wpts+E48*Dpts+FGrpK!F48*Lpts</f>
        <v>0</v>
      </c>
      <c r="K48" s="201" t="str">
        <f ca="1">B48</f>
        <v>Uzbekistan</v>
      </c>
      <c r="L48" s="202" t="str">
        <f ca="1">IFERROR(VLOOKUP($B48&amp;L$44,A37:G42,6,FALSE)&amp;"-"&amp;VLOOKUP($B48&amp;L$44,A37:G42,7,FALSE),VLOOKUP(L$44&amp;$B48,A37:G42,7,FALSE)&amp;"-"&amp;VLOOKUP(L$44&amp;$B48,A37:G42,6,FALSE))</f>
        <v>0-3</v>
      </c>
      <c r="M48" s="202" t="str">
        <f ca="1">IFERROR(VLOOKUP($B48&amp;M$44,A37:G42,6,FALSE)&amp;"-"&amp;VLOOKUP($B48&amp;M$44,A37:G42,7,FALSE),VLOOKUP(M$44&amp;$B48,A37:G42,7,FALSE)&amp;"-"&amp;VLOOKUP(M$44&amp;$B48,A37:G42,6,FALSE))</f>
        <v>0-1</v>
      </c>
      <c r="N48" s="202" t="str">
        <f ca="1">IFERROR(VLOOKUP($B48&amp;N$44,A37:G42,6,FALSE)&amp;"-"&amp;VLOOKUP($B48&amp;N$44,A37:G42,7,FALSE),VLOOKUP(N$44&amp;$B48,A37:G42,7,FALSE)&amp;"-"&amp;VLOOKUP(N$44&amp;$B48,A37:G42,6,FALSE))</f>
        <v>1-2</v>
      </c>
      <c r="O48" s="203"/>
      <c r="P48" s="155"/>
    </row>
    <row r="49" spans="1:16" x14ac:dyDescent="0.25">
      <c r="A49" s="143"/>
      <c r="B49" s="143"/>
      <c r="C49" s="461">
        <f>SUM(C45:C48)</f>
        <v>12</v>
      </c>
      <c r="D49" s="143"/>
      <c r="E49" s="143"/>
      <c r="F49" s="143"/>
      <c r="G49" s="143"/>
      <c r="H49" s="143"/>
      <c r="I49" s="143"/>
      <c r="J49" s="143"/>
      <c r="K49" s="143"/>
      <c r="L49" s="143"/>
      <c r="M49" s="143"/>
      <c r="N49" s="143"/>
      <c r="O49" s="143"/>
      <c r="P49" s="143"/>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7D2D9-C08A-40DC-A60F-85E208EAE8B8}">
  <sheetPr>
    <tabColor rgb="FF7030A0"/>
  </sheetPr>
  <dimension ref="A1:Z49"/>
  <sheetViews>
    <sheetView workbookViewId="0">
      <pane ySplit="2" topLeftCell="A17"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28" t="s">
        <v>320</v>
      </c>
      <c r="B1" s="216" t="str">
        <f>A2&amp;1</f>
        <v>L1</v>
      </c>
      <c r="C1" s="216" t="str">
        <f>A2&amp;2</f>
        <v>L2</v>
      </c>
      <c r="D1" s="216" t="str">
        <f>A2&amp;3</f>
        <v>L3</v>
      </c>
      <c r="E1" s="216" t="str">
        <f>A2&amp;4</f>
        <v>L4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306</v>
      </c>
      <c r="B2" s="217" t="str">
        <f>VLOOKUP(B1,Lookup08,2,FALSE)</f>
        <v>England</v>
      </c>
      <c r="C2" s="217" t="str">
        <f>VLOOKUP(C1,Lookup08,2,FALSE)</f>
        <v>Croatia</v>
      </c>
      <c r="D2" s="217" t="str">
        <f>VLOOKUP(D1,Lookup08,2,FALSE)</f>
        <v>Ghana</v>
      </c>
      <c r="E2" s="217" t="str">
        <f>VLOOKUP(E1,Lookup08,2,FALSE)</f>
        <v>Panama</v>
      </c>
      <c r="F2" s="144"/>
      <c r="G2" s="144"/>
      <c r="H2" s="195"/>
      <c r="I2" s="196" t="str">
        <f>B2</f>
        <v>England</v>
      </c>
      <c r="J2" s="196" t="str">
        <f>C2</f>
        <v>Croatia</v>
      </c>
      <c r="K2" s="196" t="str">
        <f>D2</f>
        <v>Ghana</v>
      </c>
      <c r="L2" s="196" t="str">
        <f>E2</f>
        <v>Panama</v>
      </c>
      <c r="M2" s="197" t="s">
        <v>26</v>
      </c>
      <c r="N2" s="195"/>
      <c r="O2" s="196" t="str">
        <f>I2</f>
        <v>England</v>
      </c>
      <c r="P2" s="196" t="str">
        <f t="shared" ref="P2:R2" si="0">J2</f>
        <v>Croatia</v>
      </c>
      <c r="Q2" s="196" t="str">
        <f t="shared" si="0"/>
        <v>Ghana</v>
      </c>
      <c r="R2" s="196" t="str">
        <f t="shared" si="0"/>
        <v>Panama</v>
      </c>
      <c r="S2" s="197" t="s">
        <v>26</v>
      </c>
      <c r="T2" s="195"/>
      <c r="U2" s="196" t="str">
        <f>O2</f>
        <v>England</v>
      </c>
      <c r="V2" s="196" t="str">
        <f t="shared" ref="V2:X2" si="1">P2</f>
        <v>Croatia</v>
      </c>
      <c r="W2" s="196" t="str">
        <f t="shared" si="1"/>
        <v>Ghana</v>
      </c>
      <c r="X2" s="196" t="str">
        <f t="shared" si="1"/>
        <v>Panama</v>
      </c>
      <c r="Y2" s="197" t="s">
        <v>26</v>
      </c>
    </row>
    <row r="3" spans="1:26" x14ac:dyDescent="0.25">
      <c r="A3" s="144"/>
      <c r="B3" s="144"/>
      <c r="C3" s="144"/>
      <c r="F3" s="144"/>
      <c r="G3" s="144"/>
      <c r="H3" s="195" t="str">
        <f>B2</f>
        <v>England</v>
      </c>
      <c r="I3" s="211"/>
      <c r="J3" s="196">
        <f ca="1">IF(G10=G11,1,0)</f>
        <v>0</v>
      </c>
      <c r="K3" s="196">
        <f ca="1">IF(G10=G12,1,0)</f>
        <v>0</v>
      </c>
      <c r="L3" s="196">
        <f ca="1">IF(G10=G13,1,0)</f>
        <v>0</v>
      </c>
      <c r="M3" s="197">
        <f ca="1">SUM(I3:L3)</f>
        <v>0</v>
      </c>
      <c r="N3" s="195" t="str">
        <f>H3</f>
        <v>England</v>
      </c>
      <c r="O3" s="211"/>
      <c r="P3" s="196">
        <f ca="1">IF(M10=M11,1,0)</f>
        <v>0</v>
      </c>
      <c r="Q3" s="196">
        <f ca="1">IF(M10=M12,1,0)</f>
        <v>0</v>
      </c>
      <c r="R3" s="196">
        <f ca="1">IF(M10=M13,1,0)</f>
        <v>0</v>
      </c>
      <c r="S3" s="197">
        <f ca="1">SUM(O3:R3)</f>
        <v>0</v>
      </c>
      <c r="T3" s="195" t="str">
        <f>N3</f>
        <v>England</v>
      </c>
      <c r="U3" s="211"/>
      <c r="V3" s="196">
        <f ca="1">IF(S10=S11,1,0)</f>
        <v>0</v>
      </c>
      <c r="W3" s="196">
        <f ca="1">IF(S10=S12,1,0)</f>
        <v>0</v>
      </c>
      <c r="X3" s="196">
        <f ca="1">IF(S10=S13,1,0)</f>
        <v>0</v>
      </c>
      <c r="Y3" s="197">
        <f ca="1">SUM(U3:X3)</f>
        <v>0</v>
      </c>
    </row>
    <row r="4" spans="1:26" x14ac:dyDescent="0.25">
      <c r="A4" s="144"/>
      <c r="B4" s="144"/>
      <c r="C4" s="144"/>
      <c r="F4" s="144"/>
      <c r="G4" s="144"/>
      <c r="H4" s="195" t="str">
        <f>C2</f>
        <v>Croatia</v>
      </c>
      <c r="I4" s="196">
        <f ca="1">IF(G11=G10,1,0)</f>
        <v>0</v>
      </c>
      <c r="J4" s="211"/>
      <c r="K4" s="196">
        <f ca="1">IF(G11=G12,1,0)</f>
        <v>0</v>
      </c>
      <c r="L4" s="196">
        <f ca="1">IF(G11=G13,1,0)</f>
        <v>0</v>
      </c>
      <c r="M4" s="197">
        <f ca="1">SUM(I4:L4)</f>
        <v>0</v>
      </c>
      <c r="N4" s="195" t="str">
        <f t="shared" ref="N4:N6" si="2">H4</f>
        <v>Croatia</v>
      </c>
      <c r="O4" s="196">
        <f ca="1">IF(M11=M10,1,0)</f>
        <v>0</v>
      </c>
      <c r="P4" s="211"/>
      <c r="Q4" s="196">
        <f ca="1">IF(M11=M12,1,0)</f>
        <v>0</v>
      </c>
      <c r="R4" s="196">
        <f ca="1">IF(M11=M13,1,0)</f>
        <v>0</v>
      </c>
      <c r="S4" s="197">
        <f ca="1">SUM(O4:R4)</f>
        <v>0</v>
      </c>
      <c r="T4" s="195" t="str">
        <f t="shared" ref="T4:T6" si="3">N4</f>
        <v>Croatia</v>
      </c>
      <c r="U4" s="196">
        <f ca="1">IF(S11=S10,1,0)</f>
        <v>0</v>
      </c>
      <c r="V4" s="211"/>
      <c r="W4" s="196">
        <f ca="1">IF(S11=S12,1,0)</f>
        <v>0</v>
      </c>
      <c r="X4" s="196">
        <f ca="1">IF(S11=S13,1,0)</f>
        <v>0</v>
      </c>
      <c r="Y4" s="197">
        <f ca="1">SUM(U4:X4)</f>
        <v>0</v>
      </c>
    </row>
    <row r="5" spans="1:26" x14ac:dyDescent="0.25">
      <c r="A5" s="144"/>
      <c r="B5" s="144"/>
      <c r="C5" s="144"/>
      <c r="F5" s="144"/>
      <c r="G5" s="144"/>
      <c r="H5" s="195" t="str">
        <f>D2</f>
        <v>Ghana</v>
      </c>
      <c r="I5" s="196">
        <f ca="1">IF(G12=G10,1,0)</f>
        <v>0</v>
      </c>
      <c r="J5" s="196">
        <f ca="1">IF(G12=G11,1,0)</f>
        <v>0</v>
      </c>
      <c r="K5" s="211"/>
      <c r="L5" s="196">
        <f ca="1">IF(G12=G13,1,0)</f>
        <v>0</v>
      </c>
      <c r="M5" s="197">
        <f ca="1">SUM(I5:L5)</f>
        <v>0</v>
      </c>
      <c r="N5" s="195" t="str">
        <f t="shared" si="2"/>
        <v>Ghana</v>
      </c>
      <c r="O5" s="196">
        <f ca="1">IF(M12=M10,1,0)</f>
        <v>0</v>
      </c>
      <c r="P5" s="196">
        <f ca="1">IF(M12=M11,1,0)</f>
        <v>0</v>
      </c>
      <c r="Q5" s="211"/>
      <c r="R5" s="196">
        <f ca="1">IF(M12=M13,1,0)</f>
        <v>0</v>
      </c>
      <c r="S5" s="197">
        <f ca="1">SUM(O5:R5)</f>
        <v>0</v>
      </c>
      <c r="T5" s="195" t="str">
        <f t="shared" si="3"/>
        <v>Ghana</v>
      </c>
      <c r="U5" s="196">
        <f ca="1">IF(S12=S10,1,0)</f>
        <v>0</v>
      </c>
      <c r="V5" s="196">
        <f ca="1">IF(S12=S11,1,0)</f>
        <v>0</v>
      </c>
      <c r="W5" s="211"/>
      <c r="X5" s="196">
        <f ca="1">IF(S12=S13,1,0)</f>
        <v>0</v>
      </c>
      <c r="Y5" s="197">
        <f ca="1">SUM(U5:X5)</f>
        <v>0</v>
      </c>
    </row>
    <row r="6" spans="1:26" x14ac:dyDescent="0.25">
      <c r="A6" s="144"/>
      <c r="B6" s="144"/>
      <c r="C6" s="144"/>
      <c r="F6" s="144"/>
      <c r="G6" s="144"/>
      <c r="H6" s="198" t="str">
        <f>E2</f>
        <v>Panama</v>
      </c>
      <c r="I6" s="199">
        <f ca="1">IF(G13=G10,1,0)</f>
        <v>0</v>
      </c>
      <c r="J6" s="199">
        <f ca="1">IF(G13=G11,1,0)</f>
        <v>0</v>
      </c>
      <c r="K6" s="199">
        <f ca="1">IF(G13=G12,1,0)</f>
        <v>0</v>
      </c>
      <c r="L6" s="212"/>
      <c r="M6" s="200">
        <f ca="1">SUM(I6:L6)</f>
        <v>0</v>
      </c>
      <c r="N6" s="198" t="str">
        <f t="shared" si="2"/>
        <v>Panama</v>
      </c>
      <c r="O6" s="199">
        <f ca="1">IF(M13=M10,1,0)</f>
        <v>0</v>
      </c>
      <c r="P6" s="199">
        <f ca="1">IF(M13=M11,1,0)</f>
        <v>0</v>
      </c>
      <c r="Q6" s="199">
        <f ca="1">IF(M13=M12,1,0)</f>
        <v>0</v>
      </c>
      <c r="R6" s="212"/>
      <c r="S6" s="200">
        <f ca="1">SUM(O6:R6)</f>
        <v>0</v>
      </c>
      <c r="T6" s="198" t="str">
        <f t="shared" si="3"/>
        <v>Panama</v>
      </c>
      <c r="U6" s="199">
        <f ca="1">IF(S13=S10,1,0)</f>
        <v>0</v>
      </c>
      <c r="V6" s="199">
        <f ca="1">IF(S13=S11,1,0)</f>
        <v>0</v>
      </c>
      <c r="W6" s="199">
        <f ca="1">IF(S13=S12,1,0)</f>
        <v>0</v>
      </c>
      <c r="X6" s="212"/>
      <c r="Y6" s="200">
        <f ca="1">SUM(U6:X6)</f>
        <v>0</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England</v>
      </c>
      <c r="D9" s="190" t="str">
        <f>C2</f>
        <v>Croatia</v>
      </c>
      <c r="E9" s="190" t="str">
        <f>D2</f>
        <v>Ghana</v>
      </c>
      <c r="F9" s="190" t="str">
        <f>E2</f>
        <v>Panama</v>
      </c>
      <c r="G9" s="191" t="s">
        <v>26</v>
      </c>
      <c r="H9" s="189"/>
      <c r="I9" s="190" t="str">
        <f>C9</f>
        <v>England</v>
      </c>
      <c r="J9" s="190" t="str">
        <f t="shared" ref="J9:L9" si="4">D9</f>
        <v>Croatia</v>
      </c>
      <c r="K9" s="190" t="str">
        <f t="shared" si="4"/>
        <v>Ghana</v>
      </c>
      <c r="L9" s="190" t="str">
        <f t="shared" si="4"/>
        <v>Panama</v>
      </c>
      <c r="M9" s="191" t="s">
        <v>26</v>
      </c>
      <c r="N9" s="189"/>
      <c r="O9" s="190" t="str">
        <f>I9</f>
        <v>England</v>
      </c>
      <c r="P9" s="190" t="str">
        <f t="shared" ref="P9:R9" si="5">J9</f>
        <v>Croatia</v>
      </c>
      <c r="Q9" s="190" t="str">
        <f t="shared" si="5"/>
        <v>Ghana</v>
      </c>
      <c r="R9" s="190" t="str">
        <f t="shared" si="5"/>
        <v>Panama</v>
      </c>
      <c r="S9" s="191" t="s">
        <v>26</v>
      </c>
      <c r="T9" s="189"/>
      <c r="U9" s="190" t="str">
        <f>O9</f>
        <v>England</v>
      </c>
      <c r="V9" s="190" t="str">
        <f t="shared" ref="V9:X9" si="6">P9</f>
        <v>Croatia</v>
      </c>
      <c r="W9" s="190" t="str">
        <f t="shared" si="6"/>
        <v>Ghana</v>
      </c>
      <c r="X9" s="190" t="str">
        <f t="shared" si="6"/>
        <v>Panama</v>
      </c>
      <c r="Y9" s="191" t="s">
        <v>26</v>
      </c>
      <c r="Z9" s="227" t="s">
        <v>309</v>
      </c>
    </row>
    <row r="10" spans="1:26" x14ac:dyDescent="0.25">
      <c r="A10" s="144"/>
      <c r="B10" s="189" t="str">
        <f>B2</f>
        <v>England</v>
      </c>
      <c r="C10" s="204"/>
      <c r="D10" s="190">
        <f ca="1">H37</f>
        <v>3</v>
      </c>
      <c r="E10" s="190">
        <f ca="1">H39</f>
        <v>3</v>
      </c>
      <c r="F10" s="190">
        <f ca="1">I42</f>
        <v>3</v>
      </c>
      <c r="G10" s="191">
        <f ca="1">SUM(C10:F10)</f>
        <v>9</v>
      </c>
      <c r="H10" s="189" t="str">
        <f>B10</f>
        <v>England</v>
      </c>
      <c r="I10" s="218">
        <f>C10+I17/100+I24/10000</f>
        <v>0</v>
      </c>
      <c r="J10" s="219">
        <f t="shared" ref="J10:L10" ca="1" si="7">D10+J17/100+J24/10000</f>
        <v>3</v>
      </c>
      <c r="K10" s="219">
        <f t="shared" ca="1" si="7"/>
        <v>3</v>
      </c>
      <c r="L10" s="219">
        <f t="shared" ca="1" si="7"/>
        <v>3</v>
      </c>
      <c r="M10" s="220">
        <f ca="1">SUM(I10:L10)</f>
        <v>9</v>
      </c>
      <c r="N10" s="189" t="str">
        <f>H10</f>
        <v>England</v>
      </c>
      <c r="O10" s="218">
        <f>I10+O17/100+O24/10000</f>
        <v>0</v>
      </c>
      <c r="P10" s="219">
        <f t="shared" ref="P10:R13" ca="1" si="8">J10+P17/100+P24/10000</f>
        <v>3</v>
      </c>
      <c r="Q10" s="219">
        <f t="shared" ca="1" si="8"/>
        <v>3</v>
      </c>
      <c r="R10" s="219">
        <f t="shared" ca="1" si="8"/>
        <v>3</v>
      </c>
      <c r="S10" s="220">
        <f ca="1">SUM(O10:R10)</f>
        <v>9</v>
      </c>
      <c r="T10" s="189" t="str">
        <f>N10</f>
        <v>England</v>
      </c>
      <c r="U10" s="218">
        <f>O10+U17/100+U24/10000</f>
        <v>0</v>
      </c>
      <c r="V10" s="219">
        <f t="shared" ref="V10:X13" ca="1" si="9">P10+V17/100+V24/10000</f>
        <v>3</v>
      </c>
      <c r="W10" s="219">
        <f t="shared" ca="1" si="9"/>
        <v>3</v>
      </c>
      <c r="X10" s="219">
        <f t="shared" ca="1" si="9"/>
        <v>3</v>
      </c>
      <c r="Y10" s="220">
        <f ca="1">ROUND(SUM(U10:X10),8)</f>
        <v>9</v>
      </c>
      <c r="Z10" s="224">
        <f ca="1">_xlfn.RANK.EQ(Y10,Y$10:Y$13,1)</f>
        <v>4</v>
      </c>
    </row>
    <row r="11" spans="1:26" x14ac:dyDescent="0.25">
      <c r="A11" s="144"/>
      <c r="B11" s="189" t="str">
        <f>C2</f>
        <v>Croatia</v>
      </c>
      <c r="C11" s="190">
        <f ca="1">I37</f>
        <v>0</v>
      </c>
      <c r="D11" s="204"/>
      <c r="E11" s="190">
        <f ca="1">H41</f>
        <v>3</v>
      </c>
      <c r="F11" s="190">
        <f ca="1">I40</f>
        <v>3</v>
      </c>
      <c r="G11" s="191">
        <f ca="1">SUM(C11:F11)</f>
        <v>6</v>
      </c>
      <c r="H11" s="189" t="str">
        <f t="shared" ref="H11:H13" si="10">B11</f>
        <v>Croatia</v>
      </c>
      <c r="I11" s="219">
        <f t="shared" ref="I11:L13" ca="1" si="11">C11+I18/100+I25/10000</f>
        <v>0</v>
      </c>
      <c r="J11" s="218">
        <f t="shared" si="11"/>
        <v>0</v>
      </c>
      <c r="K11" s="219">
        <f t="shared" ca="1" si="11"/>
        <v>3</v>
      </c>
      <c r="L11" s="219">
        <f t="shared" ca="1" si="11"/>
        <v>3</v>
      </c>
      <c r="M11" s="220">
        <f ca="1">SUM(I11:L11)</f>
        <v>6</v>
      </c>
      <c r="N11" s="189" t="str">
        <f t="shared" ref="N11:N13" si="12">H11</f>
        <v>Croatia</v>
      </c>
      <c r="O11" s="219">
        <f t="shared" ref="O11:O13" ca="1" si="13">I11+O18/100+O25/10000</f>
        <v>0</v>
      </c>
      <c r="P11" s="218">
        <f t="shared" si="8"/>
        <v>0</v>
      </c>
      <c r="Q11" s="219">
        <f t="shared" ca="1" si="8"/>
        <v>3</v>
      </c>
      <c r="R11" s="219">
        <f t="shared" ca="1" si="8"/>
        <v>3</v>
      </c>
      <c r="S11" s="220">
        <f ca="1">SUM(O11:R11)</f>
        <v>6</v>
      </c>
      <c r="T11" s="189" t="str">
        <f t="shared" ref="T11:T13" si="14">N11</f>
        <v>Croatia</v>
      </c>
      <c r="U11" s="219">
        <f t="shared" ref="U11:U13" ca="1" si="15">O11+U18/100+U25/10000</f>
        <v>0</v>
      </c>
      <c r="V11" s="218">
        <f t="shared" si="9"/>
        <v>0</v>
      </c>
      <c r="W11" s="219">
        <f t="shared" ca="1" si="9"/>
        <v>3</v>
      </c>
      <c r="X11" s="219">
        <f t="shared" ca="1" si="9"/>
        <v>3</v>
      </c>
      <c r="Y11" s="220">
        <f t="shared" ref="Y11:Y13" ca="1" si="16">ROUND(SUM(U11:X11),8)</f>
        <v>6</v>
      </c>
      <c r="Z11" s="224">
        <f t="shared" ref="Z11:Z13" ca="1" si="17">_xlfn.RANK.EQ(Y11,Y$10:Y$13,1)</f>
        <v>3</v>
      </c>
    </row>
    <row r="12" spans="1:26" x14ac:dyDescent="0.25">
      <c r="A12" s="144"/>
      <c r="B12" s="189" t="str">
        <f>D2</f>
        <v>Ghana</v>
      </c>
      <c r="C12" s="190">
        <f ca="1">I39</f>
        <v>0</v>
      </c>
      <c r="D12" s="190">
        <f ca="1">I41</f>
        <v>0</v>
      </c>
      <c r="E12" s="204"/>
      <c r="F12" s="190">
        <f ca="1">H38</f>
        <v>0</v>
      </c>
      <c r="G12" s="191">
        <f ca="1">SUM(C12:F12)</f>
        <v>0</v>
      </c>
      <c r="H12" s="189" t="str">
        <f t="shared" si="10"/>
        <v>Ghana</v>
      </c>
      <c r="I12" s="219">
        <f t="shared" ca="1" si="11"/>
        <v>0</v>
      </c>
      <c r="J12" s="219">
        <f t="shared" ca="1" si="11"/>
        <v>0</v>
      </c>
      <c r="K12" s="218">
        <f t="shared" si="11"/>
        <v>0</v>
      </c>
      <c r="L12" s="219">
        <f t="shared" ca="1" si="11"/>
        <v>0</v>
      </c>
      <c r="M12" s="220">
        <f ca="1">SUM(I12:L12)</f>
        <v>0</v>
      </c>
      <c r="N12" s="189" t="str">
        <f t="shared" si="12"/>
        <v>Ghana</v>
      </c>
      <c r="O12" s="219">
        <f t="shared" ca="1" si="13"/>
        <v>0</v>
      </c>
      <c r="P12" s="219">
        <f t="shared" ca="1" si="8"/>
        <v>0</v>
      </c>
      <c r="Q12" s="218">
        <f t="shared" si="8"/>
        <v>0</v>
      </c>
      <c r="R12" s="219">
        <f t="shared" ca="1" si="8"/>
        <v>0</v>
      </c>
      <c r="S12" s="220">
        <f ca="1">SUM(O12:R12)</f>
        <v>0</v>
      </c>
      <c r="T12" s="189" t="str">
        <f t="shared" si="14"/>
        <v>Ghana</v>
      </c>
      <c r="U12" s="219">
        <f t="shared" ca="1" si="15"/>
        <v>0</v>
      </c>
      <c r="V12" s="219">
        <f t="shared" ca="1" si="9"/>
        <v>0</v>
      </c>
      <c r="W12" s="218">
        <f t="shared" si="9"/>
        <v>0</v>
      </c>
      <c r="X12" s="219">
        <f t="shared" ca="1" si="9"/>
        <v>0</v>
      </c>
      <c r="Y12" s="220">
        <f t="shared" ca="1" si="16"/>
        <v>0</v>
      </c>
      <c r="Z12" s="224">
        <f t="shared" ca="1" si="17"/>
        <v>1</v>
      </c>
    </row>
    <row r="13" spans="1:26" x14ac:dyDescent="0.25">
      <c r="A13" s="144"/>
      <c r="B13" s="192" t="str">
        <f>E2</f>
        <v>Panama</v>
      </c>
      <c r="C13" s="193">
        <f ca="1">H42</f>
        <v>0</v>
      </c>
      <c r="D13" s="193">
        <f ca="1">H40</f>
        <v>0</v>
      </c>
      <c r="E13" s="193">
        <f ca="1">I38</f>
        <v>3</v>
      </c>
      <c r="F13" s="205"/>
      <c r="G13" s="194">
        <f ca="1">SUM(C13:F13)</f>
        <v>3</v>
      </c>
      <c r="H13" s="192" t="str">
        <f t="shared" si="10"/>
        <v>Panama</v>
      </c>
      <c r="I13" s="221">
        <f t="shared" ca="1" si="11"/>
        <v>0</v>
      </c>
      <c r="J13" s="221">
        <f t="shared" ca="1" si="11"/>
        <v>0</v>
      </c>
      <c r="K13" s="221">
        <f t="shared" ca="1" si="11"/>
        <v>3</v>
      </c>
      <c r="L13" s="222">
        <f t="shared" si="11"/>
        <v>0</v>
      </c>
      <c r="M13" s="223">
        <f ca="1">SUM(I13:L13)</f>
        <v>3</v>
      </c>
      <c r="N13" s="192" t="str">
        <f t="shared" si="12"/>
        <v>Panama</v>
      </c>
      <c r="O13" s="221">
        <f t="shared" ca="1" si="13"/>
        <v>0</v>
      </c>
      <c r="P13" s="221">
        <f t="shared" ca="1" si="8"/>
        <v>0</v>
      </c>
      <c r="Q13" s="221">
        <f t="shared" ca="1" si="8"/>
        <v>3</v>
      </c>
      <c r="R13" s="222">
        <f t="shared" si="8"/>
        <v>0</v>
      </c>
      <c r="S13" s="223">
        <f ca="1">SUM(O13:R13)</f>
        <v>3</v>
      </c>
      <c r="T13" s="192" t="str">
        <f t="shared" si="14"/>
        <v>Panama</v>
      </c>
      <c r="U13" s="221">
        <f t="shared" ca="1" si="15"/>
        <v>0</v>
      </c>
      <c r="V13" s="221">
        <f t="shared" ca="1" si="9"/>
        <v>0</v>
      </c>
      <c r="W13" s="221">
        <f t="shared" ca="1" si="9"/>
        <v>3</v>
      </c>
      <c r="X13" s="222">
        <f t="shared" si="9"/>
        <v>0</v>
      </c>
      <c r="Y13" s="223">
        <f t="shared" ca="1" si="16"/>
        <v>3</v>
      </c>
      <c r="Z13" s="225">
        <f t="shared" ca="1" si="17"/>
        <v>2</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England</v>
      </c>
      <c r="D16" s="177" t="str">
        <f>C2</f>
        <v>Croatia</v>
      </c>
      <c r="E16" s="177" t="str">
        <f>D2</f>
        <v>Ghana</v>
      </c>
      <c r="F16" s="177" t="str">
        <f>E2</f>
        <v>Panama</v>
      </c>
      <c r="G16" s="178" t="s">
        <v>26</v>
      </c>
      <c r="H16" s="183"/>
      <c r="I16" s="184" t="str">
        <f>C16</f>
        <v>England</v>
      </c>
      <c r="J16" s="184" t="str">
        <f t="shared" ref="J16:L16" si="18">D16</f>
        <v>Croatia</v>
      </c>
      <c r="K16" s="184" t="str">
        <f t="shared" si="18"/>
        <v>Ghana</v>
      </c>
      <c r="L16" s="184" t="str">
        <f t="shared" si="18"/>
        <v>Panama</v>
      </c>
      <c r="M16" s="185" t="s">
        <v>26</v>
      </c>
      <c r="N16" s="183"/>
      <c r="O16" s="184" t="str">
        <f>I16</f>
        <v>England</v>
      </c>
      <c r="P16" s="184" t="str">
        <f t="shared" ref="P16:R16" si="19">J16</f>
        <v>Croatia</v>
      </c>
      <c r="Q16" s="184" t="str">
        <f t="shared" si="19"/>
        <v>Ghana</v>
      </c>
      <c r="R16" s="184" t="str">
        <f t="shared" si="19"/>
        <v>Panama</v>
      </c>
      <c r="S16" s="185" t="s">
        <v>26</v>
      </c>
      <c r="T16" s="183"/>
      <c r="U16" s="184" t="str">
        <f>O16</f>
        <v>England</v>
      </c>
      <c r="V16" s="184" t="str">
        <f t="shared" ref="V16:X16" si="20">P16</f>
        <v>Croatia</v>
      </c>
      <c r="W16" s="184" t="str">
        <f t="shared" si="20"/>
        <v>Ghana</v>
      </c>
      <c r="X16" s="184" t="str">
        <f t="shared" si="20"/>
        <v>Panama</v>
      </c>
      <c r="Y16" s="185" t="s">
        <v>26</v>
      </c>
    </row>
    <row r="17" spans="1:25" x14ac:dyDescent="0.25">
      <c r="A17" s="144"/>
      <c r="B17" s="176" t="str">
        <f>B2</f>
        <v>England</v>
      </c>
      <c r="C17" s="206"/>
      <c r="D17" s="179">
        <f ca="1">IFERROR(F37-G37,0)</f>
        <v>3</v>
      </c>
      <c r="E17" s="179">
        <f ca="1">IFERROR(F39-G39,0)</f>
        <v>1</v>
      </c>
      <c r="F17" s="179">
        <f ca="1">IFERROR(G42-F42,0)</f>
        <v>1</v>
      </c>
      <c r="G17" s="178">
        <f ca="1">SUM(C17:F17)</f>
        <v>5</v>
      </c>
      <c r="H17" s="183" t="str">
        <f>B17</f>
        <v>England</v>
      </c>
      <c r="I17" s="208"/>
      <c r="J17" s="184">
        <f ca="1">D17*J3</f>
        <v>0</v>
      </c>
      <c r="K17" s="184">
        <f ca="1">E17*K3</f>
        <v>0</v>
      </c>
      <c r="L17" s="184">
        <f ca="1">F17*L3</f>
        <v>0</v>
      </c>
      <c r="M17" s="185">
        <f ca="1">SUM(I17:L17)</f>
        <v>0</v>
      </c>
      <c r="N17" s="183" t="str">
        <f>H17</f>
        <v>England</v>
      </c>
      <c r="O17" s="208"/>
      <c r="P17" s="184">
        <f ca="1">J17*P3</f>
        <v>0</v>
      </c>
      <c r="Q17" s="184">
        <f ca="1">K17*Q3</f>
        <v>0</v>
      </c>
      <c r="R17" s="184">
        <f ca="1">L17*R3</f>
        <v>0</v>
      </c>
      <c r="S17" s="185">
        <f ca="1">SUM(O17:R17)</f>
        <v>0</v>
      </c>
      <c r="T17" s="183" t="str">
        <f>N17</f>
        <v>England</v>
      </c>
      <c r="U17" s="208"/>
      <c r="V17" s="184">
        <f ca="1">P17*V3</f>
        <v>0</v>
      </c>
      <c r="W17" s="184">
        <f ca="1">Q17*W3</f>
        <v>0</v>
      </c>
      <c r="X17" s="184">
        <f ca="1">R17*X3</f>
        <v>0</v>
      </c>
      <c r="Y17" s="185">
        <f ca="1">SUM(U17:X17)</f>
        <v>0</v>
      </c>
    </row>
    <row r="18" spans="1:25" x14ac:dyDescent="0.25">
      <c r="A18" s="144"/>
      <c r="B18" s="176" t="str">
        <f>C2</f>
        <v>Croatia</v>
      </c>
      <c r="C18" s="179">
        <f ca="1">IFERROR(G37-F37,0)</f>
        <v>-3</v>
      </c>
      <c r="D18" s="206"/>
      <c r="E18" s="179">
        <f ca="1">IFERROR(F41-G41,0)</f>
        <v>1</v>
      </c>
      <c r="F18" s="179">
        <f ca="1">IFERROR(G40-F40,0)</f>
        <v>3</v>
      </c>
      <c r="G18" s="178">
        <f ca="1">SUM(C18:F18)</f>
        <v>1</v>
      </c>
      <c r="H18" s="183" t="str">
        <f t="shared" ref="H18:H20" si="21">B18</f>
        <v>Croatia</v>
      </c>
      <c r="I18" s="184">
        <f ca="1">C18*I4</f>
        <v>0</v>
      </c>
      <c r="J18" s="208"/>
      <c r="K18" s="184">
        <f ca="1">E18*K4</f>
        <v>0</v>
      </c>
      <c r="L18" s="184">
        <f ca="1">F18*L4</f>
        <v>0</v>
      </c>
      <c r="M18" s="185">
        <f ca="1">SUM(I18:L18)</f>
        <v>0</v>
      </c>
      <c r="N18" s="183" t="str">
        <f t="shared" ref="N18:N20" si="22">H18</f>
        <v>Croatia</v>
      </c>
      <c r="O18" s="184">
        <f ca="1">I18*O4</f>
        <v>0</v>
      </c>
      <c r="P18" s="208"/>
      <c r="Q18" s="184">
        <f ca="1">K18*Q4</f>
        <v>0</v>
      </c>
      <c r="R18" s="184">
        <f ca="1">L18*R4</f>
        <v>0</v>
      </c>
      <c r="S18" s="185">
        <f ca="1">SUM(O18:R18)</f>
        <v>0</v>
      </c>
      <c r="T18" s="183" t="str">
        <f t="shared" ref="T18:T20" si="23">N18</f>
        <v>Croatia</v>
      </c>
      <c r="U18" s="184">
        <f ca="1">O18*U4</f>
        <v>0</v>
      </c>
      <c r="V18" s="208"/>
      <c r="W18" s="184">
        <f ca="1">Q18*W4</f>
        <v>0</v>
      </c>
      <c r="X18" s="184">
        <f ca="1">R18*X4</f>
        <v>0</v>
      </c>
      <c r="Y18" s="185">
        <f ca="1">SUM(U18:X18)</f>
        <v>0</v>
      </c>
    </row>
    <row r="19" spans="1:25" x14ac:dyDescent="0.25">
      <c r="A19" s="144"/>
      <c r="B19" s="176" t="str">
        <f>D2</f>
        <v>Ghana</v>
      </c>
      <c r="C19" s="179">
        <f ca="1">IFERROR(G39-F39,0)</f>
        <v>-1</v>
      </c>
      <c r="D19" s="179">
        <f ca="1">IFERROR(G41-F41,0)</f>
        <v>-1</v>
      </c>
      <c r="E19" s="206"/>
      <c r="F19" s="179">
        <f ca="1">IFERROR(F38-G38,0)</f>
        <v>-1</v>
      </c>
      <c r="G19" s="178">
        <f ca="1">SUM(C19:F19)</f>
        <v>-3</v>
      </c>
      <c r="H19" s="183" t="str">
        <f t="shared" si="21"/>
        <v>Ghana</v>
      </c>
      <c r="I19" s="184">
        <f ca="1">C19*I5</f>
        <v>0</v>
      </c>
      <c r="J19" s="184">
        <f ca="1">D19*J5</f>
        <v>0</v>
      </c>
      <c r="K19" s="208"/>
      <c r="L19" s="184">
        <f ca="1">F19*L5</f>
        <v>0</v>
      </c>
      <c r="M19" s="185">
        <f ca="1">SUM(I19:L19)</f>
        <v>0</v>
      </c>
      <c r="N19" s="183" t="str">
        <f t="shared" si="22"/>
        <v>Ghana</v>
      </c>
      <c r="O19" s="184">
        <f ca="1">I19*O5</f>
        <v>0</v>
      </c>
      <c r="P19" s="184">
        <f ca="1">J19*P5</f>
        <v>0</v>
      </c>
      <c r="Q19" s="208"/>
      <c r="R19" s="184">
        <f ca="1">L19*R5</f>
        <v>0</v>
      </c>
      <c r="S19" s="185">
        <f ca="1">SUM(O19:R19)</f>
        <v>0</v>
      </c>
      <c r="T19" s="183" t="str">
        <f t="shared" si="23"/>
        <v>Ghana</v>
      </c>
      <c r="U19" s="184">
        <f ca="1">O19*U5</f>
        <v>0</v>
      </c>
      <c r="V19" s="184">
        <f ca="1">P19*V5</f>
        <v>0</v>
      </c>
      <c r="W19" s="208"/>
      <c r="X19" s="184">
        <f ca="1">R19*X5</f>
        <v>0</v>
      </c>
      <c r="Y19" s="185">
        <f ca="1">SUM(U19:X19)</f>
        <v>0</v>
      </c>
    </row>
    <row r="20" spans="1:25" x14ac:dyDescent="0.25">
      <c r="A20" s="144"/>
      <c r="B20" s="180" t="str">
        <f>E2</f>
        <v>Panama</v>
      </c>
      <c r="C20" s="181">
        <f ca="1">IFERROR(F42-G42,0)</f>
        <v>-1</v>
      </c>
      <c r="D20" s="181">
        <f ca="1">IFERROR(F40-G40,0)</f>
        <v>-3</v>
      </c>
      <c r="E20" s="181">
        <f ca="1">IFERROR(G38-F38,0)</f>
        <v>1</v>
      </c>
      <c r="F20" s="207"/>
      <c r="G20" s="182">
        <f ca="1">SUM(C20:F20)</f>
        <v>-3</v>
      </c>
      <c r="H20" s="186" t="str">
        <f t="shared" si="21"/>
        <v>Panama</v>
      </c>
      <c r="I20" s="187">
        <f ca="1">C20*I6</f>
        <v>0</v>
      </c>
      <c r="J20" s="187">
        <f ca="1">D20*J6</f>
        <v>0</v>
      </c>
      <c r="K20" s="187">
        <f ca="1">E20*K6</f>
        <v>0</v>
      </c>
      <c r="L20" s="213"/>
      <c r="M20" s="188">
        <f ca="1">SUM(I20:L20)</f>
        <v>0</v>
      </c>
      <c r="N20" s="186" t="str">
        <f t="shared" si="22"/>
        <v>Panama</v>
      </c>
      <c r="O20" s="187">
        <f ca="1">I20*O6</f>
        <v>0</v>
      </c>
      <c r="P20" s="187">
        <f ca="1">J20*P6</f>
        <v>0</v>
      </c>
      <c r="Q20" s="187">
        <f ca="1">K20*Q6</f>
        <v>0</v>
      </c>
      <c r="R20" s="213"/>
      <c r="S20" s="188">
        <f ca="1">SUM(O20:R20)</f>
        <v>0</v>
      </c>
      <c r="T20" s="186" t="str">
        <f t="shared" si="23"/>
        <v>Panama</v>
      </c>
      <c r="U20" s="187">
        <f ca="1">O20*U6</f>
        <v>0</v>
      </c>
      <c r="V20" s="187">
        <f ca="1">P20*V6</f>
        <v>0</v>
      </c>
      <c r="W20" s="187">
        <f ca="1">Q20*W6</f>
        <v>0</v>
      </c>
      <c r="X20" s="213"/>
      <c r="Y20" s="188">
        <f ca="1">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England</v>
      </c>
      <c r="D23" s="164" t="str">
        <f>C2</f>
        <v>Croatia</v>
      </c>
      <c r="E23" s="164" t="str">
        <f>D2</f>
        <v>Ghana</v>
      </c>
      <c r="F23" s="164" t="str">
        <f>E2</f>
        <v>Panama</v>
      </c>
      <c r="G23" s="165" t="s">
        <v>26</v>
      </c>
      <c r="H23" s="169"/>
      <c r="I23" s="170" t="str">
        <f>C23</f>
        <v>England</v>
      </c>
      <c r="J23" s="170" t="str">
        <f t="shared" ref="J23:L23" si="24">D23</f>
        <v>Croatia</v>
      </c>
      <c r="K23" s="170" t="str">
        <f t="shared" si="24"/>
        <v>Ghana</v>
      </c>
      <c r="L23" s="170" t="str">
        <f t="shared" si="24"/>
        <v>Panama</v>
      </c>
      <c r="M23" s="171" t="s">
        <v>26</v>
      </c>
      <c r="N23" s="169"/>
      <c r="O23" s="170" t="str">
        <f>I23</f>
        <v>England</v>
      </c>
      <c r="P23" s="170" t="str">
        <f t="shared" ref="P23:R23" si="25">J23</f>
        <v>Croatia</v>
      </c>
      <c r="Q23" s="170" t="str">
        <f t="shared" si="25"/>
        <v>Ghana</v>
      </c>
      <c r="R23" s="170" t="str">
        <f t="shared" si="25"/>
        <v>Panama</v>
      </c>
      <c r="S23" s="171" t="s">
        <v>26</v>
      </c>
      <c r="T23" s="169"/>
      <c r="U23" s="170" t="str">
        <f>O23</f>
        <v>England</v>
      </c>
      <c r="V23" s="170" t="str">
        <f t="shared" ref="V23:X23" si="26">P23</f>
        <v>Croatia</v>
      </c>
      <c r="W23" s="170" t="str">
        <f t="shared" si="26"/>
        <v>Ghana</v>
      </c>
      <c r="X23" s="170" t="str">
        <f t="shared" si="26"/>
        <v>Panama</v>
      </c>
      <c r="Y23" s="171" t="s">
        <v>26</v>
      </c>
    </row>
    <row r="24" spans="1:25" x14ac:dyDescent="0.25">
      <c r="A24" s="143"/>
      <c r="B24" s="163" t="str">
        <f>B2</f>
        <v>England</v>
      </c>
      <c r="C24" s="209"/>
      <c r="D24" s="164">
        <f ca="1">IF(F37="",0,F37)</f>
        <v>3</v>
      </c>
      <c r="E24" s="164">
        <f ca="1">IF(F39="",0,F39)</f>
        <v>2</v>
      </c>
      <c r="F24" s="164">
        <f ca="1">IF(G42="",0,G42)</f>
        <v>3</v>
      </c>
      <c r="G24" s="165">
        <f ca="1">SUM(C24:F24)</f>
        <v>8</v>
      </c>
      <c r="H24" s="169" t="str">
        <f>B24</f>
        <v>England</v>
      </c>
      <c r="I24" s="214"/>
      <c r="J24" s="170">
        <f ca="1">D24*J3</f>
        <v>0</v>
      </c>
      <c r="K24" s="170">
        <f ca="1">E24*K3</f>
        <v>0</v>
      </c>
      <c r="L24" s="170">
        <f ca="1">F24*L3</f>
        <v>0</v>
      </c>
      <c r="M24" s="171">
        <f ca="1">SUM(I24:L24)</f>
        <v>0</v>
      </c>
      <c r="N24" s="169" t="str">
        <f>H24</f>
        <v>England</v>
      </c>
      <c r="O24" s="214"/>
      <c r="P24" s="170">
        <f ca="1">J24*P3</f>
        <v>0</v>
      </c>
      <c r="Q24" s="170">
        <f ca="1">K24*Q3</f>
        <v>0</v>
      </c>
      <c r="R24" s="170">
        <f ca="1">L24*R3</f>
        <v>0</v>
      </c>
      <c r="S24" s="171">
        <f ca="1">SUM(O24:R24)</f>
        <v>0</v>
      </c>
      <c r="T24" s="169" t="str">
        <f>N24</f>
        <v>England</v>
      </c>
      <c r="U24" s="214"/>
      <c r="V24" s="170">
        <f ca="1">P24*V3</f>
        <v>0</v>
      </c>
      <c r="W24" s="170">
        <f ca="1">Q24*W3</f>
        <v>0</v>
      </c>
      <c r="X24" s="170">
        <f ca="1">R24*X3</f>
        <v>0</v>
      </c>
      <c r="Y24" s="171">
        <f ca="1">SUM(U24:X24)</f>
        <v>0</v>
      </c>
    </row>
    <row r="25" spans="1:25" x14ac:dyDescent="0.25">
      <c r="A25" s="143"/>
      <c r="B25" s="163" t="str">
        <f>C2</f>
        <v>Croatia</v>
      </c>
      <c r="C25" s="164">
        <f ca="1">IF(G37="",0,G37)</f>
        <v>0</v>
      </c>
      <c r="D25" s="209"/>
      <c r="E25" s="164">
        <f ca="1">IF(F41="",0,F41)</f>
        <v>1</v>
      </c>
      <c r="F25" s="164">
        <f ca="1">IF(G40="",0,G40)</f>
        <v>3</v>
      </c>
      <c r="G25" s="165">
        <f ca="1">SUM(C25:F25)</f>
        <v>4</v>
      </c>
      <c r="H25" s="169" t="str">
        <f t="shared" ref="H25:H27" si="27">B25</f>
        <v>Croatia</v>
      </c>
      <c r="I25" s="170">
        <f ca="1">C25*I4</f>
        <v>0</v>
      </c>
      <c r="J25" s="214"/>
      <c r="K25" s="170">
        <f ca="1">E25*K4</f>
        <v>0</v>
      </c>
      <c r="L25" s="170">
        <f ca="1">F25*L4</f>
        <v>0</v>
      </c>
      <c r="M25" s="171">
        <f ca="1">SUM(I25:L25)</f>
        <v>0</v>
      </c>
      <c r="N25" s="169" t="str">
        <f t="shared" ref="N25:N27" si="28">H25</f>
        <v>Croatia</v>
      </c>
      <c r="O25" s="170">
        <f ca="1">I25*O4</f>
        <v>0</v>
      </c>
      <c r="P25" s="214"/>
      <c r="Q25" s="170">
        <f ca="1">K25*Q4</f>
        <v>0</v>
      </c>
      <c r="R25" s="170">
        <f ca="1">L25*R4</f>
        <v>0</v>
      </c>
      <c r="S25" s="171">
        <f ca="1">SUM(O25:R25)</f>
        <v>0</v>
      </c>
      <c r="T25" s="169" t="str">
        <f t="shared" ref="T25:T27" si="29">N25</f>
        <v>Croatia</v>
      </c>
      <c r="U25" s="170">
        <f ca="1">O25*U4</f>
        <v>0</v>
      </c>
      <c r="V25" s="214"/>
      <c r="W25" s="170">
        <f ca="1">Q25*W4</f>
        <v>0</v>
      </c>
      <c r="X25" s="170">
        <f ca="1">R25*X4</f>
        <v>0</v>
      </c>
      <c r="Y25" s="171">
        <f ca="1">SUM(U25:X25)</f>
        <v>0</v>
      </c>
    </row>
    <row r="26" spans="1:25" x14ac:dyDescent="0.25">
      <c r="A26" s="143"/>
      <c r="B26" s="163" t="str">
        <f>D2</f>
        <v>Ghana</v>
      </c>
      <c r="C26" s="164">
        <f ca="1">IF(G39="",0,G39)</f>
        <v>1</v>
      </c>
      <c r="D26" s="164">
        <f ca="1">IF(G41="",0,G41)</f>
        <v>0</v>
      </c>
      <c r="E26" s="209"/>
      <c r="F26" s="164">
        <f ca="1">IF(F38="",0,F38)</f>
        <v>0</v>
      </c>
      <c r="G26" s="165">
        <f ca="1">SUM(C26:F26)</f>
        <v>1</v>
      </c>
      <c r="H26" s="169" t="str">
        <f t="shared" si="27"/>
        <v>Ghana</v>
      </c>
      <c r="I26" s="170">
        <f ca="1">C26*I5</f>
        <v>0</v>
      </c>
      <c r="J26" s="170">
        <f ca="1">D26*J5</f>
        <v>0</v>
      </c>
      <c r="K26" s="214"/>
      <c r="L26" s="170">
        <f ca="1">F26*L5</f>
        <v>0</v>
      </c>
      <c r="M26" s="171">
        <f ca="1">SUM(I26:L26)</f>
        <v>0</v>
      </c>
      <c r="N26" s="169" t="str">
        <f t="shared" si="28"/>
        <v>Ghana</v>
      </c>
      <c r="O26" s="170">
        <f ca="1">I26*O5</f>
        <v>0</v>
      </c>
      <c r="P26" s="170">
        <f ca="1">J26*P5</f>
        <v>0</v>
      </c>
      <c r="Q26" s="214"/>
      <c r="R26" s="170">
        <f ca="1">L26*R5</f>
        <v>0</v>
      </c>
      <c r="S26" s="171">
        <f ca="1">SUM(O26:R26)</f>
        <v>0</v>
      </c>
      <c r="T26" s="169" t="str">
        <f t="shared" si="29"/>
        <v>Ghana</v>
      </c>
      <c r="U26" s="170">
        <f ca="1">O26*U5</f>
        <v>0</v>
      </c>
      <c r="V26" s="170">
        <f ca="1">P26*V5</f>
        <v>0</v>
      </c>
      <c r="W26" s="214"/>
      <c r="X26" s="170">
        <f ca="1">R26*X5</f>
        <v>0</v>
      </c>
      <c r="Y26" s="171">
        <f ca="1">SUM(U26:X26)</f>
        <v>0</v>
      </c>
    </row>
    <row r="27" spans="1:25" x14ac:dyDescent="0.25">
      <c r="A27" s="143"/>
      <c r="B27" s="166" t="str">
        <f>E2</f>
        <v>Panama</v>
      </c>
      <c r="C27" s="167">
        <f ca="1">IF(F42="",0,F42)</f>
        <v>2</v>
      </c>
      <c r="D27" s="167">
        <f ca="1">IF(F40="",0,F40)</f>
        <v>0</v>
      </c>
      <c r="E27" s="167">
        <f ca="1">IF(G38="",0,G38)</f>
        <v>1</v>
      </c>
      <c r="F27" s="210"/>
      <c r="G27" s="168">
        <f ca="1">SUM(C27:F27)</f>
        <v>3</v>
      </c>
      <c r="H27" s="172" t="str">
        <f t="shared" si="27"/>
        <v>Panama</v>
      </c>
      <c r="I27" s="173">
        <f ca="1">C27*I6</f>
        <v>0</v>
      </c>
      <c r="J27" s="173">
        <f ca="1">D27*J6</f>
        <v>0</v>
      </c>
      <c r="K27" s="173">
        <f ca="1">E27*K6</f>
        <v>0</v>
      </c>
      <c r="L27" s="215"/>
      <c r="M27" s="174">
        <f ca="1">SUM(I27:L27)</f>
        <v>0</v>
      </c>
      <c r="N27" s="172" t="str">
        <f t="shared" si="28"/>
        <v>Panama</v>
      </c>
      <c r="O27" s="173">
        <f ca="1">I27*O6</f>
        <v>0</v>
      </c>
      <c r="P27" s="173">
        <f ca="1">J27*P6</f>
        <v>0</v>
      </c>
      <c r="Q27" s="173">
        <f ca="1">K27*Q6</f>
        <v>0</v>
      </c>
      <c r="R27" s="215"/>
      <c r="S27" s="174">
        <f ca="1">SUM(O27:R27)</f>
        <v>0</v>
      </c>
      <c r="T27" s="172" t="str">
        <f t="shared" si="29"/>
        <v>Panama</v>
      </c>
      <c r="U27" s="173">
        <f ca="1">O27*U6</f>
        <v>0</v>
      </c>
      <c r="V27" s="173">
        <f ca="1">P27*V6</f>
        <v>0</v>
      </c>
      <c r="W27" s="173">
        <f ca="1">Q27*W6</f>
        <v>0</v>
      </c>
      <c r="X27" s="215"/>
      <c r="Y27" s="174">
        <f ca="1">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300" t="s">
        <v>669</v>
      </c>
      <c r="E29" s="300" t="s">
        <v>670</v>
      </c>
      <c r="F29" s="300" t="s">
        <v>671</v>
      </c>
      <c r="G29" s="232" t="s">
        <v>631</v>
      </c>
      <c r="H29" s="232" t="s">
        <v>632</v>
      </c>
      <c r="I29" s="232" t="s">
        <v>633</v>
      </c>
      <c r="J29" s="232" t="s">
        <v>676</v>
      </c>
      <c r="K29" s="232" t="s">
        <v>411</v>
      </c>
      <c r="L29" s="232" t="s">
        <v>661</v>
      </c>
      <c r="M29" s="232" t="s">
        <v>634</v>
      </c>
      <c r="N29" s="233" t="s">
        <v>635</v>
      </c>
    </row>
    <row r="30" spans="1:25" x14ac:dyDescent="0.25">
      <c r="A30" s="234">
        <f ca="1">N30</f>
        <v>1</v>
      </c>
      <c r="B30" s="235" t="str">
        <f>B2</f>
        <v>England</v>
      </c>
      <c r="C30" s="236">
        <v>3</v>
      </c>
      <c r="D30" s="236">
        <f ca="1">COUNTIF(FWinners,B30)</f>
        <v>3</v>
      </c>
      <c r="E30" s="236">
        <f ca="1">COUNTIF(FDraws,"D"&amp;B30)</f>
        <v>0</v>
      </c>
      <c r="F30" s="236">
        <f ca="1">COUNTIF(FLosers,B30)</f>
        <v>0</v>
      </c>
      <c r="G30" s="236">
        <f ca="1">F37+F39+G42</f>
        <v>8</v>
      </c>
      <c r="H30" s="236">
        <f ca="1">G37+G39+F42</f>
        <v>3</v>
      </c>
      <c r="I30" s="236">
        <f ca="1">G30-H30</f>
        <v>5</v>
      </c>
      <c r="J30" s="237">
        <f ca="1">Z10</f>
        <v>4</v>
      </c>
      <c r="K30" s="236">
        <f>VLOOKUP($B30,Lookup10,11,FALSE)</f>
        <v>0</v>
      </c>
      <c r="L30" s="236">
        <f>VLOOKUP($B30,Lookup11,2,FALSE)</f>
        <v>4</v>
      </c>
      <c r="M30" s="238">
        <f ca="1">ROUND(G30*G$34+I30*I$34+J30*J$34-K30*K$34-L30*L$34,8)</f>
        <v>40507.999600000003</v>
      </c>
      <c r="N30" s="239">
        <f ca="1">RANK(M30,M$30:M$33,0)</f>
        <v>1</v>
      </c>
    </row>
    <row r="31" spans="1:25" x14ac:dyDescent="0.25">
      <c r="A31" s="234">
        <f ca="1">N31</f>
        <v>2</v>
      </c>
      <c r="B31" s="235" t="str">
        <f>C2</f>
        <v>Croatia</v>
      </c>
      <c r="C31" s="236">
        <v>3</v>
      </c>
      <c r="D31" s="236">
        <f ca="1">COUNTIF(FWinners,B31)</f>
        <v>2</v>
      </c>
      <c r="E31" s="236">
        <f ca="1">COUNTIF(FDraws,"D"&amp;B31)</f>
        <v>0</v>
      </c>
      <c r="F31" s="236">
        <f ca="1">COUNTIF(FLosers,B31)</f>
        <v>1</v>
      </c>
      <c r="G31" s="236">
        <f ca="1">G37+G40+F41</f>
        <v>4</v>
      </c>
      <c r="H31" s="236">
        <f ca="1">F37+F40+G41</f>
        <v>3</v>
      </c>
      <c r="I31" s="236">
        <f t="shared" ref="I31:I33" ca="1" si="30">G31-H31</f>
        <v>1</v>
      </c>
      <c r="J31" s="237">
        <f ca="1">Z11</f>
        <v>3</v>
      </c>
      <c r="K31" s="236">
        <f>VLOOKUP($B31,Lookup10,11,FALSE)</f>
        <v>0</v>
      </c>
      <c r="L31" s="236">
        <f>VLOOKUP($B31,Lookup11,2,FALSE)</f>
        <v>11</v>
      </c>
      <c r="M31" s="238">
        <f ca="1">ROUND(G31*G$34+I31*I$34+J31*J$34-K31*K$34-L31*L$34,8)</f>
        <v>30103.998899999999</v>
      </c>
      <c r="N31" s="239">
        <f ca="1">RANK(M31,M$30:M$33,0)</f>
        <v>2</v>
      </c>
    </row>
    <row r="32" spans="1:25" x14ac:dyDescent="0.25">
      <c r="A32" s="234">
        <f ca="1">N32</f>
        <v>4</v>
      </c>
      <c r="B32" s="235" t="str">
        <f>D2</f>
        <v>Ghana</v>
      </c>
      <c r="C32" s="236">
        <v>3</v>
      </c>
      <c r="D32" s="236">
        <f ca="1">COUNTIF(FWinners,B32)</f>
        <v>0</v>
      </c>
      <c r="E32" s="236">
        <f ca="1">COUNTIF(FDraws,"D"&amp;B32)</f>
        <v>0</v>
      </c>
      <c r="F32" s="236">
        <f ca="1">COUNTIF(FLosers,B32)</f>
        <v>3</v>
      </c>
      <c r="G32" s="236">
        <f ca="1">F38+G39+G41</f>
        <v>1</v>
      </c>
      <c r="H32" s="236">
        <f ca="1">G38+F39+F41</f>
        <v>4</v>
      </c>
      <c r="I32" s="236">
        <f t="shared" ca="1" si="30"/>
        <v>-3</v>
      </c>
      <c r="J32" s="237">
        <f ca="1">Z12</f>
        <v>1</v>
      </c>
      <c r="K32" s="236">
        <f>VLOOKUP($B32,Lookup10,11,FALSE)</f>
        <v>0</v>
      </c>
      <c r="L32" s="236">
        <f>VLOOKUP($B32,Lookup11,2,FALSE)</f>
        <v>45</v>
      </c>
      <c r="M32" s="238">
        <f ca="1">ROUND(G32*G$34+I32*I$34+J32*J$34-K32*K$34-L32*L$34,8)</f>
        <v>9700.9955000000009</v>
      </c>
      <c r="N32" s="239">
        <f ca="1">RANK(M32,M$30:M$33,0)</f>
        <v>4</v>
      </c>
    </row>
    <row r="33" spans="1:16" x14ac:dyDescent="0.25">
      <c r="A33" s="234">
        <f ca="1">N33</f>
        <v>3</v>
      </c>
      <c r="B33" s="235" t="str">
        <f>E2</f>
        <v>Panama</v>
      </c>
      <c r="C33" s="236">
        <v>3</v>
      </c>
      <c r="D33" s="236">
        <f ca="1">COUNTIF(FWinners,B33)</f>
        <v>1</v>
      </c>
      <c r="E33" s="236">
        <f ca="1">COUNTIF(FDraws,"D"&amp;B33)</f>
        <v>0</v>
      </c>
      <c r="F33" s="236">
        <f ca="1">COUNTIF(FLosers,B33)</f>
        <v>2</v>
      </c>
      <c r="G33" s="236">
        <f ca="1">G38+F40+F42</f>
        <v>3</v>
      </c>
      <c r="H33" s="236">
        <f ca="1">F38+G40+G42</f>
        <v>6</v>
      </c>
      <c r="I33" s="236">
        <f t="shared" ca="1" si="30"/>
        <v>-3</v>
      </c>
      <c r="J33" s="237">
        <f ca="1">Z13</f>
        <v>2</v>
      </c>
      <c r="K33" s="236">
        <f>VLOOKUP($B33,Lookup10,11,FALSE)</f>
        <v>0</v>
      </c>
      <c r="L33" s="236">
        <f>VLOOKUP($B33,Lookup11,2,FALSE)</f>
        <v>30</v>
      </c>
      <c r="M33" s="238">
        <f ca="1">ROUND(G33*G$34+I33*I$34+J33*J$34-K33*K$34-L33*L$34,8)</f>
        <v>19702.996999999999</v>
      </c>
      <c r="N33" s="239">
        <f ca="1">RANK(M33,M$30:M$33,0)</f>
        <v>3</v>
      </c>
    </row>
    <row r="34" spans="1:16" x14ac:dyDescent="0.25">
      <c r="A34" s="240"/>
      <c r="B34" s="241" t="s">
        <v>636</v>
      </c>
      <c r="C34" s="242">
        <f>SUM(C30:C33)</f>
        <v>12</v>
      </c>
      <c r="D34" s="242"/>
      <c r="E34" s="242"/>
      <c r="F34" s="242"/>
      <c r="G34" s="205">
        <v>1</v>
      </c>
      <c r="H34" s="205"/>
      <c r="I34" s="205">
        <v>100</v>
      </c>
      <c r="J34" s="205">
        <v>10000</v>
      </c>
      <c r="K34" s="205">
        <v>0.01</v>
      </c>
      <c r="L34" s="205">
        <v>1E-4</v>
      </c>
      <c r="M34" s="242"/>
      <c r="N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EnglandCroatia</v>
      </c>
      <c r="B37" s="158" t="str">
        <f>B1&amp;C1</f>
        <v>L1L2</v>
      </c>
      <c r="C37" s="158">
        <v>1</v>
      </c>
      <c r="D37" s="150" t="str">
        <f>B2</f>
        <v>England</v>
      </c>
      <c r="E37" s="150" t="str">
        <f>C2</f>
        <v>Croatia</v>
      </c>
      <c r="F37" s="158">
        <f t="shared" ref="F37:F42" ca="1" si="31">VLOOKUP($B37,Lookup18,6,FALSE)</f>
        <v>3</v>
      </c>
      <c r="G37" s="158">
        <f t="shared" ref="G37:G42" ca="1" si="32">VLOOKUP($B37,Lookup18,8,FALSE)</f>
        <v>0</v>
      </c>
      <c r="H37" s="158">
        <f t="shared" ref="H37:H42" ca="1" si="33">IF(C37=0,0,IF(F37&lt;G37,Lpts,IF(F37&gt;G37,Wpts,Dpts)))</f>
        <v>3</v>
      </c>
      <c r="I37" s="158">
        <f t="shared" ref="I37:I42" ca="1" si="34">IF(C37=0,0,IF(G37&lt;F37,Lpts,IF(G37&gt;F37,Wpts,Dpts)))</f>
        <v>0</v>
      </c>
      <c r="J37" s="158">
        <f t="shared" ref="J37:K42" si="35">IF(VLOOKUP($B37,Lookup12,4,FALSE)="",0,VLOOKUP($B37,Lookup12,4,FALSE))</f>
        <v>0</v>
      </c>
      <c r="K37" s="158">
        <f t="shared" si="35"/>
        <v>0</v>
      </c>
      <c r="L37" s="143"/>
      <c r="M37" s="143"/>
      <c r="N37" s="143"/>
      <c r="O37" s="143"/>
      <c r="P37" s="143"/>
    </row>
    <row r="38" spans="1:16" x14ac:dyDescent="0.25">
      <c r="A38" s="149" t="str">
        <f>D2&amp;E2</f>
        <v>GhanaPanama</v>
      </c>
      <c r="B38" s="158" t="str">
        <f>D1&amp;E1</f>
        <v>L3L4</v>
      </c>
      <c r="C38" s="158">
        <v>1</v>
      </c>
      <c r="D38" s="150" t="str">
        <f>D2</f>
        <v>Ghana</v>
      </c>
      <c r="E38" s="150" t="str">
        <f>E2</f>
        <v>Panama</v>
      </c>
      <c r="F38" s="158">
        <f t="shared" ca="1" si="31"/>
        <v>0</v>
      </c>
      <c r="G38" s="158">
        <f t="shared" ca="1" si="32"/>
        <v>1</v>
      </c>
      <c r="H38" s="158">
        <f t="shared" ca="1" si="33"/>
        <v>0</v>
      </c>
      <c r="I38" s="158">
        <f t="shared" ca="1" si="34"/>
        <v>3</v>
      </c>
      <c r="J38" s="158">
        <f t="shared" si="35"/>
        <v>0</v>
      </c>
      <c r="K38" s="158">
        <f t="shared" si="35"/>
        <v>0</v>
      </c>
      <c r="L38" s="143"/>
      <c r="M38" s="143"/>
      <c r="N38" s="143"/>
      <c r="O38" s="143"/>
      <c r="P38" s="143"/>
    </row>
    <row r="39" spans="1:16" x14ac:dyDescent="0.25">
      <c r="A39" s="149" t="str">
        <f>B2&amp;D2</f>
        <v>EnglandGhana</v>
      </c>
      <c r="B39" s="158" t="str">
        <f>B1&amp;D1</f>
        <v>L1L3</v>
      </c>
      <c r="C39" s="158">
        <v>1</v>
      </c>
      <c r="D39" s="150" t="str">
        <f>B2</f>
        <v>England</v>
      </c>
      <c r="E39" s="150" t="str">
        <f>D2</f>
        <v>Ghana</v>
      </c>
      <c r="F39" s="158">
        <f t="shared" ca="1" si="31"/>
        <v>2</v>
      </c>
      <c r="G39" s="158">
        <f t="shared" ca="1" si="32"/>
        <v>1</v>
      </c>
      <c r="H39" s="158">
        <f t="shared" ca="1" si="33"/>
        <v>3</v>
      </c>
      <c r="I39" s="158">
        <f t="shared" ca="1" si="34"/>
        <v>0</v>
      </c>
      <c r="J39" s="158">
        <f t="shared" si="35"/>
        <v>0</v>
      </c>
      <c r="K39" s="158">
        <f t="shared" si="35"/>
        <v>0</v>
      </c>
      <c r="L39" s="143"/>
      <c r="M39" s="143"/>
      <c r="N39" s="143"/>
      <c r="O39" s="143"/>
      <c r="P39" s="143"/>
    </row>
    <row r="40" spans="1:16" x14ac:dyDescent="0.25">
      <c r="A40" s="149" t="str">
        <f>E2&amp;C2</f>
        <v>PanamaCroatia</v>
      </c>
      <c r="B40" s="158" t="str">
        <f>E1&amp;C1</f>
        <v>L4L2</v>
      </c>
      <c r="C40" s="158">
        <v>1</v>
      </c>
      <c r="D40" s="150" t="str">
        <f>E2</f>
        <v>Panama</v>
      </c>
      <c r="E40" s="150" t="str">
        <f>C2</f>
        <v>Croatia</v>
      </c>
      <c r="F40" s="158">
        <f t="shared" ca="1" si="31"/>
        <v>0</v>
      </c>
      <c r="G40" s="158">
        <f t="shared" ca="1" si="32"/>
        <v>3</v>
      </c>
      <c r="H40" s="158">
        <f t="shared" ca="1" si="33"/>
        <v>0</v>
      </c>
      <c r="I40" s="158">
        <f t="shared" ca="1" si="34"/>
        <v>3</v>
      </c>
      <c r="J40" s="158">
        <f t="shared" si="35"/>
        <v>0</v>
      </c>
      <c r="K40" s="158">
        <f t="shared" si="35"/>
        <v>0</v>
      </c>
      <c r="L40" s="143"/>
      <c r="M40" s="143"/>
      <c r="N40" s="143"/>
      <c r="O40" s="143"/>
      <c r="P40" s="143"/>
    </row>
    <row r="41" spans="1:16" x14ac:dyDescent="0.25">
      <c r="A41" s="149" t="str">
        <f>C2&amp;D2</f>
        <v>CroatiaGhana</v>
      </c>
      <c r="B41" s="158" t="str">
        <f>C1&amp;D1</f>
        <v>L2L3</v>
      </c>
      <c r="C41" s="158">
        <v>1</v>
      </c>
      <c r="D41" s="150" t="str">
        <f>C2</f>
        <v>Croatia</v>
      </c>
      <c r="E41" s="150" t="str">
        <f>D2</f>
        <v>Ghana</v>
      </c>
      <c r="F41" s="158">
        <f t="shared" ca="1" si="31"/>
        <v>1</v>
      </c>
      <c r="G41" s="158">
        <f t="shared" ca="1" si="32"/>
        <v>0</v>
      </c>
      <c r="H41" s="158">
        <f t="shared" ca="1" si="33"/>
        <v>3</v>
      </c>
      <c r="I41" s="158">
        <f t="shared" ca="1" si="34"/>
        <v>0</v>
      </c>
      <c r="J41" s="158">
        <f t="shared" si="35"/>
        <v>0</v>
      </c>
      <c r="K41" s="158">
        <f t="shared" si="35"/>
        <v>0</v>
      </c>
      <c r="L41" s="143"/>
      <c r="M41" s="143"/>
      <c r="N41" s="143"/>
      <c r="O41" s="143"/>
      <c r="P41" s="143"/>
    </row>
    <row r="42" spans="1:16" x14ac:dyDescent="0.25">
      <c r="A42" s="151" t="str">
        <f>E2&amp;B2</f>
        <v>PanamaEngland</v>
      </c>
      <c r="B42" s="159" t="str">
        <f>E1&amp;B1</f>
        <v>L4L1</v>
      </c>
      <c r="C42" s="159">
        <v>1</v>
      </c>
      <c r="D42" s="152" t="str">
        <f>E2</f>
        <v>Panama</v>
      </c>
      <c r="E42" s="152" t="str">
        <f>B2</f>
        <v>England</v>
      </c>
      <c r="F42" s="159">
        <f t="shared" ca="1" si="31"/>
        <v>2</v>
      </c>
      <c r="G42" s="159">
        <f t="shared" ca="1" si="32"/>
        <v>3</v>
      </c>
      <c r="H42" s="159">
        <f t="shared" ca="1" si="33"/>
        <v>0</v>
      </c>
      <c r="I42" s="159">
        <f t="shared" ca="1" si="34"/>
        <v>3</v>
      </c>
      <c r="J42" s="159">
        <f t="shared" si="35"/>
        <v>0</v>
      </c>
      <c r="K42" s="159">
        <f t="shared" si="35"/>
        <v>0</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 ca="1">$B45</f>
        <v>England</v>
      </c>
      <c r="M44" s="154" t="str">
        <f ca="1">$B46</f>
        <v>Croatia</v>
      </c>
      <c r="N44" s="154" t="str">
        <f ca="1">$B47</f>
        <v>Panama</v>
      </c>
      <c r="O44" s="154" t="str">
        <f ca="1">$B48</f>
        <v>Ghana</v>
      </c>
      <c r="P44" s="155"/>
    </row>
    <row r="45" spans="1:16" x14ac:dyDescent="0.25">
      <c r="A45" s="156">
        <v>1</v>
      </c>
      <c r="B45" s="156" t="str">
        <f ca="1">VLOOKUP($A45,Ranking,2,FALSE)</f>
        <v>England</v>
      </c>
      <c r="C45" s="157">
        <v>3</v>
      </c>
      <c r="D45" s="157">
        <f ca="1">VLOOKUP($A45,Ranking,4,FALSE)</f>
        <v>3</v>
      </c>
      <c r="E45" s="157">
        <f ca="1">VLOOKUP($A45,Ranking,5,FALSE)</f>
        <v>0</v>
      </c>
      <c r="F45" s="157">
        <f ca="1">VLOOKUP($A45,Ranking,6,FALSE)</f>
        <v>0</v>
      </c>
      <c r="G45" s="157">
        <f ca="1">VLOOKUP($A45,Ranking,7,FALSE)</f>
        <v>8</v>
      </c>
      <c r="H45" s="157">
        <f ca="1">VLOOKUP($A45,Ranking,8,FALSE)</f>
        <v>3</v>
      </c>
      <c r="I45" s="157">
        <f ca="1">G45-H45</f>
        <v>5</v>
      </c>
      <c r="J45" s="157">
        <f ca="1">D45*Wpts+E45*Dpts+FGrpL!F45*Lpts</f>
        <v>9</v>
      </c>
      <c r="K45" s="201" t="str">
        <f ca="1">B45</f>
        <v>England</v>
      </c>
      <c r="L45" s="203"/>
      <c r="M45" s="202" t="str">
        <f ca="1">IFERROR(VLOOKUP($B45&amp;M$44,A37:G42,6,FALSE)&amp;"-"&amp;VLOOKUP($B45&amp;M$44,A37:G42,7,FALSE),VLOOKUP(M$44&amp;$B45,A37:G42,7,FALSE)&amp;"-"&amp;VLOOKUP(M$44&amp;$B45,A37:G42,6,FALSE))</f>
        <v>3-0</v>
      </c>
      <c r="N45" s="202" t="str">
        <f ca="1">IFERROR(VLOOKUP($B45&amp;N$44,A37:G42,6,FALSE)&amp;"-"&amp;VLOOKUP($B45&amp;N$44,A37:G42,7,FALSE),VLOOKUP(N$44&amp;$B45,A37:G42,7,FALSE)&amp;"-"&amp;VLOOKUP(N$44&amp;$B45,A37:G42,6,FALSE))</f>
        <v>3-2</v>
      </c>
      <c r="O45" s="202" t="str">
        <f ca="1">IFERROR(VLOOKUP($B45&amp;O$44,A37:G42,6,FALSE)&amp;"-"&amp;VLOOKUP($B45&amp;O$44,A37:G42,7,FALSE),VLOOKUP(O$44&amp;$B45,A37:G42,7,FALSE)&amp;"-"&amp;VLOOKUP(O$44&amp;$B45,A37:G42,6,FALSE))</f>
        <v>2-1</v>
      </c>
      <c r="P45" s="155"/>
    </row>
    <row r="46" spans="1:16" x14ac:dyDescent="0.25">
      <c r="A46" s="156">
        <v>2</v>
      </c>
      <c r="B46" s="156" t="str">
        <f ca="1">VLOOKUP($A46,Ranking,2,FALSE)</f>
        <v>Croatia</v>
      </c>
      <c r="C46" s="157">
        <v>3</v>
      </c>
      <c r="D46" s="157">
        <f ca="1">VLOOKUP($A46,Ranking,4,FALSE)</f>
        <v>2</v>
      </c>
      <c r="E46" s="157">
        <f ca="1">VLOOKUP($A46,Ranking,5,FALSE)</f>
        <v>0</v>
      </c>
      <c r="F46" s="157">
        <f ca="1">VLOOKUP($A46,Ranking,6,FALSE)</f>
        <v>1</v>
      </c>
      <c r="G46" s="157">
        <f ca="1">VLOOKUP($A46,Ranking,7,FALSE)</f>
        <v>4</v>
      </c>
      <c r="H46" s="157">
        <f ca="1">VLOOKUP($A46,Ranking,8,FALSE)</f>
        <v>3</v>
      </c>
      <c r="I46" s="157">
        <f t="shared" ref="I46:I48" ca="1" si="36">G46-H46</f>
        <v>1</v>
      </c>
      <c r="J46" s="157">
        <f ca="1">D46*Wpts+E46*Dpts+FGrpL!F46*Lpts</f>
        <v>6</v>
      </c>
      <c r="K46" s="201" t="str">
        <f ca="1">B46</f>
        <v>Croatia</v>
      </c>
      <c r="L46" s="202" t="str">
        <f ca="1">IFERROR(VLOOKUP($B46&amp;L$44,A37:G42,6,FALSE)&amp;"-"&amp;VLOOKUP($B46&amp;L$44,A37:G42,7,FALSE),VLOOKUP(L$44&amp;$B46,A37:G42,7,FALSE)&amp;"-"&amp;VLOOKUP(L$44&amp;$B46,A37:G42,6,FALSE))</f>
        <v>0-3</v>
      </c>
      <c r="M46" s="203"/>
      <c r="N46" s="202" t="str">
        <f ca="1">IFERROR(VLOOKUP($B46&amp;N$44,A37:G42,6,FALSE)&amp;"-"&amp;VLOOKUP($B46&amp;N$44,A37:G42,7,FALSE),VLOOKUP(N$44&amp;$B46,A37:G42,7,FALSE)&amp;"-"&amp;VLOOKUP(N$44&amp;$B46,A37:G42,6,FALSE))</f>
        <v>3-0</v>
      </c>
      <c r="O46" s="202" t="str">
        <f ca="1">IFERROR(VLOOKUP($B46&amp;O$44,A37:G42,6,FALSE)&amp;"-"&amp;VLOOKUP($B46&amp;O$44,A37:G42,7,FALSE),VLOOKUP(O$44&amp;$B46,A37:G42,7,FALSE)&amp;"-"&amp;VLOOKUP(O$44&amp;$B46,A37:G42,6,FALSE))</f>
        <v>1-0</v>
      </c>
      <c r="P46" s="155"/>
    </row>
    <row r="47" spans="1:16" x14ac:dyDescent="0.25">
      <c r="A47" s="156">
        <v>3</v>
      </c>
      <c r="B47" s="156" t="str">
        <f ca="1">VLOOKUP($A47,Ranking,2,FALSE)</f>
        <v>Panama</v>
      </c>
      <c r="C47" s="157">
        <v>3</v>
      </c>
      <c r="D47" s="157">
        <f ca="1">VLOOKUP($A47,Ranking,4,FALSE)</f>
        <v>1</v>
      </c>
      <c r="E47" s="157">
        <f ca="1">VLOOKUP($A47,Ranking,5,FALSE)</f>
        <v>0</v>
      </c>
      <c r="F47" s="157">
        <f ca="1">VLOOKUP($A47,Ranking,6,FALSE)</f>
        <v>2</v>
      </c>
      <c r="G47" s="157">
        <f ca="1">VLOOKUP($A47,Ranking,7,FALSE)</f>
        <v>3</v>
      </c>
      <c r="H47" s="157">
        <f ca="1">VLOOKUP($A47,Ranking,8,FALSE)</f>
        <v>6</v>
      </c>
      <c r="I47" s="157">
        <f t="shared" ca="1" si="36"/>
        <v>-3</v>
      </c>
      <c r="J47" s="157">
        <f ca="1">D47*Wpts+E47*Dpts+FGrpL!F47*Lpts</f>
        <v>3</v>
      </c>
      <c r="K47" s="201" t="str">
        <f ca="1">B47</f>
        <v>Panama</v>
      </c>
      <c r="L47" s="202" t="str">
        <f ca="1">IFERROR(VLOOKUP($B47&amp;L$44,A37:G42,6,FALSE)&amp;"-"&amp;VLOOKUP($B47&amp;L$44,A37:G42,7,FALSE),VLOOKUP(L$44&amp;$B47,A37:G42,7,FALSE)&amp;"-"&amp;VLOOKUP(L$44&amp;$B47,A37:G42,6,FALSE))</f>
        <v>2-3</v>
      </c>
      <c r="M47" s="202" t="str">
        <f ca="1">IFERROR(VLOOKUP($B47&amp;M$44,A37:G42,6,FALSE)&amp;"-"&amp;VLOOKUP($B47&amp;M$44,A37:G42,7,FALSE),VLOOKUP(M$44&amp;$B47,A37:G42,7,FALSE)&amp;"-"&amp;VLOOKUP(M$44&amp;$B47,A37:G42,6,FALSE))</f>
        <v>0-3</v>
      </c>
      <c r="N47" s="203"/>
      <c r="O47" s="202" t="str">
        <f ca="1">IFERROR(VLOOKUP($B47&amp;O$44,A37:G42,6,FALSE)&amp;"-"&amp;VLOOKUP($B47&amp;O$44,A37:G42,7,FALSE),VLOOKUP(O$44&amp;$B47,A37:G42,7,FALSE)&amp;"-"&amp;VLOOKUP(O$44&amp;$B47,A37:G42,6,FALSE))</f>
        <v>1-0</v>
      </c>
      <c r="P47" s="155"/>
    </row>
    <row r="48" spans="1:16" x14ac:dyDescent="0.25">
      <c r="A48" s="156">
        <v>4</v>
      </c>
      <c r="B48" s="156" t="str">
        <f ca="1">VLOOKUP($A48,Ranking,2,FALSE)</f>
        <v>Ghana</v>
      </c>
      <c r="C48" s="157">
        <v>3</v>
      </c>
      <c r="D48" s="157">
        <f ca="1">VLOOKUP($A48,Ranking,4,FALSE)</f>
        <v>0</v>
      </c>
      <c r="E48" s="157">
        <f ca="1">VLOOKUP($A48,Ranking,5,FALSE)</f>
        <v>0</v>
      </c>
      <c r="F48" s="157">
        <f ca="1">VLOOKUP($A48,Ranking,6,FALSE)</f>
        <v>3</v>
      </c>
      <c r="G48" s="157">
        <f ca="1">VLOOKUP($A48,Ranking,7,FALSE)</f>
        <v>1</v>
      </c>
      <c r="H48" s="157">
        <f ca="1">VLOOKUP($A48,Ranking,8,FALSE)</f>
        <v>4</v>
      </c>
      <c r="I48" s="157">
        <f t="shared" ca="1" si="36"/>
        <v>-3</v>
      </c>
      <c r="J48" s="157">
        <f ca="1">D48*Wpts+E48*Dpts+FGrpL!F48*Lpts</f>
        <v>0</v>
      </c>
      <c r="K48" s="201" t="str">
        <f ca="1">B48</f>
        <v>Ghana</v>
      </c>
      <c r="L48" s="202" t="str">
        <f ca="1">IFERROR(VLOOKUP($B48&amp;L$44,A37:G42,6,FALSE)&amp;"-"&amp;VLOOKUP($B48&amp;L$44,A37:G42,7,FALSE),VLOOKUP(L$44&amp;$B48,A37:G42,7,FALSE)&amp;"-"&amp;VLOOKUP(L$44&amp;$B48,A37:G42,6,FALSE))</f>
        <v>1-2</v>
      </c>
      <c r="M48" s="202" t="str">
        <f ca="1">IFERROR(VLOOKUP($B48&amp;M$44,A37:G42,6,FALSE)&amp;"-"&amp;VLOOKUP($B48&amp;M$44,A37:G42,7,FALSE),VLOOKUP(M$44&amp;$B48,A37:G42,7,FALSE)&amp;"-"&amp;VLOOKUP(M$44&amp;$B48,A37:G42,6,FALSE))</f>
        <v>0-1</v>
      </c>
      <c r="N48" s="202" t="str">
        <f ca="1">IFERROR(VLOOKUP($B48&amp;N$44,A37:G42,6,FALSE)&amp;"-"&amp;VLOOKUP($B48&amp;N$44,A37:G42,7,FALSE),VLOOKUP(N$44&amp;$B48,A37:G42,7,FALSE)&amp;"-"&amp;VLOOKUP(N$44&amp;$B48,A37:G42,6,FALSE))</f>
        <v>0-1</v>
      </c>
      <c r="O48" s="203"/>
      <c r="P48" s="155"/>
    </row>
    <row r="49" spans="1:16" x14ac:dyDescent="0.25">
      <c r="A49" s="143"/>
      <c r="B49" s="143"/>
      <c r="C49" s="461">
        <f>SUM(C45:C48)</f>
        <v>12</v>
      </c>
      <c r="D49" s="143"/>
      <c r="E49" s="143"/>
      <c r="F49" s="143"/>
      <c r="G49" s="143"/>
      <c r="H49" s="143"/>
      <c r="I49" s="143"/>
      <c r="J49" s="143"/>
      <c r="K49" s="143"/>
      <c r="L49" s="143"/>
      <c r="M49" s="143"/>
      <c r="N49" s="143"/>
      <c r="O49" s="143"/>
      <c r="P49" s="143"/>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62E8B4-DC2A-4C69-AF21-B3B0FC3C7427}">
  <sheetPr>
    <tabColor rgb="FF7030A0"/>
  </sheetPr>
  <dimension ref="A1:O26"/>
  <sheetViews>
    <sheetView workbookViewId="0">
      <selection activeCell="C49" sqref="C49"/>
    </sheetView>
  </sheetViews>
  <sheetFormatPr defaultColWidth="16.7109375" defaultRowHeight="15" x14ac:dyDescent="0.25"/>
  <sheetData>
    <row r="1" spans="1:15" x14ac:dyDescent="0.25">
      <c r="A1" s="228" t="s">
        <v>677</v>
      </c>
    </row>
    <row r="2" spans="1:15" x14ac:dyDescent="0.25">
      <c r="A2" s="230" t="s">
        <v>270</v>
      </c>
      <c r="B2" s="232" t="s">
        <v>320</v>
      </c>
      <c r="C2" s="231" t="s">
        <v>310</v>
      </c>
      <c r="D2" s="232" t="s">
        <v>304</v>
      </c>
      <c r="E2" s="232" t="s">
        <v>669</v>
      </c>
      <c r="F2" s="232" t="s">
        <v>670</v>
      </c>
      <c r="G2" s="232" t="s">
        <v>671</v>
      </c>
      <c r="H2" s="232" t="s">
        <v>631</v>
      </c>
      <c r="I2" s="232" t="s">
        <v>632</v>
      </c>
      <c r="J2" s="232" t="s">
        <v>633</v>
      </c>
      <c r="K2" s="232" t="s">
        <v>309</v>
      </c>
      <c r="L2" s="232" t="s">
        <v>411</v>
      </c>
      <c r="M2" s="232" t="s">
        <v>678</v>
      </c>
      <c r="N2" s="232" t="s">
        <v>634</v>
      </c>
      <c r="O2" s="233" t="s">
        <v>635</v>
      </c>
    </row>
    <row r="3" spans="1:15" x14ac:dyDescent="0.25">
      <c r="A3" s="234">
        <f ca="1">O3</f>
        <v>5</v>
      </c>
      <c r="B3" s="237" t="s">
        <v>16</v>
      </c>
      <c r="C3" s="235" t="str">
        <f ca="1">FGrpA!B$47</f>
        <v>South Africa</v>
      </c>
      <c r="D3" s="236">
        <f>FGrpA!C$47</f>
        <v>3</v>
      </c>
      <c r="E3" s="236">
        <f ca="1">FGrpA!D$47</f>
        <v>1</v>
      </c>
      <c r="F3" s="236">
        <f ca="1">FGrpA!E$47</f>
        <v>0</v>
      </c>
      <c r="G3" s="236">
        <f ca="1">FGrpA!F$47</f>
        <v>2</v>
      </c>
      <c r="H3" s="236">
        <f ca="1">FGrpA!G$47</f>
        <v>3</v>
      </c>
      <c r="I3" s="236">
        <f ca="1">FGrpA!H$47</f>
        <v>5</v>
      </c>
      <c r="J3" s="236">
        <f ca="1">FGrpA!I$47</f>
        <v>-2</v>
      </c>
      <c r="K3" s="236">
        <f ca="1">FGrpA!J$47</f>
        <v>3</v>
      </c>
      <c r="L3" s="236">
        <f t="shared" ref="L3:L14" ca="1" si="0">VLOOKUP($C3,Lookup11,3,FALSE)</f>
        <v>10</v>
      </c>
      <c r="M3" s="236">
        <f t="shared" ref="M3:M14" ca="1" si="1">VLOOKUP($C3,Lookup11,2,FALSE)</f>
        <v>40</v>
      </c>
      <c r="N3" s="244">
        <f ca="1">K3*K$15+J3*J$15+H3*H$15-L3*L$15-M3*M$15</f>
        <v>29802.896000000001</v>
      </c>
      <c r="O3" s="239">
        <f ca="1">RANK(N3,N$3:N$14,0)</f>
        <v>5</v>
      </c>
    </row>
    <row r="4" spans="1:15" x14ac:dyDescent="0.25">
      <c r="A4" s="234">
        <f t="shared" ref="A4:A14" ca="1" si="2">O4</f>
        <v>11</v>
      </c>
      <c r="B4" s="237" t="s">
        <v>326</v>
      </c>
      <c r="C4" s="235" t="str">
        <f ca="1">FGrpB!B$47</f>
        <v>Qatar</v>
      </c>
      <c r="D4" s="236">
        <f>FGrpB!C$47</f>
        <v>3</v>
      </c>
      <c r="E4" s="236">
        <f ca="1">FGrpB!D$47</f>
        <v>0</v>
      </c>
      <c r="F4" s="236">
        <f ca="1">FGrpB!E$47</f>
        <v>2</v>
      </c>
      <c r="G4" s="236">
        <f ca="1">FGrpB!F$47</f>
        <v>1</v>
      </c>
      <c r="H4" s="236">
        <f ca="1">FGrpB!G$47</f>
        <v>2</v>
      </c>
      <c r="I4" s="236">
        <f ca="1">FGrpB!H$47</f>
        <v>3</v>
      </c>
      <c r="J4" s="236">
        <f ca="1">FGrpB!I$47</f>
        <v>-1</v>
      </c>
      <c r="K4" s="236">
        <f ca="1">FGrpB!J$47</f>
        <v>2</v>
      </c>
      <c r="L4" s="236">
        <f t="shared" ca="1" si="0"/>
        <v>2</v>
      </c>
      <c r="M4" s="236">
        <f t="shared" ca="1" si="1"/>
        <v>38</v>
      </c>
      <c r="N4" s="244">
        <f t="shared" ref="N4:N14" ca="1" si="3">K4*K$15+J4*J$15+H4*H$15-L4*L$15-M4*M$15</f>
        <v>19901.976200000001</v>
      </c>
      <c r="O4" s="239">
        <f t="shared" ref="O4:O14" ca="1" si="4">RANK(N4,N$3:N$14,0)</f>
        <v>11</v>
      </c>
    </row>
    <row r="5" spans="1:15" x14ac:dyDescent="0.25">
      <c r="A5" s="234">
        <f t="shared" ca="1" si="2"/>
        <v>3</v>
      </c>
      <c r="B5" s="237" t="s">
        <v>328</v>
      </c>
      <c r="C5" s="235" t="str">
        <f ca="1">FGrpC!B$47</f>
        <v>Scotland</v>
      </c>
      <c r="D5" s="236">
        <f>FGrpC!C$47</f>
        <v>3</v>
      </c>
      <c r="E5" s="236">
        <f ca="1">FGrpC!D$47</f>
        <v>1</v>
      </c>
      <c r="F5" s="236">
        <f ca="1">FGrpC!E$47</f>
        <v>0</v>
      </c>
      <c r="G5" s="236">
        <f ca="1">FGrpC!F$47</f>
        <v>2</v>
      </c>
      <c r="H5" s="236">
        <f ca="1">FGrpC!G$47</f>
        <v>2</v>
      </c>
      <c r="I5" s="236">
        <f ca="1">FGrpC!H$47</f>
        <v>3</v>
      </c>
      <c r="J5" s="236">
        <f ca="1">FGrpC!I$47</f>
        <v>-1</v>
      </c>
      <c r="K5" s="236">
        <f ca="1">FGrpC!J$47</f>
        <v>3</v>
      </c>
      <c r="L5" s="236">
        <f t="shared" ca="1" si="0"/>
        <v>3</v>
      </c>
      <c r="M5" s="236">
        <f t="shared" ca="1" si="1"/>
        <v>34</v>
      </c>
      <c r="N5" s="244">
        <f t="shared" ca="1" si="3"/>
        <v>29901.9666</v>
      </c>
      <c r="O5" s="239">
        <f t="shared" ca="1" si="4"/>
        <v>3</v>
      </c>
    </row>
    <row r="6" spans="1:15" x14ac:dyDescent="0.25">
      <c r="A6" s="234">
        <f t="shared" ca="1" si="2"/>
        <v>6</v>
      </c>
      <c r="B6" s="237" t="s">
        <v>15</v>
      </c>
      <c r="C6" s="235" t="str">
        <f ca="1">FGrpD!B$47</f>
        <v>Paraguay</v>
      </c>
      <c r="D6" s="236">
        <f>FGrpD!C$47</f>
        <v>3</v>
      </c>
      <c r="E6" s="236">
        <f ca="1">FGrpD!D$47</f>
        <v>1</v>
      </c>
      <c r="F6" s="236">
        <f ca="1">FGrpD!E$47</f>
        <v>0</v>
      </c>
      <c r="G6" s="236">
        <f ca="1">FGrpD!F$47</f>
        <v>2</v>
      </c>
      <c r="H6" s="236">
        <f ca="1">FGrpD!G$47</f>
        <v>4</v>
      </c>
      <c r="I6" s="236">
        <f ca="1">FGrpD!H$47</f>
        <v>7</v>
      </c>
      <c r="J6" s="236">
        <f ca="1">FGrpD!I$47</f>
        <v>-3</v>
      </c>
      <c r="K6" s="236">
        <f ca="1">FGrpD!J$47</f>
        <v>3</v>
      </c>
      <c r="L6" s="236">
        <f t="shared" ca="1" si="0"/>
        <v>5</v>
      </c>
      <c r="M6" s="236">
        <f t="shared" ca="1" si="1"/>
        <v>33</v>
      </c>
      <c r="N6" s="244">
        <f t="shared" ca="1" si="3"/>
        <v>29703.9467</v>
      </c>
      <c r="O6" s="239">
        <f t="shared" ca="1" si="4"/>
        <v>6</v>
      </c>
    </row>
    <row r="7" spans="1:15" x14ac:dyDescent="0.25">
      <c r="A7" s="234">
        <f t="shared" ca="1" si="2"/>
        <v>8</v>
      </c>
      <c r="B7" s="237" t="s">
        <v>329</v>
      </c>
      <c r="C7" s="235" t="str">
        <f ca="1">FGrpE!B$47</f>
        <v>Ecuador</v>
      </c>
      <c r="D7" s="236">
        <f>FGrpE!C$47</f>
        <v>3</v>
      </c>
      <c r="E7" s="236">
        <f ca="1">FGrpE!D$47</f>
        <v>1</v>
      </c>
      <c r="F7" s="236">
        <f ca="1">FGrpE!E$47</f>
        <v>0</v>
      </c>
      <c r="G7" s="236">
        <f ca="1">FGrpE!F$47</f>
        <v>2</v>
      </c>
      <c r="H7" s="236">
        <f ca="1">FGrpE!G$47</f>
        <v>1</v>
      </c>
      <c r="I7" s="236">
        <f ca="1">FGrpE!H$47</f>
        <v>4</v>
      </c>
      <c r="J7" s="236">
        <f ca="1">FGrpE!I$47</f>
        <v>-3</v>
      </c>
      <c r="K7" s="236">
        <f ca="1">FGrpE!J$47</f>
        <v>3</v>
      </c>
      <c r="L7" s="236">
        <f t="shared" ca="1" si="0"/>
        <v>1</v>
      </c>
      <c r="M7" s="236">
        <f t="shared" ca="1" si="1"/>
        <v>21</v>
      </c>
      <c r="N7" s="244">
        <f t="shared" ca="1" si="3"/>
        <v>29700.9879</v>
      </c>
      <c r="O7" s="239">
        <f t="shared" ca="1" si="4"/>
        <v>8</v>
      </c>
    </row>
    <row r="8" spans="1:15" x14ac:dyDescent="0.25">
      <c r="A8" s="234">
        <f t="shared" ca="1" si="2"/>
        <v>2</v>
      </c>
      <c r="B8" s="237" t="s">
        <v>307</v>
      </c>
      <c r="C8" s="235" t="str">
        <f ca="1">FGrpF!B$47</f>
        <v>Sweden</v>
      </c>
      <c r="D8" s="236">
        <f>FGrpF!C$47</f>
        <v>3</v>
      </c>
      <c r="E8" s="236">
        <f ca="1">FGrpF!D$47</f>
        <v>1</v>
      </c>
      <c r="F8" s="236">
        <f ca="1">FGrpF!E$47</f>
        <v>0</v>
      </c>
      <c r="G8" s="236">
        <f ca="1">FGrpF!F$47</f>
        <v>2</v>
      </c>
      <c r="H8" s="236">
        <f ca="1">FGrpF!G$47</f>
        <v>5</v>
      </c>
      <c r="I8" s="236">
        <f ca="1">FGrpF!H$47</f>
        <v>5</v>
      </c>
      <c r="J8" s="236">
        <f ca="1">FGrpF!I$47</f>
        <v>0</v>
      </c>
      <c r="K8" s="236">
        <f ca="1">FGrpF!J$47</f>
        <v>3</v>
      </c>
      <c r="L8" s="236">
        <f t="shared" ca="1" si="0"/>
        <v>0</v>
      </c>
      <c r="M8" s="236">
        <f t="shared" ca="1" si="1"/>
        <v>31</v>
      </c>
      <c r="N8" s="244">
        <f t="shared" ca="1" si="3"/>
        <v>30004.996899999998</v>
      </c>
      <c r="O8" s="239">
        <f t="shared" ca="1" si="4"/>
        <v>2</v>
      </c>
    </row>
    <row r="9" spans="1:15" x14ac:dyDescent="0.25">
      <c r="A9" s="234">
        <f t="shared" ca="1" si="2"/>
        <v>1</v>
      </c>
      <c r="B9" s="237" t="s">
        <v>330</v>
      </c>
      <c r="C9" s="235" t="str">
        <f ca="1">FGrpG!B$47</f>
        <v>Belgium</v>
      </c>
      <c r="D9" s="236">
        <f>FGrpG!C$47</f>
        <v>3</v>
      </c>
      <c r="E9" s="236">
        <f ca="1">FGrpG!D$47</f>
        <v>1</v>
      </c>
      <c r="F9" s="236">
        <f ca="1">FGrpG!E$47</f>
        <v>1</v>
      </c>
      <c r="G9" s="236">
        <f ca="1">FGrpG!F$47</f>
        <v>1</v>
      </c>
      <c r="H9" s="236">
        <f ca="1">FGrpG!G$47</f>
        <v>3</v>
      </c>
      <c r="I9" s="236">
        <f ca="1">FGrpG!H$47</f>
        <v>3</v>
      </c>
      <c r="J9" s="236">
        <f ca="1">FGrpG!I$47</f>
        <v>0</v>
      </c>
      <c r="K9" s="236">
        <f ca="1">FGrpG!J$47</f>
        <v>4</v>
      </c>
      <c r="L9" s="236">
        <f t="shared" ca="1" si="0"/>
        <v>2</v>
      </c>
      <c r="M9" s="236">
        <f t="shared" ca="1" si="1"/>
        <v>9</v>
      </c>
      <c r="N9" s="244">
        <f t="shared" ca="1" si="3"/>
        <v>40002.979100000004</v>
      </c>
      <c r="O9" s="239">
        <f t="shared" ca="1" si="4"/>
        <v>1</v>
      </c>
    </row>
    <row r="10" spans="1:15" x14ac:dyDescent="0.25">
      <c r="A10" s="234">
        <f t="shared" ca="1" si="2"/>
        <v>10</v>
      </c>
      <c r="B10" s="237" t="s">
        <v>14</v>
      </c>
      <c r="C10" s="235" t="str">
        <f ca="1">FGrpH!B$47</f>
        <v>Saudi Arabia</v>
      </c>
      <c r="D10" s="236">
        <f>FGrpH!C$47</f>
        <v>3</v>
      </c>
      <c r="E10" s="236">
        <f ca="1">FGrpH!D$47</f>
        <v>0</v>
      </c>
      <c r="F10" s="236">
        <f ca="1">FGrpH!E$47</f>
        <v>2</v>
      </c>
      <c r="G10" s="236">
        <f ca="1">FGrpH!F$47</f>
        <v>1</v>
      </c>
      <c r="H10" s="236">
        <f ca="1">FGrpH!G$47</f>
        <v>2</v>
      </c>
      <c r="I10" s="236">
        <f ca="1">FGrpH!H$47</f>
        <v>3</v>
      </c>
      <c r="J10" s="236">
        <f ca="1">FGrpH!I$47</f>
        <v>-1</v>
      </c>
      <c r="K10" s="236">
        <f ca="1">FGrpH!J$47</f>
        <v>2</v>
      </c>
      <c r="L10" s="236">
        <f t="shared" ca="1" si="0"/>
        <v>1</v>
      </c>
      <c r="M10" s="236">
        <f t="shared" ca="1" si="1"/>
        <v>41</v>
      </c>
      <c r="N10" s="244">
        <f t="shared" ca="1" si="3"/>
        <v>19901.985900000003</v>
      </c>
      <c r="O10" s="239">
        <f t="shared" ca="1" si="4"/>
        <v>10</v>
      </c>
    </row>
    <row r="11" spans="1:15" x14ac:dyDescent="0.25">
      <c r="A11" s="234">
        <f t="shared" ca="1" si="2"/>
        <v>12</v>
      </c>
      <c r="B11" s="237" t="s">
        <v>621</v>
      </c>
      <c r="C11" s="235" t="str">
        <f ca="1">FGrpI!B$47</f>
        <v>Iraq</v>
      </c>
      <c r="D11" s="236">
        <f>FGrpI!C$47</f>
        <v>3</v>
      </c>
      <c r="E11" s="236">
        <f ca="1">FGrpI!D$47</f>
        <v>0</v>
      </c>
      <c r="F11" s="236">
        <f ca="1">FGrpI!E$47</f>
        <v>1</v>
      </c>
      <c r="G11" s="236">
        <f ca="1">FGrpI!F$47</f>
        <v>2</v>
      </c>
      <c r="H11" s="236">
        <f ca="1">FGrpI!G$47</f>
        <v>1</v>
      </c>
      <c r="I11" s="236">
        <f ca="1">FGrpI!H$47</f>
        <v>5</v>
      </c>
      <c r="J11" s="236">
        <f ca="1">FGrpI!I$47</f>
        <v>-4</v>
      </c>
      <c r="K11" s="236">
        <f ca="1">FGrpI!J$47</f>
        <v>1</v>
      </c>
      <c r="L11" s="236">
        <f t="shared" ca="1" si="0"/>
        <v>0</v>
      </c>
      <c r="M11" s="236">
        <f t="shared" ca="1" si="1"/>
        <v>39</v>
      </c>
      <c r="N11" s="244">
        <f t="shared" ca="1" si="3"/>
        <v>9600.9961000000003</v>
      </c>
      <c r="O11" s="239">
        <f t="shared" ca="1" si="4"/>
        <v>12</v>
      </c>
    </row>
    <row r="12" spans="1:15" x14ac:dyDescent="0.25">
      <c r="A12" s="234">
        <f t="shared" ca="1" si="2"/>
        <v>9</v>
      </c>
      <c r="B12" s="237" t="s">
        <v>622</v>
      </c>
      <c r="C12" s="235" t="str">
        <f ca="1">FGrpJ!B$47</f>
        <v>Algeria</v>
      </c>
      <c r="D12" s="236">
        <f>FGrpJ!C$47</f>
        <v>3</v>
      </c>
      <c r="E12" s="236">
        <f ca="1">FGrpJ!D$47</f>
        <v>1</v>
      </c>
      <c r="F12" s="236">
        <f ca="1">FGrpJ!E$47</f>
        <v>0</v>
      </c>
      <c r="G12" s="236">
        <f ca="1">FGrpJ!F$47</f>
        <v>2</v>
      </c>
      <c r="H12" s="236">
        <f ca="1">FGrpJ!G$47</f>
        <v>4</v>
      </c>
      <c r="I12" s="236">
        <f ca="1">FGrpJ!H$47</f>
        <v>8</v>
      </c>
      <c r="J12" s="236">
        <f ca="1">FGrpJ!I$47</f>
        <v>-4</v>
      </c>
      <c r="K12" s="236">
        <f ca="1">FGrpJ!J$47</f>
        <v>3</v>
      </c>
      <c r="L12" s="236">
        <f t="shared" ca="1" si="0"/>
        <v>0</v>
      </c>
      <c r="M12" s="236">
        <f t="shared" ca="1" si="1"/>
        <v>25</v>
      </c>
      <c r="N12" s="244">
        <f t="shared" ca="1" si="3"/>
        <v>29603.997500000001</v>
      </c>
      <c r="O12" s="239">
        <f t="shared" ca="1" si="4"/>
        <v>9</v>
      </c>
    </row>
    <row r="13" spans="1:15" x14ac:dyDescent="0.25">
      <c r="A13" s="234">
        <f t="shared" ca="1" si="2"/>
        <v>4</v>
      </c>
      <c r="B13" s="237" t="s">
        <v>623</v>
      </c>
      <c r="C13" s="235" t="str">
        <f ca="1">FGrpK!B$47</f>
        <v>Congo DR</v>
      </c>
      <c r="D13" s="236">
        <f>FGrpK!C$47</f>
        <v>3</v>
      </c>
      <c r="E13" s="236">
        <f ca="1">FGrpK!D$47</f>
        <v>1</v>
      </c>
      <c r="F13" s="236">
        <f ca="1">FGrpK!E$47</f>
        <v>0</v>
      </c>
      <c r="G13" s="236">
        <f ca="1">FGrpK!F$47</f>
        <v>2</v>
      </c>
      <c r="H13" s="236">
        <f ca="1">FGrpK!G$47</f>
        <v>3</v>
      </c>
      <c r="I13" s="236">
        <f ca="1">FGrpK!H$47</f>
        <v>5</v>
      </c>
      <c r="J13" s="236">
        <f ca="1">FGrpK!I$47</f>
        <v>-2</v>
      </c>
      <c r="K13" s="236">
        <f ca="1">FGrpK!J$47</f>
        <v>3</v>
      </c>
      <c r="L13" s="236">
        <f t="shared" ca="1" si="0"/>
        <v>0</v>
      </c>
      <c r="M13" s="236">
        <f t="shared" ca="1" si="1"/>
        <v>36</v>
      </c>
      <c r="N13" s="244">
        <f t="shared" ca="1" si="3"/>
        <v>29802.9964</v>
      </c>
      <c r="O13" s="239">
        <f t="shared" ca="1" si="4"/>
        <v>4</v>
      </c>
    </row>
    <row r="14" spans="1:15" x14ac:dyDescent="0.25">
      <c r="A14" s="234">
        <f t="shared" ca="1" si="2"/>
        <v>7</v>
      </c>
      <c r="B14" s="237" t="s">
        <v>306</v>
      </c>
      <c r="C14" s="235" t="str">
        <f ca="1">FGrpL!B$47</f>
        <v>Panama</v>
      </c>
      <c r="D14" s="236">
        <f>FGrpL!C$47</f>
        <v>3</v>
      </c>
      <c r="E14" s="236">
        <f ca="1">FGrpL!D$47</f>
        <v>1</v>
      </c>
      <c r="F14" s="236">
        <f ca="1">FGrpL!E$47</f>
        <v>0</v>
      </c>
      <c r="G14" s="236">
        <f ca="1">FGrpL!F$47</f>
        <v>2</v>
      </c>
      <c r="H14" s="236">
        <f ca="1">FGrpL!G$47</f>
        <v>3</v>
      </c>
      <c r="I14" s="236">
        <f ca="1">FGrpL!H$47</f>
        <v>6</v>
      </c>
      <c r="J14" s="236">
        <f ca="1">FGrpL!I$47</f>
        <v>-3</v>
      </c>
      <c r="K14" s="236">
        <f ca="1">FGrpL!J$47</f>
        <v>3</v>
      </c>
      <c r="L14" s="236">
        <f t="shared" ca="1" si="0"/>
        <v>0</v>
      </c>
      <c r="M14" s="236">
        <f t="shared" ca="1" si="1"/>
        <v>30</v>
      </c>
      <c r="N14" s="244">
        <f t="shared" ca="1" si="3"/>
        <v>29702.996999999999</v>
      </c>
      <c r="O14" s="239">
        <f t="shared" ca="1" si="4"/>
        <v>7</v>
      </c>
    </row>
    <row r="15" spans="1:15" x14ac:dyDescent="0.25">
      <c r="A15" s="240"/>
      <c r="B15" s="242"/>
      <c r="C15" s="241" t="s">
        <v>636</v>
      </c>
      <c r="D15" s="242">
        <f>SUM(D3:D14)</f>
        <v>36</v>
      </c>
      <c r="E15" s="205"/>
      <c r="F15" s="205"/>
      <c r="G15" s="205"/>
      <c r="H15" s="205">
        <v>1</v>
      </c>
      <c r="I15" s="205"/>
      <c r="J15" s="205">
        <v>100</v>
      </c>
      <c r="K15" s="205">
        <v>10000</v>
      </c>
      <c r="L15" s="205">
        <v>0.01</v>
      </c>
      <c r="M15" s="205">
        <v>1E-4</v>
      </c>
      <c r="N15" s="242"/>
      <c r="O15" s="243"/>
    </row>
    <row r="17" spans="1:9" x14ac:dyDescent="0.25">
      <c r="A17" s="228" t="s">
        <v>1195</v>
      </c>
    </row>
    <row r="18" spans="1:9" x14ac:dyDescent="0.25">
      <c r="A18" s="265" t="s">
        <v>270</v>
      </c>
      <c r="B18" s="266" t="s">
        <v>320</v>
      </c>
      <c r="C18" s="266" t="s">
        <v>1196</v>
      </c>
      <c r="D18" s="266" t="s">
        <v>325</v>
      </c>
      <c r="E18" s="267" t="str">
        <f ca="1">E19&amp;E20&amp;E21&amp;E22&amp;E23&amp;E24&amp;E25&amp;E26</f>
        <v>ACDEFGKL</v>
      </c>
      <c r="F18" s="266" t="s">
        <v>532</v>
      </c>
      <c r="G18" s="266" t="s">
        <v>320</v>
      </c>
      <c r="H18" s="268" t="s">
        <v>1204</v>
      </c>
      <c r="I18" s="269"/>
    </row>
    <row r="19" spans="1:9" x14ac:dyDescent="0.25">
      <c r="A19" s="251">
        <v>1</v>
      </c>
      <c r="B19" s="252" t="str">
        <f ca="1">VLOOKUP(A19,$A$3:$B$14,2,FALSE)</f>
        <v>G</v>
      </c>
      <c r="C19" s="252">
        <f ca="1">_xlfn.UNICODE(B19)-64</f>
        <v>7</v>
      </c>
      <c r="D19" s="252">
        <f ca="1">_xlfn.RANK.EQ(C19,C$19:C$26,1)</f>
        <v>6</v>
      </c>
      <c r="E19" s="253" t="str">
        <f ca="1">_xlfn.XLOOKUP(A19,$D$19:$D$26,B$19:B$26)</f>
        <v>A</v>
      </c>
      <c r="F19" s="262" t="s">
        <v>1197</v>
      </c>
      <c r="G19" s="259" t="str">
        <f t="shared" ref="G19:G26" ca="1" si="5">RIGHT(VLOOKUP($E$18,AnnexeC,A19+1,FALSE))</f>
        <v>C</v>
      </c>
      <c r="H19" s="254" t="str">
        <f ca="1">VLOOKUP(G19,$B$3:$C$14,2,FALSE)</f>
        <v>Scotland</v>
      </c>
      <c r="I19" s="255"/>
    </row>
    <row r="20" spans="1:9" x14ac:dyDescent="0.25">
      <c r="A20" s="234">
        <v>2</v>
      </c>
      <c r="B20" s="237" t="str">
        <f t="shared" ref="B20:B26" ca="1" si="6">VLOOKUP(A20,$A$3:$B$14,2,FALSE)</f>
        <v>F</v>
      </c>
      <c r="C20" s="237">
        <f t="shared" ref="C20:C26" ca="1" si="7">_xlfn.UNICODE(B20)-64</f>
        <v>6</v>
      </c>
      <c r="D20" s="237">
        <f t="shared" ref="D20:D26" ca="1" si="8">_xlfn.RANK.EQ(C20,C$19:C$26,1)</f>
        <v>5</v>
      </c>
      <c r="E20" s="239" t="str">
        <f t="shared" ref="E20:E26" ca="1" si="9">_xlfn.XLOOKUP(A20,$D$19:$D$26,B$19:B$26)</f>
        <v>C</v>
      </c>
      <c r="F20" s="263" t="s">
        <v>1198</v>
      </c>
      <c r="G20" s="260" t="str">
        <f t="shared" ca="1" si="5"/>
        <v>G</v>
      </c>
      <c r="H20" s="235" t="str">
        <f t="shared" ref="H20:H26" ca="1" si="10">VLOOKUP(G20,$B$3:$C$14,2,FALSE)</f>
        <v>Belgium</v>
      </c>
      <c r="I20" s="256"/>
    </row>
    <row r="21" spans="1:9" x14ac:dyDescent="0.25">
      <c r="A21" s="234">
        <v>3</v>
      </c>
      <c r="B21" s="237" t="str">
        <f t="shared" ca="1" si="6"/>
        <v>C</v>
      </c>
      <c r="C21" s="237">
        <f t="shared" ca="1" si="7"/>
        <v>3</v>
      </c>
      <c r="D21" s="237">
        <f t="shared" ca="1" si="8"/>
        <v>2</v>
      </c>
      <c r="E21" s="239" t="str">
        <f t="shared" ca="1" si="9"/>
        <v>D</v>
      </c>
      <c r="F21" s="263" t="s">
        <v>1199</v>
      </c>
      <c r="G21" s="260" t="str">
        <f t="shared" ca="1" si="5"/>
        <v>E</v>
      </c>
      <c r="H21" s="235" t="str">
        <f t="shared" ca="1" si="10"/>
        <v>Ecuador</v>
      </c>
      <c r="I21" s="256"/>
    </row>
    <row r="22" spans="1:9" x14ac:dyDescent="0.25">
      <c r="A22" s="234">
        <v>4</v>
      </c>
      <c r="B22" s="237" t="str">
        <f t="shared" ca="1" si="6"/>
        <v>K</v>
      </c>
      <c r="C22" s="237">
        <f t="shared" ca="1" si="7"/>
        <v>11</v>
      </c>
      <c r="D22" s="237">
        <f t="shared" ca="1" si="8"/>
        <v>7</v>
      </c>
      <c r="E22" s="239" t="str">
        <f t="shared" ca="1" si="9"/>
        <v>E</v>
      </c>
      <c r="F22" s="263" t="s">
        <v>1200</v>
      </c>
      <c r="G22" s="260" t="str">
        <f t="shared" ca="1" si="5"/>
        <v>D</v>
      </c>
      <c r="H22" s="235" t="str">
        <f t="shared" ca="1" si="10"/>
        <v>Paraguay</v>
      </c>
      <c r="I22" s="256"/>
    </row>
    <row r="23" spans="1:9" x14ac:dyDescent="0.25">
      <c r="A23" s="234">
        <v>5</v>
      </c>
      <c r="B23" s="237" t="str">
        <f t="shared" ca="1" si="6"/>
        <v>A</v>
      </c>
      <c r="C23" s="237">
        <f t="shared" ca="1" si="7"/>
        <v>1</v>
      </c>
      <c r="D23" s="237">
        <f t="shared" ca="1" si="8"/>
        <v>1</v>
      </c>
      <c r="E23" s="239" t="str">
        <f t="shared" ca="1" si="9"/>
        <v>F</v>
      </c>
      <c r="F23" s="263" t="s">
        <v>1201</v>
      </c>
      <c r="G23" s="260" t="str">
        <f t="shared" ca="1" si="5"/>
        <v>A</v>
      </c>
      <c r="H23" s="235" t="str">
        <f t="shared" ca="1" si="10"/>
        <v>South Africa</v>
      </c>
      <c r="I23" s="256"/>
    </row>
    <row r="24" spans="1:9" x14ac:dyDescent="0.25">
      <c r="A24" s="234">
        <v>6</v>
      </c>
      <c r="B24" s="237" t="str">
        <f t="shared" ca="1" si="6"/>
        <v>D</v>
      </c>
      <c r="C24" s="237">
        <f t="shared" ca="1" si="7"/>
        <v>4</v>
      </c>
      <c r="D24" s="237">
        <f t="shared" ca="1" si="8"/>
        <v>3</v>
      </c>
      <c r="E24" s="239" t="str">
        <f t="shared" ca="1" si="9"/>
        <v>G</v>
      </c>
      <c r="F24" s="263" t="s">
        <v>1202</v>
      </c>
      <c r="G24" s="260" t="str">
        <f t="shared" ca="1" si="5"/>
        <v>F</v>
      </c>
      <c r="H24" s="235" t="str">
        <f t="shared" ca="1" si="10"/>
        <v>Sweden</v>
      </c>
      <c r="I24" s="256"/>
    </row>
    <row r="25" spans="1:9" x14ac:dyDescent="0.25">
      <c r="A25" s="234">
        <v>7</v>
      </c>
      <c r="B25" s="237" t="str">
        <f t="shared" ca="1" si="6"/>
        <v>L</v>
      </c>
      <c r="C25" s="237">
        <f t="shared" ca="1" si="7"/>
        <v>12</v>
      </c>
      <c r="D25" s="237">
        <f t="shared" ca="1" si="8"/>
        <v>8</v>
      </c>
      <c r="E25" s="239" t="str">
        <f t="shared" ca="1" si="9"/>
        <v>K</v>
      </c>
      <c r="F25" s="263" t="s">
        <v>1203</v>
      </c>
      <c r="G25" s="260" t="str">
        <f t="shared" ca="1" si="5"/>
        <v>L</v>
      </c>
      <c r="H25" s="235" t="str">
        <f t="shared" ca="1" si="10"/>
        <v>Panama</v>
      </c>
      <c r="I25" s="256"/>
    </row>
    <row r="26" spans="1:9" x14ac:dyDescent="0.25">
      <c r="A26" s="248">
        <v>8</v>
      </c>
      <c r="B26" s="250" t="str">
        <f t="shared" ca="1" si="6"/>
        <v>E</v>
      </c>
      <c r="C26" s="250">
        <f t="shared" ca="1" si="7"/>
        <v>5</v>
      </c>
      <c r="D26" s="250">
        <f t="shared" ca="1" si="8"/>
        <v>4</v>
      </c>
      <c r="E26" s="249" t="str">
        <f t="shared" ca="1" si="9"/>
        <v>L</v>
      </c>
      <c r="F26" s="264" t="s">
        <v>1214</v>
      </c>
      <c r="G26" s="261" t="str">
        <f t="shared" ca="1" si="5"/>
        <v>K</v>
      </c>
      <c r="H26" s="257" t="str">
        <f t="shared" ca="1" si="10"/>
        <v>Congo DR</v>
      </c>
      <c r="I26" s="258"/>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5EC62-D8E3-44F7-9C6D-47AB1FA7FC44}">
  <sheetPr>
    <tabColor rgb="FFC00000"/>
  </sheetPr>
  <dimension ref="A1:Z49"/>
  <sheetViews>
    <sheetView workbookViewId="0">
      <pane ySplit="2" topLeftCell="A26" activePane="bottomLeft" state="frozen"/>
      <selection activeCell="C42" sqref="C42"/>
      <selection pane="bottomLeft" activeCell="C42" sqref="C42"/>
    </sheetView>
  </sheetViews>
  <sheetFormatPr defaultColWidth="16.7109375" defaultRowHeight="15" x14ac:dyDescent="0.25"/>
  <sheetData>
    <row r="1" spans="1:26" x14ac:dyDescent="0.25">
      <c r="A1" s="228" t="s">
        <v>320</v>
      </c>
      <c r="B1" s="216" t="str">
        <f>A2&amp;1</f>
        <v>A1</v>
      </c>
      <c r="C1" s="216" t="str">
        <f>A2&amp;2</f>
        <v>A2</v>
      </c>
      <c r="D1" s="216" t="str">
        <f>A2&amp;3</f>
        <v>A3</v>
      </c>
      <c r="E1" s="216" t="str">
        <f>A2&amp;4</f>
        <v>A4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16</v>
      </c>
      <c r="B2" s="217" t="str">
        <f>VLOOKUP(B1,Lookup08,2,FALSE)</f>
        <v>Mexico</v>
      </c>
      <c r="C2" s="217" t="str">
        <f>VLOOKUP(C1,Lookup08,2,FALSE)</f>
        <v>South Africa</v>
      </c>
      <c r="D2" s="217" t="str">
        <f>VLOOKUP(D1,Lookup08,2,FALSE)</f>
        <v>Korea Republic</v>
      </c>
      <c r="E2" s="217" t="str">
        <f>VLOOKUP(E1,Lookup08,2,FALSE)</f>
        <v>Czechia</v>
      </c>
      <c r="F2" s="144"/>
      <c r="G2" s="144"/>
      <c r="H2" s="195"/>
      <c r="I2" s="196" t="str">
        <f>B2</f>
        <v>Mexico</v>
      </c>
      <c r="J2" s="196" t="str">
        <f>C2</f>
        <v>South Africa</v>
      </c>
      <c r="K2" s="196" t="str">
        <f>D2</f>
        <v>Korea Republic</v>
      </c>
      <c r="L2" s="196" t="str">
        <f>E2</f>
        <v>Czechia</v>
      </c>
      <c r="M2" s="197" t="s">
        <v>26</v>
      </c>
      <c r="N2" s="195"/>
      <c r="O2" s="196" t="str">
        <f>I2</f>
        <v>Mexico</v>
      </c>
      <c r="P2" s="196" t="str">
        <f t="shared" ref="P2:R2" si="0">J2</f>
        <v>South Africa</v>
      </c>
      <c r="Q2" s="196" t="str">
        <f t="shared" si="0"/>
        <v>Korea Republic</v>
      </c>
      <c r="R2" s="196" t="str">
        <f t="shared" si="0"/>
        <v>Czechia</v>
      </c>
      <c r="S2" s="197" t="s">
        <v>26</v>
      </c>
      <c r="T2" s="195"/>
      <c r="U2" s="196" t="str">
        <f>O2</f>
        <v>Mexico</v>
      </c>
      <c r="V2" s="196" t="str">
        <f t="shared" ref="V2" si="1">P2</f>
        <v>South Africa</v>
      </c>
      <c r="W2" s="196" t="str">
        <f t="shared" ref="W2" si="2">Q2</f>
        <v>Korea Republic</v>
      </c>
      <c r="X2" s="196" t="str">
        <f t="shared" ref="X2" si="3">R2</f>
        <v>Czechia</v>
      </c>
      <c r="Y2" s="197" t="s">
        <v>26</v>
      </c>
    </row>
    <row r="3" spans="1:26" x14ac:dyDescent="0.25">
      <c r="A3" s="144"/>
      <c r="B3" s="144"/>
      <c r="C3" s="144"/>
      <c r="F3" s="144"/>
      <c r="G3" s="144"/>
      <c r="H3" s="195" t="str">
        <f>B2</f>
        <v>Mexico</v>
      </c>
      <c r="I3" s="211"/>
      <c r="J3" s="196">
        <f>IF(G10=G11,1,0)</f>
        <v>0</v>
      </c>
      <c r="K3" s="196">
        <f>IF(G10=G12,1,0)</f>
        <v>1</v>
      </c>
      <c r="L3" s="196">
        <f>IF(G10=G13,1,0)</f>
        <v>0</v>
      </c>
      <c r="M3" s="197">
        <f>SUM(I3:L3)</f>
        <v>1</v>
      </c>
      <c r="N3" s="195" t="str">
        <f>H3</f>
        <v>Mexico</v>
      </c>
      <c r="O3" s="211"/>
      <c r="P3" s="196">
        <f>IF(M10=M11,1,0)</f>
        <v>0</v>
      </c>
      <c r="Q3" s="196">
        <f>IF(M10=M12,1,0)</f>
        <v>1</v>
      </c>
      <c r="R3" s="196">
        <f>IF(M10=M13,1,0)</f>
        <v>0</v>
      </c>
      <c r="S3" s="197">
        <f>SUM(O3:R3)</f>
        <v>1</v>
      </c>
      <c r="T3" s="195" t="str">
        <f>N3</f>
        <v>Mexico</v>
      </c>
      <c r="U3" s="211"/>
      <c r="V3" s="196">
        <f>IF(S10=S11,1,0)</f>
        <v>0</v>
      </c>
      <c r="W3" s="196">
        <f>IF(S10=S12,1,0)</f>
        <v>1</v>
      </c>
      <c r="X3" s="196">
        <f>IF(S10=S13,1,0)</f>
        <v>0</v>
      </c>
      <c r="Y3" s="197">
        <f>SUM(U3:X3)</f>
        <v>1</v>
      </c>
    </row>
    <row r="4" spans="1:26" x14ac:dyDescent="0.25">
      <c r="A4" s="144"/>
      <c r="B4" s="144"/>
      <c r="C4" s="144"/>
      <c r="F4" s="144"/>
      <c r="G4" s="144"/>
      <c r="H4" s="195" t="str">
        <f>C2</f>
        <v>South Africa</v>
      </c>
      <c r="I4" s="196">
        <f>IF(G11=G10,1,0)</f>
        <v>0</v>
      </c>
      <c r="J4" s="211"/>
      <c r="K4" s="196">
        <f>IF(G11=G12,1,0)</f>
        <v>0</v>
      </c>
      <c r="L4" s="196">
        <f>IF(G11=G13,1,0)</f>
        <v>1</v>
      </c>
      <c r="M4" s="197">
        <f>SUM(I4:L4)</f>
        <v>1</v>
      </c>
      <c r="N4" s="195" t="str">
        <f t="shared" ref="N4:N6" si="4">H4</f>
        <v>South Africa</v>
      </c>
      <c r="O4" s="196">
        <f>IF(M11=M10,1,0)</f>
        <v>0</v>
      </c>
      <c r="P4" s="211"/>
      <c r="Q4" s="196">
        <f>IF(M11=M12,1,0)</f>
        <v>0</v>
      </c>
      <c r="R4" s="196">
        <f>IF(M11=M13,1,0)</f>
        <v>1</v>
      </c>
      <c r="S4" s="197">
        <f>SUM(O4:R4)</f>
        <v>1</v>
      </c>
      <c r="T4" s="195" t="str">
        <f t="shared" ref="T4:T6" si="5">N4</f>
        <v>South Africa</v>
      </c>
      <c r="U4" s="196">
        <f>IF(S11=S10,1,0)</f>
        <v>0</v>
      </c>
      <c r="V4" s="211"/>
      <c r="W4" s="196">
        <f>IF(S11=S12,1,0)</f>
        <v>0</v>
      </c>
      <c r="X4" s="196">
        <f>IF(S11=S13,1,0)</f>
        <v>1</v>
      </c>
      <c r="Y4" s="197">
        <f>SUM(U4:X4)</f>
        <v>1</v>
      </c>
    </row>
    <row r="5" spans="1:26" x14ac:dyDescent="0.25">
      <c r="A5" s="144"/>
      <c r="B5" s="144"/>
      <c r="C5" s="144"/>
      <c r="F5" s="144"/>
      <c r="G5" s="144"/>
      <c r="H5" s="195" t="str">
        <f>D2</f>
        <v>Korea Republic</v>
      </c>
      <c r="I5" s="196">
        <f>IF(G12=G10,1,0)</f>
        <v>1</v>
      </c>
      <c r="J5" s="196">
        <f>IF(G12=G11,1,0)</f>
        <v>0</v>
      </c>
      <c r="K5" s="211"/>
      <c r="L5" s="196">
        <f>IF(G12=G13,1,0)</f>
        <v>0</v>
      </c>
      <c r="M5" s="197">
        <f>SUM(I5:L5)</f>
        <v>1</v>
      </c>
      <c r="N5" s="195" t="str">
        <f t="shared" si="4"/>
        <v>Korea Republic</v>
      </c>
      <c r="O5" s="196">
        <f>IF(M12=M10,1,0)</f>
        <v>1</v>
      </c>
      <c r="P5" s="196">
        <f>IF(M12=M11,1,0)</f>
        <v>0</v>
      </c>
      <c r="Q5" s="211"/>
      <c r="R5" s="196">
        <f>IF(M12=M13,1,0)</f>
        <v>0</v>
      </c>
      <c r="S5" s="197">
        <f>SUM(O5:R5)</f>
        <v>1</v>
      </c>
      <c r="T5" s="195" t="str">
        <f t="shared" si="5"/>
        <v>Korea Republic</v>
      </c>
      <c r="U5" s="196">
        <f>IF(S12=S10,1,0)</f>
        <v>1</v>
      </c>
      <c r="V5" s="196">
        <f>IF(S12=S11,1,0)</f>
        <v>0</v>
      </c>
      <c r="W5" s="211"/>
      <c r="X5" s="196">
        <f>IF(S12=S13,1,0)</f>
        <v>0</v>
      </c>
      <c r="Y5" s="197">
        <f>SUM(U5:X5)</f>
        <v>1</v>
      </c>
    </row>
    <row r="6" spans="1:26" x14ac:dyDescent="0.25">
      <c r="A6" s="144"/>
      <c r="B6" s="144"/>
      <c r="C6" s="144"/>
      <c r="F6" s="144"/>
      <c r="G6" s="144"/>
      <c r="H6" s="198" t="str">
        <f>E2</f>
        <v>Czechia</v>
      </c>
      <c r="I6" s="199">
        <f>IF(G13=G10,1,0)</f>
        <v>0</v>
      </c>
      <c r="J6" s="199">
        <f>IF(G13=G11,1,0)</f>
        <v>1</v>
      </c>
      <c r="K6" s="199">
        <f>IF(G13=G12,1,0)</f>
        <v>0</v>
      </c>
      <c r="L6" s="212"/>
      <c r="M6" s="200">
        <f>SUM(I6:L6)</f>
        <v>1</v>
      </c>
      <c r="N6" s="198" t="str">
        <f t="shared" si="4"/>
        <v>Czechia</v>
      </c>
      <c r="O6" s="199">
        <f>IF(M13=M10,1,0)</f>
        <v>0</v>
      </c>
      <c r="P6" s="199">
        <f>IF(M13=M11,1,0)</f>
        <v>1</v>
      </c>
      <c r="Q6" s="199">
        <f>IF(M13=M12,1,0)</f>
        <v>0</v>
      </c>
      <c r="R6" s="212"/>
      <c r="S6" s="200">
        <f>SUM(O6:R6)</f>
        <v>1</v>
      </c>
      <c r="T6" s="198" t="str">
        <f t="shared" si="5"/>
        <v>Czechia</v>
      </c>
      <c r="U6" s="199">
        <f>IF(S13=S10,1,0)</f>
        <v>0</v>
      </c>
      <c r="V6" s="199">
        <f>IF(S13=S11,1,0)</f>
        <v>1</v>
      </c>
      <c r="W6" s="199">
        <f>IF(S13=S12,1,0)</f>
        <v>0</v>
      </c>
      <c r="X6" s="212"/>
      <c r="Y6" s="200">
        <f>SUM(U6:X6)</f>
        <v>1</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Mexico</v>
      </c>
      <c r="D9" s="190" t="str">
        <f>C2</f>
        <v>South Africa</v>
      </c>
      <c r="E9" s="190" t="str">
        <f>D2</f>
        <v>Korea Republic</v>
      </c>
      <c r="F9" s="190" t="str">
        <f>E2</f>
        <v>Czechia</v>
      </c>
      <c r="G9" s="191" t="s">
        <v>26</v>
      </c>
      <c r="H9" s="189"/>
      <c r="I9" s="190" t="str">
        <f>C9</f>
        <v>Mexico</v>
      </c>
      <c r="J9" s="190" t="str">
        <f t="shared" ref="J9:L9" si="6">D9</f>
        <v>South Africa</v>
      </c>
      <c r="K9" s="190" t="str">
        <f t="shared" si="6"/>
        <v>Korea Republic</v>
      </c>
      <c r="L9" s="190" t="str">
        <f t="shared" si="6"/>
        <v>Czechia</v>
      </c>
      <c r="M9" s="191" t="s">
        <v>26</v>
      </c>
      <c r="N9" s="189"/>
      <c r="O9" s="190" t="str">
        <f>I9</f>
        <v>Mexico</v>
      </c>
      <c r="P9" s="190" t="str">
        <f t="shared" ref="P9" si="7">J9</f>
        <v>South Africa</v>
      </c>
      <c r="Q9" s="190" t="str">
        <f t="shared" ref="Q9" si="8">K9</f>
        <v>Korea Republic</v>
      </c>
      <c r="R9" s="190" t="str">
        <f t="shared" ref="R9" si="9">L9</f>
        <v>Czechia</v>
      </c>
      <c r="S9" s="191" t="s">
        <v>26</v>
      </c>
      <c r="T9" s="189"/>
      <c r="U9" s="190" t="str">
        <f>O9</f>
        <v>Mexico</v>
      </c>
      <c r="V9" s="190" t="str">
        <f t="shared" ref="V9" si="10">P9</f>
        <v>South Africa</v>
      </c>
      <c r="W9" s="190" t="str">
        <f t="shared" ref="W9" si="11">Q9</f>
        <v>Korea Republic</v>
      </c>
      <c r="X9" s="190" t="str">
        <f t="shared" ref="X9" si="12">R9</f>
        <v>Czechia</v>
      </c>
      <c r="Y9" s="191" t="s">
        <v>26</v>
      </c>
      <c r="Z9" s="227" t="s">
        <v>309</v>
      </c>
    </row>
    <row r="10" spans="1:26" x14ac:dyDescent="0.25">
      <c r="A10" s="144"/>
      <c r="B10" s="189" t="str">
        <f>B2</f>
        <v>Mexico</v>
      </c>
      <c r="C10" s="204"/>
      <c r="D10" s="190">
        <f>H37</f>
        <v>3</v>
      </c>
      <c r="E10" s="190">
        <f>H39</f>
        <v>0</v>
      </c>
      <c r="F10" s="190">
        <f>I42</f>
        <v>0</v>
      </c>
      <c r="G10" s="191">
        <f>SUM(C10:F10)</f>
        <v>3</v>
      </c>
      <c r="H10" s="189" t="str">
        <f>B10</f>
        <v>Mexico</v>
      </c>
      <c r="I10" s="218">
        <f>C10+I17/100+I24/10000</f>
        <v>0</v>
      </c>
      <c r="J10" s="219">
        <f t="shared" ref="J10:L10" si="13">D10+J17/100+J24/10000</f>
        <v>3</v>
      </c>
      <c r="K10" s="219">
        <f t="shared" si="13"/>
        <v>0</v>
      </c>
      <c r="L10" s="219">
        <f t="shared" si="13"/>
        <v>0</v>
      </c>
      <c r="M10" s="220">
        <f>SUM(I10:L10)</f>
        <v>3</v>
      </c>
      <c r="N10" s="189" t="str">
        <f>H10</f>
        <v>Mexico</v>
      </c>
      <c r="O10" s="218">
        <f>I10+O17/100+O24/10000</f>
        <v>0</v>
      </c>
      <c r="P10" s="219">
        <f t="shared" ref="P10:P13" si="14">J10+P17/100+P24/10000</f>
        <v>3</v>
      </c>
      <c r="Q10" s="219">
        <f t="shared" ref="Q10:Q13" si="15">K10+Q17/100+Q24/10000</f>
        <v>0</v>
      </c>
      <c r="R10" s="219">
        <f t="shared" ref="R10:R13" si="16">L10+R17/100+R24/10000</f>
        <v>0</v>
      </c>
      <c r="S10" s="220">
        <f>SUM(O10:R10)</f>
        <v>3</v>
      </c>
      <c r="T10" s="189" t="str">
        <f>N10</f>
        <v>Mexico</v>
      </c>
      <c r="U10" s="218">
        <f>O10+U17/100+U24/10000</f>
        <v>0</v>
      </c>
      <c r="V10" s="219">
        <f t="shared" ref="V10:V13" si="17">P10+V17/100+V24/10000</f>
        <v>3</v>
      </c>
      <c r="W10" s="219">
        <f t="shared" ref="W10:W13" si="18">Q10+W17/100+W24/10000</f>
        <v>0</v>
      </c>
      <c r="X10" s="219">
        <f t="shared" ref="X10:X13" si="19">R10+X17/100+X24/10000</f>
        <v>0</v>
      </c>
      <c r="Y10" s="220">
        <f>ROUND(SUM(U10:X10),8)</f>
        <v>3</v>
      </c>
      <c r="Z10" s="224">
        <f>_xlfn.RANK.EQ(Y10,Y$10:Y$13,1)</f>
        <v>3</v>
      </c>
    </row>
    <row r="11" spans="1:26" x14ac:dyDescent="0.25">
      <c r="A11" s="144"/>
      <c r="B11" s="189" t="str">
        <f>C2</f>
        <v>South Africa</v>
      </c>
      <c r="C11" s="190">
        <f>I37</f>
        <v>0</v>
      </c>
      <c r="D11" s="204"/>
      <c r="E11" s="190">
        <f>H41</f>
        <v>0</v>
      </c>
      <c r="F11" s="190">
        <f>I40</f>
        <v>0</v>
      </c>
      <c r="G11" s="191">
        <f>SUM(C11:F11)</f>
        <v>0</v>
      </c>
      <c r="H11" s="189" t="str">
        <f t="shared" ref="H11:H13" si="20">B11</f>
        <v>South Africa</v>
      </c>
      <c r="I11" s="219">
        <f t="shared" ref="I11:L11" si="21">C11+I18/100+I25/10000</f>
        <v>0</v>
      </c>
      <c r="J11" s="218">
        <f t="shared" si="21"/>
        <v>0</v>
      </c>
      <c r="K11" s="219">
        <f t="shared" si="21"/>
        <v>0</v>
      </c>
      <c r="L11" s="219">
        <f t="shared" si="21"/>
        <v>0</v>
      </c>
      <c r="M11" s="220">
        <f>SUM(I11:L11)</f>
        <v>0</v>
      </c>
      <c r="N11" s="189" t="str">
        <f t="shared" ref="N11:N13" si="22">H11</f>
        <v>South Africa</v>
      </c>
      <c r="O11" s="219">
        <f t="shared" ref="O11:O13" si="23">I11+O18/100+O25/10000</f>
        <v>0</v>
      </c>
      <c r="P11" s="218">
        <f t="shared" si="14"/>
        <v>0</v>
      </c>
      <c r="Q11" s="219">
        <f t="shared" si="15"/>
        <v>0</v>
      </c>
      <c r="R11" s="219">
        <f t="shared" si="16"/>
        <v>0</v>
      </c>
      <c r="S11" s="220">
        <f>SUM(O11:R11)</f>
        <v>0</v>
      </c>
      <c r="T11" s="189" t="str">
        <f t="shared" ref="T11:T13" si="24">N11</f>
        <v>South Africa</v>
      </c>
      <c r="U11" s="219">
        <f t="shared" ref="U11:U13" si="25">O11+U18/100+U25/10000</f>
        <v>0</v>
      </c>
      <c r="V11" s="218">
        <f t="shared" si="17"/>
        <v>0</v>
      </c>
      <c r="W11" s="219">
        <f t="shared" si="18"/>
        <v>0</v>
      </c>
      <c r="X11" s="219">
        <f t="shared" si="19"/>
        <v>0</v>
      </c>
      <c r="Y11" s="220">
        <f t="shared" ref="Y11:Y13" si="26">ROUND(SUM(U11:X11),8)</f>
        <v>0</v>
      </c>
      <c r="Z11" s="224">
        <f t="shared" ref="Z11:Z13" si="27">_xlfn.RANK.EQ(Y11,Y$10:Y$13,1)</f>
        <v>1</v>
      </c>
    </row>
    <row r="12" spans="1:26" x14ac:dyDescent="0.25">
      <c r="A12" s="144"/>
      <c r="B12" s="189" t="str">
        <f>D2</f>
        <v>Korea Republic</v>
      </c>
      <c r="C12" s="190">
        <f>I39</f>
        <v>0</v>
      </c>
      <c r="D12" s="190">
        <f>I41</f>
        <v>0</v>
      </c>
      <c r="E12" s="204"/>
      <c r="F12" s="190">
        <f>H38</f>
        <v>3</v>
      </c>
      <c r="G12" s="191">
        <f>SUM(C12:F12)</f>
        <v>3</v>
      </c>
      <c r="H12" s="189" t="str">
        <f t="shared" si="20"/>
        <v>Korea Republic</v>
      </c>
      <c r="I12" s="219">
        <f t="shared" ref="I12:L12" si="28">C12+I19/100+I26/10000</f>
        <v>0</v>
      </c>
      <c r="J12" s="219">
        <f t="shared" si="28"/>
        <v>0</v>
      </c>
      <c r="K12" s="218">
        <f t="shared" si="28"/>
        <v>0</v>
      </c>
      <c r="L12" s="219">
        <f t="shared" si="28"/>
        <v>3</v>
      </c>
      <c r="M12" s="220">
        <f>SUM(I12:L12)</f>
        <v>3</v>
      </c>
      <c r="N12" s="189" t="str">
        <f t="shared" si="22"/>
        <v>Korea Republic</v>
      </c>
      <c r="O12" s="219">
        <f t="shared" si="23"/>
        <v>0</v>
      </c>
      <c r="P12" s="219">
        <f t="shared" si="14"/>
        <v>0</v>
      </c>
      <c r="Q12" s="218">
        <f t="shared" si="15"/>
        <v>0</v>
      </c>
      <c r="R12" s="219">
        <f t="shared" si="16"/>
        <v>3</v>
      </c>
      <c r="S12" s="220">
        <f>SUM(O12:R12)</f>
        <v>3</v>
      </c>
      <c r="T12" s="189" t="str">
        <f t="shared" si="24"/>
        <v>Korea Republic</v>
      </c>
      <c r="U12" s="219">
        <f t="shared" si="25"/>
        <v>0</v>
      </c>
      <c r="V12" s="219">
        <f t="shared" si="17"/>
        <v>0</v>
      </c>
      <c r="W12" s="218">
        <f t="shared" si="18"/>
        <v>0</v>
      </c>
      <c r="X12" s="219">
        <f t="shared" si="19"/>
        <v>3</v>
      </c>
      <c r="Y12" s="220">
        <f t="shared" si="26"/>
        <v>3</v>
      </c>
      <c r="Z12" s="224">
        <f t="shared" si="27"/>
        <v>3</v>
      </c>
    </row>
    <row r="13" spans="1:26" x14ac:dyDescent="0.25">
      <c r="A13" s="144"/>
      <c r="B13" s="192" t="str">
        <f>E2</f>
        <v>Czechia</v>
      </c>
      <c r="C13" s="193">
        <f>H42</f>
        <v>0</v>
      </c>
      <c r="D13" s="193">
        <f>H40</f>
        <v>0</v>
      </c>
      <c r="E13" s="193">
        <f>I38</f>
        <v>0</v>
      </c>
      <c r="F13" s="205"/>
      <c r="G13" s="194">
        <f>SUM(C13:F13)</f>
        <v>0</v>
      </c>
      <c r="H13" s="192" t="str">
        <f t="shared" si="20"/>
        <v>Czechia</v>
      </c>
      <c r="I13" s="221">
        <f t="shared" ref="I13:L13" si="29">C13+I20/100+I27/10000</f>
        <v>0</v>
      </c>
      <c r="J13" s="221">
        <f t="shared" si="29"/>
        <v>0</v>
      </c>
      <c r="K13" s="221">
        <f t="shared" si="29"/>
        <v>0</v>
      </c>
      <c r="L13" s="222">
        <f t="shared" si="29"/>
        <v>0</v>
      </c>
      <c r="M13" s="223">
        <f>SUM(I13:L13)</f>
        <v>0</v>
      </c>
      <c r="N13" s="192" t="str">
        <f t="shared" si="22"/>
        <v>Czechia</v>
      </c>
      <c r="O13" s="221">
        <f t="shared" si="23"/>
        <v>0</v>
      </c>
      <c r="P13" s="221">
        <f t="shared" si="14"/>
        <v>0</v>
      </c>
      <c r="Q13" s="221">
        <f t="shared" si="15"/>
        <v>0</v>
      </c>
      <c r="R13" s="222">
        <f t="shared" si="16"/>
        <v>0</v>
      </c>
      <c r="S13" s="223">
        <f>SUM(O13:R13)</f>
        <v>0</v>
      </c>
      <c r="T13" s="192" t="str">
        <f t="shared" si="24"/>
        <v>Czechia</v>
      </c>
      <c r="U13" s="221">
        <f t="shared" si="25"/>
        <v>0</v>
      </c>
      <c r="V13" s="221">
        <f t="shared" si="17"/>
        <v>0</v>
      </c>
      <c r="W13" s="221">
        <f t="shared" si="18"/>
        <v>0</v>
      </c>
      <c r="X13" s="222">
        <f t="shared" si="19"/>
        <v>0</v>
      </c>
      <c r="Y13" s="223">
        <f t="shared" si="26"/>
        <v>0</v>
      </c>
      <c r="Z13" s="225">
        <f t="shared" si="27"/>
        <v>1</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Mexico</v>
      </c>
      <c r="D16" s="177" t="str">
        <f>C2</f>
        <v>South Africa</v>
      </c>
      <c r="E16" s="177" t="str">
        <f>D2</f>
        <v>Korea Republic</v>
      </c>
      <c r="F16" s="177" t="str">
        <f>E2</f>
        <v>Czechia</v>
      </c>
      <c r="G16" s="178" t="s">
        <v>26</v>
      </c>
      <c r="H16" s="183"/>
      <c r="I16" s="184" t="str">
        <f>C16</f>
        <v>Mexico</v>
      </c>
      <c r="J16" s="184" t="str">
        <f t="shared" ref="J16:L16" si="30">D16</f>
        <v>South Africa</v>
      </c>
      <c r="K16" s="184" t="str">
        <f t="shared" si="30"/>
        <v>Korea Republic</v>
      </c>
      <c r="L16" s="184" t="str">
        <f t="shared" si="30"/>
        <v>Czechia</v>
      </c>
      <c r="M16" s="185" t="s">
        <v>26</v>
      </c>
      <c r="N16" s="183"/>
      <c r="O16" s="184" t="str">
        <f>I16</f>
        <v>Mexico</v>
      </c>
      <c r="P16" s="184" t="str">
        <f t="shared" ref="P16" si="31">J16</f>
        <v>South Africa</v>
      </c>
      <c r="Q16" s="184" t="str">
        <f t="shared" ref="Q16" si="32">K16</f>
        <v>Korea Republic</v>
      </c>
      <c r="R16" s="184" t="str">
        <f t="shared" ref="R16" si="33">L16</f>
        <v>Czechia</v>
      </c>
      <c r="S16" s="185" t="s">
        <v>26</v>
      </c>
      <c r="T16" s="183"/>
      <c r="U16" s="184" t="str">
        <f>O16</f>
        <v>Mexico</v>
      </c>
      <c r="V16" s="184" t="str">
        <f t="shared" ref="V16" si="34">P16</f>
        <v>South Africa</v>
      </c>
      <c r="W16" s="184" t="str">
        <f t="shared" ref="W16" si="35">Q16</f>
        <v>Korea Republic</v>
      </c>
      <c r="X16" s="184" t="str">
        <f t="shared" ref="X16" si="36">R16</f>
        <v>Czechia</v>
      </c>
      <c r="Y16" s="185" t="s">
        <v>26</v>
      </c>
    </row>
    <row r="17" spans="1:25" x14ac:dyDescent="0.25">
      <c r="A17" s="144"/>
      <c r="B17" s="176" t="str">
        <f>B2</f>
        <v>Mexico</v>
      </c>
      <c r="C17" s="206"/>
      <c r="D17" s="179">
        <f>IFERROR(F37-G37,0)</f>
        <v>2</v>
      </c>
      <c r="E17" s="179">
        <f>IFERROR(F39-G39,0)</f>
        <v>0</v>
      </c>
      <c r="F17" s="179">
        <f>IFERROR(G42-F42,0)</f>
        <v>0</v>
      </c>
      <c r="G17" s="178">
        <f>SUM(C17:F17)</f>
        <v>2</v>
      </c>
      <c r="H17" s="183" t="str">
        <f>B17</f>
        <v>Mexico</v>
      </c>
      <c r="I17" s="208"/>
      <c r="J17" s="184">
        <f>D17*J3</f>
        <v>0</v>
      </c>
      <c r="K17" s="184">
        <f>E17*K3</f>
        <v>0</v>
      </c>
      <c r="L17" s="184">
        <f>F17*L3</f>
        <v>0</v>
      </c>
      <c r="M17" s="185">
        <f>SUM(I17:L17)</f>
        <v>0</v>
      </c>
      <c r="N17" s="183" t="str">
        <f>H17</f>
        <v>Mexico</v>
      </c>
      <c r="O17" s="208"/>
      <c r="P17" s="184">
        <f>J17*P3</f>
        <v>0</v>
      </c>
      <c r="Q17" s="184">
        <f>K17*Q3</f>
        <v>0</v>
      </c>
      <c r="R17" s="184">
        <f>L17*R3</f>
        <v>0</v>
      </c>
      <c r="S17" s="185">
        <f>SUM(O17:R17)</f>
        <v>0</v>
      </c>
      <c r="T17" s="183" t="str">
        <f>N17</f>
        <v>Mexico</v>
      </c>
      <c r="U17" s="208"/>
      <c r="V17" s="184">
        <f>P17*V3</f>
        <v>0</v>
      </c>
      <c r="W17" s="184">
        <f>Q17*W3</f>
        <v>0</v>
      </c>
      <c r="X17" s="184">
        <f>R17*X3</f>
        <v>0</v>
      </c>
      <c r="Y17" s="185">
        <f>SUM(U17:X17)</f>
        <v>0</v>
      </c>
    </row>
    <row r="18" spans="1:25" x14ac:dyDescent="0.25">
      <c r="A18" s="144"/>
      <c r="B18" s="176" t="str">
        <f>C2</f>
        <v>South Africa</v>
      </c>
      <c r="C18" s="179">
        <f>IFERROR(G37-F37,0)</f>
        <v>-2</v>
      </c>
      <c r="D18" s="206"/>
      <c r="E18" s="179">
        <f>IFERROR(F41-G41,0)</f>
        <v>0</v>
      </c>
      <c r="F18" s="179">
        <f>IFERROR(G40-F40,0)</f>
        <v>0</v>
      </c>
      <c r="G18" s="178">
        <f>SUM(C18:F18)</f>
        <v>-2</v>
      </c>
      <c r="H18" s="183" t="str">
        <f t="shared" ref="H18:H20" si="37">B18</f>
        <v>South Africa</v>
      </c>
      <c r="I18" s="184">
        <f>C18*I4</f>
        <v>0</v>
      </c>
      <c r="J18" s="208"/>
      <c r="K18" s="184">
        <f>E18*K4</f>
        <v>0</v>
      </c>
      <c r="L18" s="184">
        <f>F18*L4</f>
        <v>0</v>
      </c>
      <c r="M18" s="185">
        <f>SUM(I18:L18)</f>
        <v>0</v>
      </c>
      <c r="N18" s="183" t="str">
        <f t="shared" ref="N18:N20" si="38">H18</f>
        <v>South Africa</v>
      </c>
      <c r="O18" s="184">
        <f>I18*O4</f>
        <v>0</v>
      </c>
      <c r="P18" s="208"/>
      <c r="Q18" s="184">
        <f>K18*Q4</f>
        <v>0</v>
      </c>
      <c r="R18" s="184">
        <f>L18*R4</f>
        <v>0</v>
      </c>
      <c r="S18" s="185">
        <f>SUM(O18:R18)</f>
        <v>0</v>
      </c>
      <c r="T18" s="183" t="str">
        <f t="shared" ref="T18:T20" si="39">N18</f>
        <v>South Africa</v>
      </c>
      <c r="U18" s="184">
        <f>O18*U4</f>
        <v>0</v>
      </c>
      <c r="V18" s="208"/>
      <c r="W18" s="184">
        <f>Q18*W4</f>
        <v>0</v>
      </c>
      <c r="X18" s="184">
        <f>R18*X4</f>
        <v>0</v>
      </c>
      <c r="Y18" s="185">
        <f>SUM(U18:X18)</f>
        <v>0</v>
      </c>
    </row>
    <row r="19" spans="1:25" x14ac:dyDescent="0.25">
      <c r="A19" s="144"/>
      <c r="B19" s="176" t="str">
        <f>D2</f>
        <v>Korea Republic</v>
      </c>
      <c r="C19" s="179">
        <f>IFERROR(G39-F39,0)</f>
        <v>0</v>
      </c>
      <c r="D19" s="179">
        <f>IFERROR(G41-F41,0)</f>
        <v>0</v>
      </c>
      <c r="E19" s="206"/>
      <c r="F19" s="179">
        <f>IFERROR(F38-G38,0)</f>
        <v>1</v>
      </c>
      <c r="G19" s="178">
        <f>SUM(C19:F19)</f>
        <v>1</v>
      </c>
      <c r="H19" s="183" t="str">
        <f t="shared" si="37"/>
        <v>Korea Republic</v>
      </c>
      <c r="I19" s="184">
        <f>C19*I5</f>
        <v>0</v>
      </c>
      <c r="J19" s="184">
        <f>D19*J5</f>
        <v>0</v>
      </c>
      <c r="K19" s="208"/>
      <c r="L19" s="184">
        <f>F19*L5</f>
        <v>0</v>
      </c>
      <c r="M19" s="185">
        <f>SUM(I19:L19)</f>
        <v>0</v>
      </c>
      <c r="N19" s="183" t="str">
        <f t="shared" si="38"/>
        <v>Korea Republic</v>
      </c>
      <c r="O19" s="184">
        <f>I19*O5</f>
        <v>0</v>
      </c>
      <c r="P19" s="184">
        <f>J19*P5</f>
        <v>0</v>
      </c>
      <c r="Q19" s="208"/>
      <c r="R19" s="184">
        <f>L19*R5</f>
        <v>0</v>
      </c>
      <c r="S19" s="185">
        <f>SUM(O19:R19)</f>
        <v>0</v>
      </c>
      <c r="T19" s="183" t="str">
        <f t="shared" si="39"/>
        <v>Korea Republic</v>
      </c>
      <c r="U19" s="184">
        <f>O19*U5</f>
        <v>0</v>
      </c>
      <c r="V19" s="184">
        <f>P19*V5</f>
        <v>0</v>
      </c>
      <c r="W19" s="208"/>
      <c r="X19" s="184">
        <f>R19*X5</f>
        <v>0</v>
      </c>
      <c r="Y19" s="185">
        <f>SUM(U19:X19)</f>
        <v>0</v>
      </c>
    </row>
    <row r="20" spans="1:25" x14ac:dyDescent="0.25">
      <c r="A20" s="144"/>
      <c r="B20" s="180" t="str">
        <f>E2</f>
        <v>Czechia</v>
      </c>
      <c r="C20" s="181">
        <f>IFERROR(F42-G42,0)</f>
        <v>0</v>
      </c>
      <c r="D20" s="181">
        <f>IFERROR(F40-G40,0)</f>
        <v>0</v>
      </c>
      <c r="E20" s="181">
        <f>IFERROR(G38-F38,0)</f>
        <v>-1</v>
      </c>
      <c r="F20" s="207"/>
      <c r="G20" s="182">
        <f>SUM(C20:F20)</f>
        <v>-1</v>
      </c>
      <c r="H20" s="186" t="str">
        <f t="shared" si="37"/>
        <v>Czechia</v>
      </c>
      <c r="I20" s="187">
        <f>C20*I6</f>
        <v>0</v>
      </c>
      <c r="J20" s="187">
        <f>D20*J6</f>
        <v>0</v>
      </c>
      <c r="K20" s="187">
        <f>E20*K6</f>
        <v>0</v>
      </c>
      <c r="L20" s="213"/>
      <c r="M20" s="188">
        <f>SUM(I20:L20)</f>
        <v>0</v>
      </c>
      <c r="N20" s="186" t="str">
        <f t="shared" si="38"/>
        <v>Czechia</v>
      </c>
      <c r="O20" s="187">
        <f>I20*O6</f>
        <v>0</v>
      </c>
      <c r="P20" s="187">
        <f>J20*P6</f>
        <v>0</v>
      </c>
      <c r="Q20" s="187">
        <f>K20*Q6</f>
        <v>0</v>
      </c>
      <c r="R20" s="213"/>
      <c r="S20" s="188">
        <f>SUM(O20:R20)</f>
        <v>0</v>
      </c>
      <c r="T20" s="186" t="str">
        <f t="shared" si="39"/>
        <v>Czechia</v>
      </c>
      <c r="U20" s="187">
        <f>O20*U6</f>
        <v>0</v>
      </c>
      <c r="V20" s="187">
        <f>P20*V6</f>
        <v>0</v>
      </c>
      <c r="W20" s="187">
        <f>Q20*W6</f>
        <v>0</v>
      </c>
      <c r="X20" s="213"/>
      <c r="Y20" s="188">
        <f>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Mexico</v>
      </c>
      <c r="D23" s="164" t="str">
        <f>C2</f>
        <v>South Africa</v>
      </c>
      <c r="E23" s="164" t="str">
        <f>D2</f>
        <v>Korea Republic</v>
      </c>
      <c r="F23" s="164" t="str">
        <f>E2</f>
        <v>Czechia</v>
      </c>
      <c r="G23" s="165" t="s">
        <v>26</v>
      </c>
      <c r="H23" s="169"/>
      <c r="I23" s="170" t="str">
        <f>C23</f>
        <v>Mexico</v>
      </c>
      <c r="J23" s="170" t="str">
        <f t="shared" ref="J23:L23" si="40">D23</f>
        <v>South Africa</v>
      </c>
      <c r="K23" s="170" t="str">
        <f t="shared" si="40"/>
        <v>Korea Republic</v>
      </c>
      <c r="L23" s="170" t="str">
        <f t="shared" si="40"/>
        <v>Czechia</v>
      </c>
      <c r="M23" s="171" t="s">
        <v>26</v>
      </c>
      <c r="N23" s="169"/>
      <c r="O23" s="170" t="str">
        <f>I23</f>
        <v>Mexico</v>
      </c>
      <c r="P23" s="170" t="str">
        <f t="shared" ref="P23" si="41">J23</f>
        <v>South Africa</v>
      </c>
      <c r="Q23" s="170" t="str">
        <f t="shared" ref="Q23" si="42">K23</f>
        <v>Korea Republic</v>
      </c>
      <c r="R23" s="170" t="str">
        <f t="shared" ref="R23" si="43">L23</f>
        <v>Czechia</v>
      </c>
      <c r="S23" s="171" t="s">
        <v>26</v>
      </c>
      <c r="T23" s="169"/>
      <c r="U23" s="170" t="str">
        <f>O23</f>
        <v>Mexico</v>
      </c>
      <c r="V23" s="170" t="str">
        <f t="shared" ref="V23" si="44">P23</f>
        <v>South Africa</v>
      </c>
      <c r="W23" s="170" t="str">
        <f t="shared" ref="W23" si="45">Q23</f>
        <v>Korea Republic</v>
      </c>
      <c r="X23" s="170" t="str">
        <f t="shared" ref="X23" si="46">R23</f>
        <v>Czechia</v>
      </c>
      <c r="Y23" s="171" t="s">
        <v>26</v>
      </c>
    </row>
    <row r="24" spans="1:25" x14ac:dyDescent="0.25">
      <c r="A24" s="143"/>
      <c r="B24" s="163" t="str">
        <f>B2</f>
        <v>Mexico</v>
      </c>
      <c r="C24" s="209"/>
      <c r="D24" s="164">
        <f>IF(F37="",0,F37)</f>
        <v>2</v>
      </c>
      <c r="E24" s="164">
        <f>IF(F39="",0,F39)</f>
        <v>0</v>
      </c>
      <c r="F24" s="164">
        <f>IF(G42="",0,G42)</f>
        <v>0</v>
      </c>
      <c r="G24" s="165">
        <f>SUM(C24:F24)</f>
        <v>2</v>
      </c>
      <c r="H24" s="169" t="str">
        <f>B24</f>
        <v>Mexico</v>
      </c>
      <c r="I24" s="214"/>
      <c r="J24" s="170">
        <f>D24*J3</f>
        <v>0</v>
      </c>
      <c r="K24" s="170">
        <f>E24*K3</f>
        <v>0</v>
      </c>
      <c r="L24" s="170">
        <f>F24*L3</f>
        <v>0</v>
      </c>
      <c r="M24" s="171">
        <f>SUM(I24:L24)</f>
        <v>0</v>
      </c>
      <c r="N24" s="169" t="str">
        <f>H24</f>
        <v>Mexico</v>
      </c>
      <c r="O24" s="214"/>
      <c r="P24" s="170">
        <f>J24*P3</f>
        <v>0</v>
      </c>
      <c r="Q24" s="170">
        <f>K24*Q3</f>
        <v>0</v>
      </c>
      <c r="R24" s="170">
        <f>L24*R3</f>
        <v>0</v>
      </c>
      <c r="S24" s="171">
        <f>SUM(O24:R24)</f>
        <v>0</v>
      </c>
      <c r="T24" s="169" t="str">
        <f>N24</f>
        <v>Mexico</v>
      </c>
      <c r="U24" s="214"/>
      <c r="V24" s="170">
        <f>P24*V3</f>
        <v>0</v>
      </c>
      <c r="W24" s="170">
        <f>Q24*W3</f>
        <v>0</v>
      </c>
      <c r="X24" s="170">
        <f>R24*X3</f>
        <v>0</v>
      </c>
      <c r="Y24" s="171">
        <f>SUM(U24:X24)</f>
        <v>0</v>
      </c>
    </row>
    <row r="25" spans="1:25" x14ac:dyDescent="0.25">
      <c r="A25" s="143"/>
      <c r="B25" s="163" t="str">
        <f>C2</f>
        <v>South Africa</v>
      </c>
      <c r="C25" s="164">
        <f>IF(G37="",0,G37)</f>
        <v>0</v>
      </c>
      <c r="D25" s="209"/>
      <c r="E25" s="164">
        <f>IF(F41="",0,F41)</f>
        <v>0</v>
      </c>
      <c r="F25" s="164">
        <f>IF(G40="",0,G40)</f>
        <v>0</v>
      </c>
      <c r="G25" s="165">
        <f>SUM(C25:F25)</f>
        <v>0</v>
      </c>
      <c r="H25" s="169" t="str">
        <f t="shared" ref="H25:H27" si="47">B25</f>
        <v>South Africa</v>
      </c>
      <c r="I25" s="170">
        <f>C25*I4</f>
        <v>0</v>
      </c>
      <c r="J25" s="214"/>
      <c r="K25" s="170">
        <f>E25*K4</f>
        <v>0</v>
      </c>
      <c r="L25" s="170">
        <f>F25*L4</f>
        <v>0</v>
      </c>
      <c r="M25" s="171">
        <f>SUM(I25:L25)</f>
        <v>0</v>
      </c>
      <c r="N25" s="169" t="str">
        <f t="shared" ref="N25:N27" si="48">H25</f>
        <v>South Africa</v>
      </c>
      <c r="O25" s="170">
        <f>I25*O4</f>
        <v>0</v>
      </c>
      <c r="P25" s="214"/>
      <c r="Q25" s="170">
        <f>K25*Q4</f>
        <v>0</v>
      </c>
      <c r="R25" s="170">
        <f>L25*R4</f>
        <v>0</v>
      </c>
      <c r="S25" s="171">
        <f>SUM(O25:R25)</f>
        <v>0</v>
      </c>
      <c r="T25" s="169" t="str">
        <f t="shared" ref="T25:T27" si="49">N25</f>
        <v>South Africa</v>
      </c>
      <c r="U25" s="170">
        <f>O25*U4</f>
        <v>0</v>
      </c>
      <c r="V25" s="214"/>
      <c r="W25" s="170">
        <f>Q25*W4</f>
        <v>0</v>
      </c>
      <c r="X25" s="170">
        <f>R25*X4</f>
        <v>0</v>
      </c>
      <c r="Y25" s="171">
        <f>SUM(U25:X25)</f>
        <v>0</v>
      </c>
    </row>
    <row r="26" spans="1:25" x14ac:dyDescent="0.25">
      <c r="A26" s="143"/>
      <c r="B26" s="163" t="str">
        <f>D2</f>
        <v>Korea Republic</v>
      </c>
      <c r="C26" s="164">
        <f>IF(G39="",0,G39)</f>
        <v>0</v>
      </c>
      <c r="D26" s="164">
        <f>IF(G41="",0,G41)</f>
        <v>0</v>
      </c>
      <c r="E26" s="209"/>
      <c r="F26" s="164">
        <f>IF(F38="",0,F38)</f>
        <v>2</v>
      </c>
      <c r="G26" s="165">
        <f>SUM(C26:F26)</f>
        <v>2</v>
      </c>
      <c r="H26" s="169" t="str">
        <f t="shared" si="47"/>
        <v>Korea Republic</v>
      </c>
      <c r="I26" s="170">
        <f>C26*I5</f>
        <v>0</v>
      </c>
      <c r="J26" s="170">
        <f>D26*J5</f>
        <v>0</v>
      </c>
      <c r="K26" s="214"/>
      <c r="L26" s="170">
        <f>F26*L5</f>
        <v>0</v>
      </c>
      <c r="M26" s="171">
        <f>SUM(I26:L26)</f>
        <v>0</v>
      </c>
      <c r="N26" s="169" t="str">
        <f t="shared" si="48"/>
        <v>Korea Republic</v>
      </c>
      <c r="O26" s="170">
        <f>I26*O5</f>
        <v>0</v>
      </c>
      <c r="P26" s="170">
        <f>J26*P5</f>
        <v>0</v>
      </c>
      <c r="Q26" s="214"/>
      <c r="R26" s="170">
        <f>L26*R5</f>
        <v>0</v>
      </c>
      <c r="S26" s="171">
        <f>SUM(O26:R26)</f>
        <v>0</v>
      </c>
      <c r="T26" s="169" t="str">
        <f t="shared" si="49"/>
        <v>Korea Republic</v>
      </c>
      <c r="U26" s="170">
        <f>O26*U5</f>
        <v>0</v>
      </c>
      <c r="V26" s="170">
        <f>P26*V5</f>
        <v>0</v>
      </c>
      <c r="W26" s="214"/>
      <c r="X26" s="170">
        <f>R26*X5</f>
        <v>0</v>
      </c>
      <c r="Y26" s="171">
        <f>SUM(U26:X26)</f>
        <v>0</v>
      </c>
    </row>
    <row r="27" spans="1:25" x14ac:dyDescent="0.25">
      <c r="A27" s="143"/>
      <c r="B27" s="166" t="str">
        <f>E2</f>
        <v>Czechia</v>
      </c>
      <c r="C27" s="167">
        <f>IF(F42="",0,F42)</f>
        <v>0</v>
      </c>
      <c r="D27" s="167">
        <f>IF(F40="",0,F40)</f>
        <v>0</v>
      </c>
      <c r="E27" s="167">
        <f>IF(G38="",0,G38)</f>
        <v>1</v>
      </c>
      <c r="F27" s="210"/>
      <c r="G27" s="168">
        <f>SUM(C27:F27)</f>
        <v>1</v>
      </c>
      <c r="H27" s="172" t="str">
        <f t="shared" si="47"/>
        <v>Czechia</v>
      </c>
      <c r="I27" s="173">
        <f>C27*I6</f>
        <v>0</v>
      </c>
      <c r="J27" s="173">
        <f>D27*J6</f>
        <v>0</v>
      </c>
      <c r="K27" s="173">
        <f>E27*K6</f>
        <v>0</v>
      </c>
      <c r="L27" s="215"/>
      <c r="M27" s="174">
        <f>SUM(I27:L27)</f>
        <v>0</v>
      </c>
      <c r="N27" s="172" t="str">
        <f t="shared" si="48"/>
        <v>Czechia</v>
      </c>
      <c r="O27" s="173">
        <f>I27*O6</f>
        <v>0</v>
      </c>
      <c r="P27" s="173">
        <f>J27*P6</f>
        <v>0</v>
      </c>
      <c r="Q27" s="173">
        <f>K27*Q6</f>
        <v>0</v>
      </c>
      <c r="R27" s="215"/>
      <c r="S27" s="174">
        <f>SUM(O27:R27)</f>
        <v>0</v>
      </c>
      <c r="T27" s="172" t="str">
        <f t="shared" si="49"/>
        <v>Czechia</v>
      </c>
      <c r="U27" s="173">
        <f>O27*U6</f>
        <v>0</v>
      </c>
      <c r="V27" s="173">
        <f>P27*V6</f>
        <v>0</v>
      </c>
      <c r="W27" s="173">
        <f>Q27*W6</f>
        <v>0</v>
      </c>
      <c r="X27" s="215"/>
      <c r="Y27" s="174">
        <f>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232" t="s">
        <v>631</v>
      </c>
      <c r="E29" s="232" t="s">
        <v>632</v>
      </c>
      <c r="F29" s="232" t="s">
        <v>633</v>
      </c>
      <c r="G29" s="232" t="s">
        <v>676</v>
      </c>
      <c r="H29" s="232" t="s">
        <v>411</v>
      </c>
      <c r="I29" s="232" t="s">
        <v>661</v>
      </c>
      <c r="J29" s="232" t="s">
        <v>634</v>
      </c>
      <c r="K29" s="233" t="s">
        <v>635</v>
      </c>
    </row>
    <row r="30" spans="1:25" x14ac:dyDescent="0.25">
      <c r="A30" s="234">
        <f>K30</f>
        <v>1</v>
      </c>
      <c r="B30" s="235" t="str">
        <f>B2</f>
        <v>Mexico</v>
      </c>
      <c r="C30" s="236">
        <f>VLOOKUP($B30,Lookup10,3,FALSE)</f>
        <v>1</v>
      </c>
      <c r="D30" s="236">
        <f>VLOOKUP($B30,Lookup10,7,FALSE)</f>
        <v>2</v>
      </c>
      <c r="E30" s="236">
        <f>VLOOKUP($B30,Lookup10,8,FALSE)</f>
        <v>0</v>
      </c>
      <c r="F30" s="236">
        <f>VLOOKUP($B30,Lookup10,9,FALSE)</f>
        <v>2</v>
      </c>
      <c r="G30" s="237">
        <f>Z10</f>
        <v>3</v>
      </c>
      <c r="H30" s="236">
        <f>VLOOKUP($B30,Lookup10,11,FALSE)</f>
        <v>5</v>
      </c>
      <c r="I30" s="236">
        <f>VLOOKUP($B30,Lookup11,2,FALSE)</f>
        <v>13</v>
      </c>
      <c r="J30" s="238">
        <f>ROUND(D30*D$34+F30*F$34+G30*G$34-H30*H$34-I30*I$34,8)</f>
        <v>30201.948700000001</v>
      </c>
      <c r="K30" s="239">
        <f>RANK(J30,J$30:J$33,0)</f>
        <v>1</v>
      </c>
    </row>
    <row r="31" spans="1:25" x14ac:dyDescent="0.25">
      <c r="A31" s="234">
        <f t="shared" ref="A31:A33" si="50">K31</f>
        <v>4</v>
      </c>
      <c r="B31" s="235" t="str">
        <f>C2</f>
        <v>South Africa</v>
      </c>
      <c r="C31" s="236">
        <f>VLOOKUP($B31,Lookup10,3,FALSE)</f>
        <v>1</v>
      </c>
      <c r="D31" s="236">
        <f>VLOOKUP($B31,Lookup10,7,FALSE)</f>
        <v>0</v>
      </c>
      <c r="E31" s="236">
        <f>VLOOKUP($B31,Lookup10,8,FALSE)</f>
        <v>2</v>
      </c>
      <c r="F31" s="236">
        <f>VLOOKUP($B31,Lookup10,9,FALSE)</f>
        <v>-2</v>
      </c>
      <c r="G31" s="237">
        <f t="shared" ref="G31:G33" si="51">Z11</f>
        <v>1</v>
      </c>
      <c r="H31" s="236">
        <f>VLOOKUP($B31,Lookup10,11,FALSE)</f>
        <v>10</v>
      </c>
      <c r="I31" s="236">
        <f>VLOOKUP($B31,Lookup11,2,FALSE)</f>
        <v>40</v>
      </c>
      <c r="J31" s="238">
        <f t="shared" ref="J31:J33" si="52">ROUND(D31*D$34+F31*F$34+G31*G$34-H31*H$34-I31*I$34,8)</f>
        <v>9799.8960000000006</v>
      </c>
      <c r="K31" s="239">
        <f>RANK(J31,J$30:J$33,0)</f>
        <v>4</v>
      </c>
    </row>
    <row r="32" spans="1:25" x14ac:dyDescent="0.25">
      <c r="A32" s="234">
        <f t="shared" si="50"/>
        <v>2</v>
      </c>
      <c r="B32" s="235" t="str">
        <f>D2</f>
        <v>Korea Republic</v>
      </c>
      <c r="C32" s="236">
        <f>VLOOKUP($B32,Lookup10,3,FALSE)</f>
        <v>1</v>
      </c>
      <c r="D32" s="236">
        <f>VLOOKUP($B32,Lookup10,7,FALSE)</f>
        <v>2</v>
      </c>
      <c r="E32" s="236">
        <f>VLOOKUP($B32,Lookup10,8,FALSE)</f>
        <v>1</v>
      </c>
      <c r="F32" s="236">
        <f>VLOOKUP($B32,Lookup10,9,FALSE)</f>
        <v>1</v>
      </c>
      <c r="G32" s="237">
        <f t="shared" si="51"/>
        <v>3</v>
      </c>
      <c r="H32" s="236">
        <f>VLOOKUP($B32,Lookup10,11,FALSE)</f>
        <v>1</v>
      </c>
      <c r="I32" s="236">
        <f>VLOOKUP($B32,Lookup11,2,FALSE)</f>
        <v>23</v>
      </c>
      <c r="J32" s="238">
        <f t="shared" si="52"/>
        <v>30101.987700000001</v>
      </c>
      <c r="K32" s="239">
        <f>RANK(J32,J$30:J$33,0)</f>
        <v>2</v>
      </c>
    </row>
    <row r="33" spans="1:16" x14ac:dyDescent="0.25">
      <c r="A33" s="234">
        <f t="shared" si="50"/>
        <v>3</v>
      </c>
      <c r="B33" s="235" t="str">
        <f>E2</f>
        <v>Czechia</v>
      </c>
      <c r="C33" s="236">
        <f>VLOOKUP($B33,Lookup10,3,FALSE)</f>
        <v>1</v>
      </c>
      <c r="D33" s="236">
        <f>VLOOKUP($B33,Lookup10,7,FALSE)</f>
        <v>1</v>
      </c>
      <c r="E33" s="236">
        <f>VLOOKUP($B33,Lookup10,8,FALSE)</f>
        <v>2</v>
      </c>
      <c r="F33" s="236">
        <f>VLOOKUP($B33,Lookup10,9,FALSE)</f>
        <v>-1</v>
      </c>
      <c r="G33" s="237">
        <f t="shared" si="51"/>
        <v>1</v>
      </c>
      <c r="H33" s="236">
        <f>VLOOKUP($B33,Lookup10,11,FALSE)</f>
        <v>0</v>
      </c>
      <c r="I33" s="236">
        <f>VLOOKUP($B33,Lookup11,2,FALSE)</f>
        <v>32</v>
      </c>
      <c r="J33" s="238">
        <f t="shared" si="52"/>
        <v>9900.9968000000008</v>
      </c>
      <c r="K33" s="239">
        <f>RANK(J33,J$30:J$33,0)</f>
        <v>3</v>
      </c>
    </row>
    <row r="34" spans="1:16" x14ac:dyDescent="0.25">
      <c r="A34" s="240"/>
      <c r="B34" s="241" t="s">
        <v>636</v>
      </c>
      <c r="C34" s="242">
        <f>SUM(C30:C33)</f>
        <v>4</v>
      </c>
      <c r="D34" s="205">
        <v>1</v>
      </c>
      <c r="E34" s="205"/>
      <c r="F34" s="205">
        <v>100</v>
      </c>
      <c r="G34" s="205">
        <v>10000</v>
      </c>
      <c r="H34" s="205">
        <v>0.01</v>
      </c>
      <c r="I34" s="205">
        <v>1E-4</v>
      </c>
      <c r="J34" s="242"/>
      <c r="K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MexicoSouth Africa</v>
      </c>
      <c r="B37" s="158" t="str">
        <f>B1&amp;C1</f>
        <v>A1A2</v>
      </c>
      <c r="C37" s="158">
        <f>IF(Data!Q3="",0,1)</f>
        <v>1</v>
      </c>
      <c r="D37" s="150" t="str">
        <f>B2</f>
        <v>Mexico</v>
      </c>
      <c r="E37" s="150" t="str">
        <f>C2</f>
        <v>South Africa</v>
      </c>
      <c r="F37" s="158">
        <f t="shared" ref="F37:F42" si="53">VLOOKUP($B37,Lookup12,2,FALSE)</f>
        <v>2</v>
      </c>
      <c r="G37" s="158">
        <f t="shared" ref="G37:G42" si="54">VLOOKUP($B37,Lookup12,3,FALSE)</f>
        <v>0</v>
      </c>
      <c r="H37" s="158">
        <f t="shared" ref="H37:H42" si="55">IF(C37=0,0,IF(F37&lt;G37,Lpts,IF(F37&gt;G37,Wpts,Dpts)))</f>
        <v>3</v>
      </c>
      <c r="I37" s="158">
        <f t="shared" ref="I37:I42" si="56">IF(C37=0,0,IF(G37&lt;F37,Lpts,IF(G37&gt;F37,Wpts,Dpts)))</f>
        <v>0</v>
      </c>
      <c r="J37" s="158">
        <f t="shared" ref="J37:J42" si="57">VLOOKUP($B37,Lookup12,4,FALSE)</f>
        <v>5</v>
      </c>
      <c r="K37" s="158">
        <f t="shared" ref="K37:K42" si="58">VLOOKUP($B37,Lookup12,5,FALSE)</f>
        <v>10</v>
      </c>
      <c r="L37" s="143"/>
      <c r="M37" s="143"/>
      <c r="N37" s="143"/>
      <c r="O37" s="143"/>
      <c r="P37" s="143"/>
    </row>
    <row r="38" spans="1:16" x14ac:dyDescent="0.25">
      <c r="A38" s="149" t="str">
        <f>D2&amp;E2</f>
        <v>Korea RepublicCzechia</v>
      </c>
      <c r="B38" s="158" t="str">
        <f>D1&amp;E1</f>
        <v>A3A4</v>
      </c>
      <c r="C38" s="158">
        <f>IF(Data!Q4="",0,1)</f>
        <v>1</v>
      </c>
      <c r="D38" s="150" t="str">
        <f>D2</f>
        <v>Korea Republic</v>
      </c>
      <c r="E38" s="150" t="str">
        <f>E2</f>
        <v>Czechia</v>
      </c>
      <c r="F38" s="158">
        <f t="shared" si="53"/>
        <v>2</v>
      </c>
      <c r="G38" s="158">
        <f t="shared" si="54"/>
        <v>1</v>
      </c>
      <c r="H38" s="158">
        <f t="shared" si="55"/>
        <v>3</v>
      </c>
      <c r="I38" s="158">
        <f t="shared" si="56"/>
        <v>0</v>
      </c>
      <c r="J38" s="158">
        <f t="shared" si="57"/>
        <v>1</v>
      </c>
      <c r="K38" s="158">
        <f t="shared" si="58"/>
        <v>0</v>
      </c>
      <c r="L38" s="143"/>
      <c r="M38" s="143"/>
      <c r="N38" s="143"/>
      <c r="O38" s="143"/>
      <c r="P38" s="143"/>
    </row>
    <row r="39" spans="1:16" x14ac:dyDescent="0.25">
      <c r="A39" s="149" t="str">
        <f>B2&amp;D2</f>
        <v>MexicoKorea Republic</v>
      </c>
      <c r="B39" s="158" t="str">
        <f>B1&amp;D1</f>
        <v>A1A3</v>
      </c>
      <c r="C39" s="158">
        <f>IF(Data!Q5="",0,1)</f>
        <v>0</v>
      </c>
      <c r="D39" s="150" t="str">
        <f>B2</f>
        <v>Mexico</v>
      </c>
      <c r="E39" s="150" t="str">
        <f>D2</f>
        <v>Korea Republic</v>
      </c>
      <c r="F39" s="158" t="str">
        <f t="shared" si="53"/>
        <v/>
      </c>
      <c r="G39" s="158" t="str">
        <f t="shared" si="54"/>
        <v/>
      </c>
      <c r="H39" s="158">
        <f t="shared" si="55"/>
        <v>0</v>
      </c>
      <c r="I39" s="158">
        <f t="shared" si="56"/>
        <v>0</v>
      </c>
      <c r="J39" s="158" t="str">
        <f t="shared" si="57"/>
        <v/>
      </c>
      <c r="K39" s="158" t="str">
        <f t="shared" si="58"/>
        <v/>
      </c>
      <c r="L39" s="143"/>
      <c r="M39" s="143"/>
      <c r="N39" s="143"/>
      <c r="O39" s="143"/>
      <c r="P39" s="143"/>
    </row>
    <row r="40" spans="1:16" x14ac:dyDescent="0.25">
      <c r="A40" s="149" t="str">
        <f>E2&amp;C2</f>
        <v>CzechiaSouth Africa</v>
      </c>
      <c r="B40" s="158" t="str">
        <f>E1&amp;C1</f>
        <v>A4A2</v>
      </c>
      <c r="C40" s="158">
        <f>IF(Data!Q6="",0,1)</f>
        <v>0</v>
      </c>
      <c r="D40" s="150" t="str">
        <f>E2</f>
        <v>Czechia</v>
      </c>
      <c r="E40" s="150" t="str">
        <f>C2</f>
        <v>South Africa</v>
      </c>
      <c r="F40" s="158" t="str">
        <f t="shared" si="53"/>
        <v/>
      </c>
      <c r="G40" s="158" t="str">
        <f t="shared" si="54"/>
        <v/>
      </c>
      <c r="H40" s="158">
        <f t="shared" si="55"/>
        <v>0</v>
      </c>
      <c r="I40" s="158">
        <f t="shared" si="56"/>
        <v>0</v>
      </c>
      <c r="J40" s="158" t="str">
        <f t="shared" si="57"/>
        <v/>
      </c>
      <c r="K40" s="158" t="str">
        <f t="shared" si="58"/>
        <v/>
      </c>
      <c r="L40" s="143"/>
      <c r="M40" s="143"/>
      <c r="N40" s="143"/>
      <c r="O40" s="143"/>
      <c r="P40" s="143"/>
    </row>
    <row r="41" spans="1:16" x14ac:dyDescent="0.25">
      <c r="A41" s="149" t="str">
        <f>C2&amp;D2</f>
        <v>South AfricaKorea Republic</v>
      </c>
      <c r="B41" s="158" t="str">
        <f>C1&amp;D1</f>
        <v>A2A3</v>
      </c>
      <c r="C41" s="158">
        <f>IF(Data!Q7="",0,1)</f>
        <v>0</v>
      </c>
      <c r="D41" s="150" t="str">
        <f>C2</f>
        <v>South Africa</v>
      </c>
      <c r="E41" s="150" t="str">
        <f>D2</f>
        <v>Korea Republic</v>
      </c>
      <c r="F41" s="158" t="str">
        <f t="shared" si="53"/>
        <v/>
      </c>
      <c r="G41" s="158" t="str">
        <f t="shared" si="54"/>
        <v/>
      </c>
      <c r="H41" s="158">
        <f t="shared" si="55"/>
        <v>0</v>
      </c>
      <c r="I41" s="158">
        <f t="shared" si="56"/>
        <v>0</v>
      </c>
      <c r="J41" s="158" t="str">
        <f t="shared" si="57"/>
        <v/>
      </c>
      <c r="K41" s="158" t="str">
        <f t="shared" si="58"/>
        <v/>
      </c>
      <c r="L41" s="143"/>
      <c r="M41" s="143"/>
      <c r="N41" s="143"/>
      <c r="O41" s="143"/>
      <c r="P41" s="143"/>
    </row>
    <row r="42" spans="1:16" x14ac:dyDescent="0.25">
      <c r="A42" s="151" t="str">
        <f>E2&amp;B2</f>
        <v>CzechiaMexico</v>
      </c>
      <c r="B42" s="159" t="str">
        <f>E1&amp;B1</f>
        <v>A4A1</v>
      </c>
      <c r="C42" s="159">
        <f>IF(Data!Q8="",0,1)</f>
        <v>0</v>
      </c>
      <c r="D42" s="152" t="str">
        <f>E2</f>
        <v>Czechia</v>
      </c>
      <c r="E42" s="152" t="str">
        <f>B2</f>
        <v>Mexico</v>
      </c>
      <c r="F42" s="159" t="str">
        <f t="shared" si="53"/>
        <v/>
      </c>
      <c r="G42" s="159" t="str">
        <f t="shared" si="54"/>
        <v/>
      </c>
      <c r="H42" s="159">
        <f t="shared" si="55"/>
        <v>0</v>
      </c>
      <c r="I42" s="159">
        <f t="shared" si="56"/>
        <v>0</v>
      </c>
      <c r="J42" s="159" t="str">
        <f t="shared" si="57"/>
        <v/>
      </c>
      <c r="K42" s="159" t="str">
        <f t="shared" si="58"/>
        <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$B45</f>
        <v>Mexico</v>
      </c>
      <c r="M44" s="154" t="str">
        <f>$B46</f>
        <v>Korea Republic</v>
      </c>
      <c r="N44" s="154" t="str">
        <f>$B47</f>
        <v>Czechia</v>
      </c>
      <c r="O44" s="154" t="str">
        <f>$B48</f>
        <v>South Africa</v>
      </c>
      <c r="P44" s="155"/>
    </row>
    <row r="45" spans="1:16" x14ac:dyDescent="0.25">
      <c r="A45" s="156">
        <v>1</v>
      </c>
      <c r="B45" s="156" t="str">
        <f>VLOOKUP($A45,RankingA,2,FALSE)</f>
        <v>Mexico</v>
      </c>
      <c r="C45" s="157">
        <f>VLOOKUP($B45,Lookup10,3,FALSE)</f>
        <v>1</v>
      </c>
      <c r="D45" s="157">
        <f>VLOOKUP($B45,Lookup10,4,FALSE)</f>
        <v>1</v>
      </c>
      <c r="E45" s="157">
        <f>VLOOKUP($B45,Lookup10,5,FALSE)</f>
        <v>0</v>
      </c>
      <c r="F45" s="157">
        <f>VLOOKUP($B45,Lookup10,6,FALSE)</f>
        <v>0</v>
      </c>
      <c r="G45" s="157">
        <f>VLOOKUP($B45,Lookup10,7,FALSE)</f>
        <v>2</v>
      </c>
      <c r="H45" s="157">
        <f>VLOOKUP($B45,Lookup10,8,FALSE)</f>
        <v>0</v>
      </c>
      <c r="I45" s="157">
        <f>VLOOKUP($B45,Lookup10,9,FALSE)</f>
        <v>2</v>
      </c>
      <c r="J45" s="157">
        <f>VLOOKUP($B45,Lookup10,10,FALSE)</f>
        <v>3</v>
      </c>
      <c r="K45" s="201" t="str">
        <f>B45</f>
        <v>Mexico</v>
      </c>
      <c r="L45" s="203"/>
      <c r="M45" s="202" t="str">
        <f>IFERROR(VLOOKUP($B45&amp;M$44,A37:G42,6,FALSE)&amp;"-"&amp;VLOOKUP($B45&amp;M$44,A37:G42,7,FALSE),VLOOKUP(M$44&amp;$B45,A37:G42,7,FALSE)&amp;"-"&amp;VLOOKUP(M$44&amp;$B45,A37:G42,6,FALSE))</f>
        <v>-</v>
      </c>
      <c r="N45" s="202" t="str">
        <f>IFERROR(VLOOKUP($B45&amp;N$44,A37:G42,6,FALSE)&amp;"-"&amp;VLOOKUP($B45&amp;N$44,A37:G42,7,FALSE),VLOOKUP(N$44&amp;$B45,A37:G42,7,FALSE)&amp;"-"&amp;VLOOKUP(N$44&amp;$B45,A37:G42,6,FALSE))</f>
        <v>-</v>
      </c>
      <c r="O45" s="202" t="str">
        <f>IFERROR(VLOOKUP($B45&amp;O$44,A37:G42,6,FALSE)&amp;"-"&amp;VLOOKUP($B45&amp;O$44,A37:G42,7,FALSE),VLOOKUP(O$44&amp;$B45,A37:G42,7,FALSE)&amp;"-"&amp;VLOOKUP(O$44&amp;$B45,A37:G42,6,FALSE))</f>
        <v>2-0</v>
      </c>
      <c r="P45" s="155"/>
    </row>
    <row r="46" spans="1:16" x14ac:dyDescent="0.25">
      <c r="A46" s="156">
        <v>2</v>
      </c>
      <c r="B46" s="156" t="str">
        <f>VLOOKUP($A46,RankingA,2,FALSE)</f>
        <v>Korea Republic</v>
      </c>
      <c r="C46" s="157">
        <f>VLOOKUP($B46,Lookup10,3,FALSE)</f>
        <v>1</v>
      </c>
      <c r="D46" s="157">
        <f>VLOOKUP($B46,Lookup10,4,FALSE)</f>
        <v>1</v>
      </c>
      <c r="E46" s="157">
        <f>VLOOKUP($B46,Lookup10,5,FALSE)</f>
        <v>0</v>
      </c>
      <c r="F46" s="157">
        <f>VLOOKUP($B46,Lookup10,6,FALSE)</f>
        <v>0</v>
      </c>
      <c r="G46" s="157">
        <f>VLOOKUP($B46,Lookup10,7,FALSE)</f>
        <v>2</v>
      </c>
      <c r="H46" s="157">
        <f>VLOOKUP($B46,Lookup10,8,FALSE)</f>
        <v>1</v>
      </c>
      <c r="I46" s="157">
        <f>VLOOKUP($B46,Lookup10,9,FALSE)</f>
        <v>1</v>
      </c>
      <c r="J46" s="157">
        <f>VLOOKUP($B46,Lookup10,10,FALSE)</f>
        <v>3</v>
      </c>
      <c r="K46" s="201" t="str">
        <f>B46</f>
        <v>Korea Republic</v>
      </c>
      <c r="L46" s="202" t="str">
        <f>IFERROR(VLOOKUP($B46&amp;L$44,A37:G42,6,FALSE)&amp;"-"&amp;VLOOKUP($B46&amp;L$44,A37:G42,7,FALSE),VLOOKUP(L$44&amp;$B46,A37:G42,7,FALSE)&amp;"-"&amp;VLOOKUP(L$44&amp;$B46,A37:G42,6,FALSE))</f>
        <v>-</v>
      </c>
      <c r="M46" s="203"/>
      <c r="N46" s="202" t="str">
        <f>IFERROR(VLOOKUP($B46&amp;N$44,A37:G42,6,FALSE)&amp;"-"&amp;VLOOKUP($B46&amp;N$44,A37:G42,7,FALSE),VLOOKUP(N$44&amp;$B46,A37:G42,7,FALSE)&amp;"-"&amp;VLOOKUP(N$44&amp;$B46,A37:G42,6,FALSE))</f>
        <v>2-1</v>
      </c>
      <c r="O46" s="202" t="str">
        <f>IFERROR(VLOOKUP($B46&amp;O$44,A37:G42,6,FALSE)&amp;"-"&amp;VLOOKUP($B46&amp;O$44,A37:G42,7,FALSE),VLOOKUP(O$44&amp;$B46,A37:G42,7,FALSE)&amp;"-"&amp;VLOOKUP(O$44&amp;$B46,A37:G42,6,FALSE))</f>
        <v>-</v>
      </c>
      <c r="P46" s="155"/>
    </row>
    <row r="47" spans="1:16" x14ac:dyDescent="0.25">
      <c r="A47" s="156">
        <v>3</v>
      </c>
      <c r="B47" s="156" t="str">
        <f>VLOOKUP($A47,RankingA,2,FALSE)</f>
        <v>Czechia</v>
      </c>
      <c r="C47" s="157">
        <f>VLOOKUP($B47,Lookup10,3,FALSE)</f>
        <v>1</v>
      </c>
      <c r="D47" s="157">
        <f>VLOOKUP($B47,Lookup10,4,FALSE)</f>
        <v>0</v>
      </c>
      <c r="E47" s="157">
        <f>VLOOKUP($B47,Lookup10,5,FALSE)</f>
        <v>0</v>
      </c>
      <c r="F47" s="157">
        <f>VLOOKUP($B47,Lookup10,6,FALSE)</f>
        <v>1</v>
      </c>
      <c r="G47" s="157">
        <f>VLOOKUP($B47,Lookup10,7,FALSE)</f>
        <v>1</v>
      </c>
      <c r="H47" s="157">
        <f>VLOOKUP($B47,Lookup10,8,FALSE)</f>
        <v>2</v>
      </c>
      <c r="I47" s="157">
        <f>VLOOKUP($B47,Lookup10,9,FALSE)</f>
        <v>-1</v>
      </c>
      <c r="J47" s="157">
        <f>VLOOKUP($B47,Lookup10,10,FALSE)</f>
        <v>0</v>
      </c>
      <c r="K47" s="201" t="str">
        <f>B47</f>
        <v>Czechia</v>
      </c>
      <c r="L47" s="202" t="str">
        <f>IFERROR(VLOOKUP($B47&amp;L$44,A37:G42,6,FALSE)&amp;"-"&amp;VLOOKUP($B47&amp;L$44,A37:G42,7,FALSE),VLOOKUP(L$44&amp;$B47,A37:G42,7,FALSE)&amp;"-"&amp;VLOOKUP(L$44&amp;$B47,A37:G42,6,FALSE))</f>
        <v>-</v>
      </c>
      <c r="M47" s="202" t="str">
        <f>IFERROR(VLOOKUP($B47&amp;M$44,A37:G42,6,FALSE)&amp;"-"&amp;VLOOKUP($B47&amp;M$44,A37:G42,7,FALSE),VLOOKUP(M$44&amp;$B47,A37:G42,7,FALSE)&amp;"-"&amp;VLOOKUP(M$44&amp;$B47,A37:G42,6,FALSE))</f>
        <v>1-2</v>
      </c>
      <c r="N47" s="203"/>
      <c r="O47" s="202" t="str">
        <f>IFERROR(VLOOKUP($B47&amp;O$44,A37:G42,6,FALSE)&amp;"-"&amp;VLOOKUP($B47&amp;O$44,A37:G42,7,FALSE),VLOOKUP(O$44&amp;$B47,A37:G42,7,FALSE)&amp;"-"&amp;VLOOKUP(O$44&amp;$B47,A37:G42,6,FALSE))</f>
        <v>-</v>
      </c>
      <c r="P47" s="155"/>
    </row>
    <row r="48" spans="1:16" x14ac:dyDescent="0.25">
      <c r="A48" s="156">
        <v>4</v>
      </c>
      <c r="B48" s="156" t="str">
        <f>VLOOKUP($A48,RankingA,2,FALSE)</f>
        <v>South Africa</v>
      </c>
      <c r="C48" s="157">
        <f>VLOOKUP($B48,Lookup10,3,FALSE)</f>
        <v>1</v>
      </c>
      <c r="D48" s="157">
        <f>VLOOKUP($B48,Lookup10,4,FALSE)</f>
        <v>0</v>
      </c>
      <c r="E48" s="157">
        <f>VLOOKUP($B48,Lookup10,5,FALSE)</f>
        <v>0</v>
      </c>
      <c r="F48" s="157">
        <f>VLOOKUP($B48,Lookup10,6,FALSE)</f>
        <v>1</v>
      </c>
      <c r="G48" s="157">
        <f>VLOOKUP($B48,Lookup10,7,FALSE)</f>
        <v>0</v>
      </c>
      <c r="H48" s="157">
        <f>VLOOKUP($B48,Lookup10,8,FALSE)</f>
        <v>2</v>
      </c>
      <c r="I48" s="157">
        <f>VLOOKUP($B48,Lookup10,9,FALSE)</f>
        <v>-2</v>
      </c>
      <c r="J48" s="157">
        <f>VLOOKUP($B48,Lookup10,10,FALSE)</f>
        <v>0</v>
      </c>
      <c r="K48" s="201" t="str">
        <f>B48</f>
        <v>South Africa</v>
      </c>
      <c r="L48" s="202" t="str">
        <f>IFERROR(VLOOKUP($B48&amp;L$44,A37:G42,6,FALSE)&amp;"-"&amp;VLOOKUP($B48&amp;L$44,A37:G42,7,FALSE),VLOOKUP(L$44&amp;$B48,A37:G42,7,FALSE)&amp;"-"&amp;VLOOKUP(L$44&amp;$B48,A37:G42,6,FALSE))</f>
        <v>0-2</v>
      </c>
      <c r="M48" s="202" t="str">
        <f>IFERROR(VLOOKUP($B48&amp;M$44,A37:G42,6,FALSE)&amp;"-"&amp;VLOOKUP($B48&amp;M$44,A37:G42,7,FALSE),VLOOKUP(M$44&amp;$B48,A37:G42,7,FALSE)&amp;"-"&amp;VLOOKUP(M$44&amp;$B48,A37:G42,6,FALSE))</f>
        <v>-</v>
      </c>
      <c r="N48" s="202" t="str">
        <f>IFERROR(VLOOKUP($B48&amp;N$44,A37:G42,6,FALSE)&amp;"-"&amp;VLOOKUP($B48&amp;N$44,A37:G42,7,FALSE),VLOOKUP(N$44&amp;$B48,A37:G42,7,FALSE)&amp;"-"&amp;VLOOKUP(N$44&amp;$B48,A37:G42,6,FALSE))</f>
        <v>-</v>
      </c>
      <c r="O48" s="203"/>
      <c r="P48" s="155"/>
    </row>
    <row r="49" spans="1:16" x14ac:dyDescent="0.25">
      <c r="A49" s="143"/>
      <c r="B49" s="143"/>
      <c r="C49" s="461">
        <f>SUM(C45:C48)</f>
        <v>4</v>
      </c>
      <c r="D49" s="143"/>
      <c r="E49" s="143"/>
      <c r="F49" s="143"/>
      <c r="G49" s="143"/>
      <c r="H49" s="143"/>
      <c r="I49" s="143"/>
      <c r="J49" s="143"/>
      <c r="K49" s="143"/>
      <c r="L49" s="143"/>
      <c r="M49" s="143"/>
      <c r="N49" s="143"/>
      <c r="O49" s="143"/>
      <c r="P49" s="143"/>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A82F5-B255-458F-BCA3-45BAFAD340AF}">
  <sheetPr>
    <tabColor rgb="FFC00000"/>
  </sheetPr>
  <dimension ref="A1:Z49"/>
  <sheetViews>
    <sheetView workbookViewId="0">
      <pane ySplit="2" topLeftCell="A25" activePane="bottomLeft" state="frozen"/>
      <selection activeCell="C42" sqref="C42"/>
      <selection pane="bottomLeft" activeCell="C42" sqref="C42"/>
    </sheetView>
  </sheetViews>
  <sheetFormatPr defaultColWidth="16.7109375" defaultRowHeight="15" x14ac:dyDescent="0.25"/>
  <sheetData>
    <row r="1" spans="1:26" x14ac:dyDescent="0.25">
      <c r="A1" s="228" t="s">
        <v>320</v>
      </c>
      <c r="B1" s="216" t="str">
        <f>A2&amp;1</f>
        <v>B1</v>
      </c>
      <c r="C1" s="216" t="str">
        <f>A2&amp;2</f>
        <v>B2</v>
      </c>
      <c r="D1" s="216" t="str">
        <f>A2&amp;3</f>
        <v>B3</v>
      </c>
      <c r="E1" s="216" t="str">
        <f>A2&amp;4</f>
        <v>B4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326</v>
      </c>
      <c r="B2" s="217" t="str">
        <f>VLOOKUP(B1,Lookup08,2,FALSE)</f>
        <v>Canada</v>
      </c>
      <c r="C2" s="217" t="str">
        <f>VLOOKUP(C1,Lookup08,2,FALSE)</f>
        <v>Bosnia-Herzegovina</v>
      </c>
      <c r="D2" s="217" t="str">
        <f>VLOOKUP(D1,Lookup08,2,FALSE)</f>
        <v>Qatar</v>
      </c>
      <c r="E2" s="217" t="str">
        <f>VLOOKUP(E1,Lookup08,2,FALSE)</f>
        <v>Switzerland</v>
      </c>
      <c r="F2" s="144"/>
      <c r="G2" s="144"/>
      <c r="H2" s="195"/>
      <c r="I2" s="196" t="str">
        <f>B2</f>
        <v>Canada</v>
      </c>
      <c r="J2" s="196" t="str">
        <f>C2</f>
        <v>Bosnia-Herzegovina</v>
      </c>
      <c r="K2" s="196" t="str">
        <f>D2</f>
        <v>Qatar</v>
      </c>
      <c r="L2" s="196" t="str">
        <f>E2</f>
        <v>Switzerland</v>
      </c>
      <c r="M2" s="197" t="s">
        <v>26</v>
      </c>
      <c r="N2" s="195"/>
      <c r="O2" s="196" t="str">
        <f>I2</f>
        <v>Canada</v>
      </c>
      <c r="P2" s="196" t="str">
        <f t="shared" ref="P2:R2" si="0">J2</f>
        <v>Bosnia-Herzegovina</v>
      </c>
      <c r="Q2" s="196" t="str">
        <f t="shared" si="0"/>
        <v>Qatar</v>
      </c>
      <c r="R2" s="196" t="str">
        <f t="shared" si="0"/>
        <v>Switzerland</v>
      </c>
      <c r="S2" s="197" t="s">
        <v>26</v>
      </c>
      <c r="T2" s="195"/>
      <c r="U2" s="196" t="str">
        <f>O2</f>
        <v>Canada</v>
      </c>
      <c r="V2" s="196" t="str">
        <f t="shared" ref="V2:X2" si="1">P2</f>
        <v>Bosnia-Herzegovina</v>
      </c>
      <c r="W2" s="196" t="str">
        <f t="shared" si="1"/>
        <v>Qatar</v>
      </c>
      <c r="X2" s="196" t="str">
        <f t="shared" si="1"/>
        <v>Switzerland</v>
      </c>
      <c r="Y2" s="197" t="s">
        <v>26</v>
      </c>
    </row>
    <row r="3" spans="1:26" x14ac:dyDescent="0.25">
      <c r="A3" s="144"/>
      <c r="B3" s="144"/>
      <c r="C3" s="144"/>
      <c r="F3" s="144"/>
      <c r="G3" s="144"/>
      <c r="H3" s="195" t="str">
        <f>B2</f>
        <v>Canada</v>
      </c>
      <c r="I3" s="211"/>
      <c r="J3" s="196">
        <f>IF(G10=G11,1,0)</f>
        <v>1</v>
      </c>
      <c r="K3" s="196">
        <f>IF(G10=G12,1,0)</f>
        <v>1</v>
      </c>
      <c r="L3" s="196">
        <f>IF(G10=G13,1,0)</f>
        <v>1</v>
      </c>
      <c r="M3" s="197">
        <f>SUM(I3:L3)</f>
        <v>3</v>
      </c>
      <c r="N3" s="195" t="str">
        <f>H3</f>
        <v>Canada</v>
      </c>
      <c r="O3" s="211"/>
      <c r="P3" s="196">
        <f>IF(M10=M11,1,0)</f>
        <v>1</v>
      </c>
      <c r="Q3" s="196">
        <f>IF(M10=M12,1,0)</f>
        <v>1</v>
      </c>
      <c r="R3" s="196">
        <f>IF(M10=M13,1,0)</f>
        <v>1</v>
      </c>
      <c r="S3" s="197">
        <f>SUM(O3:R3)</f>
        <v>3</v>
      </c>
      <c r="T3" s="195" t="str">
        <f>N3</f>
        <v>Canada</v>
      </c>
      <c r="U3" s="211"/>
      <c r="V3" s="196">
        <f>IF(S10=S11,1,0)</f>
        <v>1</v>
      </c>
      <c r="W3" s="196">
        <f>IF(S10=S12,1,0)</f>
        <v>1</v>
      </c>
      <c r="X3" s="196">
        <f>IF(S10=S13,1,0)</f>
        <v>1</v>
      </c>
      <c r="Y3" s="197">
        <f>SUM(U3:X3)</f>
        <v>3</v>
      </c>
    </row>
    <row r="4" spans="1:26" x14ac:dyDescent="0.25">
      <c r="A4" s="144"/>
      <c r="B4" s="144"/>
      <c r="C4" s="144"/>
      <c r="F4" s="144"/>
      <c r="G4" s="144"/>
      <c r="H4" s="195" t="str">
        <f>C2</f>
        <v>Bosnia-Herzegovina</v>
      </c>
      <c r="I4" s="196">
        <f>IF(G11=G10,1,0)</f>
        <v>1</v>
      </c>
      <c r="J4" s="211"/>
      <c r="K4" s="196">
        <f>IF(G11=G12,1,0)</f>
        <v>1</v>
      </c>
      <c r="L4" s="196">
        <f>IF(G11=G13,1,0)</f>
        <v>1</v>
      </c>
      <c r="M4" s="197">
        <f>SUM(I4:L4)</f>
        <v>3</v>
      </c>
      <c r="N4" s="195" t="str">
        <f t="shared" ref="N4:N6" si="2">H4</f>
        <v>Bosnia-Herzegovina</v>
      </c>
      <c r="O4" s="196">
        <f>IF(M11=M10,1,0)</f>
        <v>1</v>
      </c>
      <c r="P4" s="211"/>
      <c r="Q4" s="196">
        <f>IF(M11=M12,1,0)</f>
        <v>1</v>
      </c>
      <c r="R4" s="196">
        <f>IF(M11=M13,1,0)</f>
        <v>1</v>
      </c>
      <c r="S4" s="197">
        <f>SUM(O4:R4)</f>
        <v>3</v>
      </c>
      <c r="T4" s="195" t="str">
        <f t="shared" ref="T4:T6" si="3">N4</f>
        <v>Bosnia-Herzegovina</v>
      </c>
      <c r="U4" s="196">
        <f>IF(S11=S10,1,0)</f>
        <v>1</v>
      </c>
      <c r="V4" s="211"/>
      <c r="W4" s="196">
        <f>IF(S11=S12,1,0)</f>
        <v>1</v>
      </c>
      <c r="X4" s="196">
        <f>IF(S11=S13,1,0)</f>
        <v>1</v>
      </c>
      <c r="Y4" s="197">
        <f>SUM(U4:X4)</f>
        <v>3</v>
      </c>
    </row>
    <row r="5" spans="1:26" x14ac:dyDescent="0.25">
      <c r="A5" s="144"/>
      <c r="B5" s="144"/>
      <c r="C5" s="144"/>
      <c r="F5" s="144"/>
      <c r="G5" s="144"/>
      <c r="H5" s="195" t="str">
        <f>D2</f>
        <v>Qatar</v>
      </c>
      <c r="I5" s="196">
        <f>IF(G12=G10,1,0)</f>
        <v>1</v>
      </c>
      <c r="J5" s="196">
        <f>IF(G12=G11,1,0)</f>
        <v>1</v>
      </c>
      <c r="K5" s="211"/>
      <c r="L5" s="196">
        <f>IF(G12=G13,1,0)</f>
        <v>1</v>
      </c>
      <c r="M5" s="197">
        <f>SUM(I5:L5)</f>
        <v>3</v>
      </c>
      <c r="N5" s="195" t="str">
        <f t="shared" si="2"/>
        <v>Qatar</v>
      </c>
      <c r="O5" s="196">
        <f>IF(M12=M10,1,0)</f>
        <v>1</v>
      </c>
      <c r="P5" s="196">
        <f>IF(M12=M11,1,0)</f>
        <v>1</v>
      </c>
      <c r="Q5" s="211"/>
      <c r="R5" s="196">
        <f>IF(M12=M13,1,0)</f>
        <v>1</v>
      </c>
      <c r="S5" s="197">
        <f>SUM(O5:R5)</f>
        <v>3</v>
      </c>
      <c r="T5" s="195" t="str">
        <f t="shared" si="3"/>
        <v>Qatar</v>
      </c>
      <c r="U5" s="196">
        <f>IF(S12=S10,1,0)</f>
        <v>1</v>
      </c>
      <c r="V5" s="196">
        <f>IF(S12=S11,1,0)</f>
        <v>1</v>
      </c>
      <c r="W5" s="211"/>
      <c r="X5" s="196">
        <f>IF(S12=S13,1,0)</f>
        <v>1</v>
      </c>
      <c r="Y5" s="197">
        <f>SUM(U5:X5)</f>
        <v>3</v>
      </c>
    </row>
    <row r="6" spans="1:26" x14ac:dyDescent="0.25">
      <c r="A6" s="144"/>
      <c r="B6" s="144"/>
      <c r="C6" s="144"/>
      <c r="F6" s="144"/>
      <c r="G6" s="144"/>
      <c r="H6" s="198" t="str">
        <f>E2</f>
        <v>Switzerland</v>
      </c>
      <c r="I6" s="199">
        <f>IF(G13=G10,1,0)</f>
        <v>1</v>
      </c>
      <c r="J6" s="199">
        <f>IF(G13=G11,1,0)</f>
        <v>1</v>
      </c>
      <c r="K6" s="199">
        <f>IF(G13=G12,1,0)</f>
        <v>1</v>
      </c>
      <c r="L6" s="212"/>
      <c r="M6" s="200">
        <f>SUM(I6:L6)</f>
        <v>3</v>
      </c>
      <c r="N6" s="198" t="str">
        <f t="shared" si="2"/>
        <v>Switzerland</v>
      </c>
      <c r="O6" s="199">
        <f>IF(M13=M10,1,0)</f>
        <v>1</v>
      </c>
      <c r="P6" s="199">
        <f>IF(M13=M11,1,0)</f>
        <v>1</v>
      </c>
      <c r="Q6" s="199">
        <f>IF(M13=M12,1,0)</f>
        <v>1</v>
      </c>
      <c r="R6" s="212"/>
      <c r="S6" s="200">
        <f>SUM(O6:R6)</f>
        <v>3</v>
      </c>
      <c r="T6" s="198" t="str">
        <f t="shared" si="3"/>
        <v>Switzerland</v>
      </c>
      <c r="U6" s="199">
        <f>IF(S13=S10,1,0)</f>
        <v>1</v>
      </c>
      <c r="V6" s="199">
        <f>IF(S13=S11,1,0)</f>
        <v>1</v>
      </c>
      <c r="W6" s="199">
        <f>IF(S13=S12,1,0)</f>
        <v>1</v>
      </c>
      <c r="X6" s="212"/>
      <c r="Y6" s="200">
        <f>SUM(U6:X6)</f>
        <v>3</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Canada</v>
      </c>
      <c r="D9" s="190" t="str">
        <f>C2</f>
        <v>Bosnia-Herzegovina</v>
      </c>
      <c r="E9" s="190" t="str">
        <f>D2</f>
        <v>Qatar</v>
      </c>
      <c r="F9" s="190" t="str">
        <f>E2</f>
        <v>Switzerland</v>
      </c>
      <c r="G9" s="191" t="s">
        <v>26</v>
      </c>
      <c r="H9" s="189"/>
      <c r="I9" s="190" t="str">
        <f>C9</f>
        <v>Canada</v>
      </c>
      <c r="J9" s="190" t="str">
        <f t="shared" ref="J9:L9" si="4">D9</f>
        <v>Bosnia-Herzegovina</v>
      </c>
      <c r="K9" s="190" t="str">
        <f t="shared" si="4"/>
        <v>Qatar</v>
      </c>
      <c r="L9" s="190" t="str">
        <f t="shared" si="4"/>
        <v>Switzerland</v>
      </c>
      <c r="M9" s="191" t="s">
        <v>26</v>
      </c>
      <c r="N9" s="189"/>
      <c r="O9" s="190" t="str">
        <f>I9</f>
        <v>Canada</v>
      </c>
      <c r="P9" s="190" t="str">
        <f t="shared" ref="P9:R9" si="5">J9</f>
        <v>Bosnia-Herzegovina</v>
      </c>
      <c r="Q9" s="190" t="str">
        <f t="shared" si="5"/>
        <v>Qatar</v>
      </c>
      <c r="R9" s="190" t="str">
        <f t="shared" si="5"/>
        <v>Switzerland</v>
      </c>
      <c r="S9" s="191" t="s">
        <v>26</v>
      </c>
      <c r="T9" s="189"/>
      <c r="U9" s="190" t="str">
        <f>O9</f>
        <v>Canada</v>
      </c>
      <c r="V9" s="190" t="str">
        <f t="shared" ref="V9:X9" si="6">P9</f>
        <v>Bosnia-Herzegovina</v>
      </c>
      <c r="W9" s="190" t="str">
        <f t="shared" si="6"/>
        <v>Qatar</v>
      </c>
      <c r="X9" s="190" t="str">
        <f t="shared" si="6"/>
        <v>Switzerland</v>
      </c>
      <c r="Y9" s="191" t="s">
        <v>26</v>
      </c>
      <c r="Z9" s="227" t="s">
        <v>309</v>
      </c>
    </row>
    <row r="10" spans="1:26" x14ac:dyDescent="0.25">
      <c r="A10" s="144"/>
      <c r="B10" s="189" t="str">
        <f>B2</f>
        <v>Canada</v>
      </c>
      <c r="C10" s="204"/>
      <c r="D10" s="190">
        <f>H37</f>
        <v>1</v>
      </c>
      <c r="E10" s="190">
        <f>H39</f>
        <v>0</v>
      </c>
      <c r="F10" s="190">
        <f>I42</f>
        <v>0</v>
      </c>
      <c r="G10" s="191">
        <f>SUM(C10:F10)</f>
        <v>1</v>
      </c>
      <c r="H10" s="189" t="str">
        <f>B10</f>
        <v>Canada</v>
      </c>
      <c r="I10" s="218">
        <f>C10+I17/100+I24/10000</f>
        <v>0</v>
      </c>
      <c r="J10" s="219">
        <f t="shared" ref="J10:L10" si="7">D10+J17/100+J24/10000</f>
        <v>1.0001</v>
      </c>
      <c r="K10" s="219">
        <f t="shared" si="7"/>
        <v>0</v>
      </c>
      <c r="L10" s="219">
        <f t="shared" si="7"/>
        <v>0</v>
      </c>
      <c r="M10" s="220">
        <f>SUM(I10:L10)</f>
        <v>1.0001</v>
      </c>
      <c r="N10" s="189" t="str">
        <f>H10</f>
        <v>Canada</v>
      </c>
      <c r="O10" s="218">
        <f>I10+O17/100+O24/10000</f>
        <v>0</v>
      </c>
      <c r="P10" s="219">
        <f t="shared" ref="P10:R13" si="8">J10+P17/100+P24/10000</f>
        <v>1.0002</v>
      </c>
      <c r="Q10" s="219">
        <f t="shared" si="8"/>
        <v>0</v>
      </c>
      <c r="R10" s="219">
        <f t="shared" si="8"/>
        <v>0</v>
      </c>
      <c r="S10" s="220">
        <f>SUM(O10:R10)</f>
        <v>1.0002</v>
      </c>
      <c r="T10" s="189" t="str">
        <f>N10</f>
        <v>Canada</v>
      </c>
      <c r="U10" s="218">
        <f>O10+U17/100+U24/10000</f>
        <v>0</v>
      </c>
      <c r="V10" s="219">
        <f t="shared" ref="V10:X13" si="9">P10+V17/100+V24/10000</f>
        <v>1.0003</v>
      </c>
      <c r="W10" s="219">
        <f t="shared" si="9"/>
        <v>0</v>
      </c>
      <c r="X10" s="219">
        <f t="shared" si="9"/>
        <v>0</v>
      </c>
      <c r="Y10" s="220">
        <f>ROUND(SUM(U10:X10),8)</f>
        <v>1.0003</v>
      </c>
      <c r="Z10" s="224">
        <f>_xlfn.RANK.EQ(Y10,Y$10:Y$13,1)</f>
        <v>1</v>
      </c>
    </row>
    <row r="11" spans="1:26" x14ac:dyDescent="0.25">
      <c r="A11" s="144"/>
      <c r="B11" s="189" t="str">
        <f>C2</f>
        <v>Bosnia-Herzegovina</v>
      </c>
      <c r="C11" s="190">
        <f>I37</f>
        <v>1</v>
      </c>
      <c r="D11" s="204"/>
      <c r="E11" s="190">
        <f>H41</f>
        <v>0</v>
      </c>
      <c r="F11" s="190">
        <f>I40</f>
        <v>0</v>
      </c>
      <c r="G11" s="191">
        <f>SUM(C11:F11)</f>
        <v>1</v>
      </c>
      <c r="H11" s="189" t="str">
        <f t="shared" ref="H11:H13" si="10">B11</f>
        <v>Bosnia-Herzegovina</v>
      </c>
      <c r="I11" s="219">
        <f t="shared" ref="I11:L13" si="11">C11+I18/100+I25/10000</f>
        <v>1.0001</v>
      </c>
      <c r="J11" s="218">
        <f t="shared" si="11"/>
        <v>0</v>
      </c>
      <c r="K11" s="219">
        <f t="shared" si="11"/>
        <v>0</v>
      </c>
      <c r="L11" s="219">
        <f t="shared" si="11"/>
        <v>0</v>
      </c>
      <c r="M11" s="220">
        <f>SUM(I11:L11)</f>
        <v>1.0001</v>
      </c>
      <c r="N11" s="189" t="str">
        <f t="shared" ref="N11:N13" si="12">H11</f>
        <v>Bosnia-Herzegovina</v>
      </c>
      <c r="O11" s="219">
        <f t="shared" ref="O11:O13" si="13">I11+O18/100+O25/10000</f>
        <v>1.0002</v>
      </c>
      <c r="P11" s="218">
        <f t="shared" si="8"/>
        <v>0</v>
      </c>
      <c r="Q11" s="219">
        <f t="shared" si="8"/>
        <v>0</v>
      </c>
      <c r="R11" s="219">
        <f t="shared" si="8"/>
        <v>0</v>
      </c>
      <c r="S11" s="220">
        <f>SUM(O11:R11)</f>
        <v>1.0002</v>
      </c>
      <c r="T11" s="189" t="str">
        <f t="shared" ref="T11:T13" si="14">N11</f>
        <v>Bosnia-Herzegovina</v>
      </c>
      <c r="U11" s="219">
        <f t="shared" ref="U11:U13" si="15">O11+U18/100+U25/10000</f>
        <v>1.0003</v>
      </c>
      <c r="V11" s="218">
        <f t="shared" si="9"/>
        <v>0</v>
      </c>
      <c r="W11" s="219">
        <f t="shared" si="9"/>
        <v>0</v>
      </c>
      <c r="X11" s="219">
        <f t="shared" si="9"/>
        <v>0</v>
      </c>
      <c r="Y11" s="220">
        <f t="shared" ref="Y11:Y13" si="16">ROUND(SUM(U11:X11),8)</f>
        <v>1.0003</v>
      </c>
      <c r="Z11" s="224">
        <f t="shared" ref="Z11:Z13" si="17">_xlfn.RANK.EQ(Y11,Y$10:Y$13,1)</f>
        <v>1</v>
      </c>
    </row>
    <row r="12" spans="1:26" x14ac:dyDescent="0.25">
      <c r="A12" s="144"/>
      <c r="B12" s="189" t="str">
        <f>D2</f>
        <v>Qatar</v>
      </c>
      <c r="C12" s="190">
        <f>I39</f>
        <v>0</v>
      </c>
      <c r="D12" s="190">
        <f>I41</f>
        <v>0</v>
      </c>
      <c r="E12" s="204"/>
      <c r="F12" s="190">
        <f>H38</f>
        <v>1</v>
      </c>
      <c r="G12" s="191">
        <f>SUM(C12:F12)</f>
        <v>1</v>
      </c>
      <c r="H12" s="189" t="str">
        <f t="shared" si="10"/>
        <v>Qatar</v>
      </c>
      <c r="I12" s="219">
        <f t="shared" si="11"/>
        <v>0</v>
      </c>
      <c r="J12" s="219">
        <f t="shared" si="11"/>
        <v>0</v>
      </c>
      <c r="K12" s="218">
        <f t="shared" si="11"/>
        <v>0</v>
      </c>
      <c r="L12" s="219">
        <f t="shared" si="11"/>
        <v>1.0001</v>
      </c>
      <c r="M12" s="220">
        <f>SUM(I12:L12)</f>
        <v>1.0001</v>
      </c>
      <c r="N12" s="189" t="str">
        <f t="shared" si="12"/>
        <v>Qatar</v>
      </c>
      <c r="O12" s="219">
        <f t="shared" si="13"/>
        <v>0</v>
      </c>
      <c r="P12" s="219">
        <f t="shared" si="8"/>
        <v>0</v>
      </c>
      <c r="Q12" s="218">
        <f t="shared" si="8"/>
        <v>0</v>
      </c>
      <c r="R12" s="219">
        <f t="shared" si="8"/>
        <v>1.0002</v>
      </c>
      <c r="S12" s="220">
        <f>SUM(O12:R12)</f>
        <v>1.0002</v>
      </c>
      <c r="T12" s="189" t="str">
        <f t="shared" si="14"/>
        <v>Qatar</v>
      </c>
      <c r="U12" s="219">
        <f t="shared" si="15"/>
        <v>0</v>
      </c>
      <c r="V12" s="219">
        <f t="shared" si="9"/>
        <v>0</v>
      </c>
      <c r="W12" s="218">
        <f t="shared" si="9"/>
        <v>0</v>
      </c>
      <c r="X12" s="219">
        <f t="shared" si="9"/>
        <v>1.0003</v>
      </c>
      <c r="Y12" s="220">
        <f t="shared" si="16"/>
        <v>1.0003</v>
      </c>
      <c r="Z12" s="224">
        <f t="shared" si="17"/>
        <v>1</v>
      </c>
    </row>
    <row r="13" spans="1:26" x14ac:dyDescent="0.25">
      <c r="A13" s="144"/>
      <c r="B13" s="192" t="str">
        <f>E2</f>
        <v>Switzerland</v>
      </c>
      <c r="C13" s="193">
        <f>H42</f>
        <v>0</v>
      </c>
      <c r="D13" s="193">
        <f>H40</f>
        <v>0</v>
      </c>
      <c r="E13" s="193">
        <f>I38</f>
        <v>1</v>
      </c>
      <c r="F13" s="205"/>
      <c r="G13" s="194">
        <f>SUM(C13:F13)</f>
        <v>1</v>
      </c>
      <c r="H13" s="192" t="str">
        <f t="shared" si="10"/>
        <v>Switzerland</v>
      </c>
      <c r="I13" s="221">
        <f t="shared" si="11"/>
        <v>0</v>
      </c>
      <c r="J13" s="221">
        <f t="shared" si="11"/>
        <v>0</v>
      </c>
      <c r="K13" s="221">
        <f t="shared" si="11"/>
        <v>1.0001</v>
      </c>
      <c r="L13" s="222">
        <f t="shared" si="11"/>
        <v>0</v>
      </c>
      <c r="M13" s="223">
        <f>SUM(I13:L13)</f>
        <v>1.0001</v>
      </c>
      <c r="N13" s="192" t="str">
        <f t="shared" si="12"/>
        <v>Switzerland</v>
      </c>
      <c r="O13" s="221">
        <f t="shared" si="13"/>
        <v>0</v>
      </c>
      <c r="P13" s="221">
        <f t="shared" si="8"/>
        <v>0</v>
      </c>
      <c r="Q13" s="221">
        <f t="shared" si="8"/>
        <v>1.0002</v>
      </c>
      <c r="R13" s="222">
        <f t="shared" si="8"/>
        <v>0</v>
      </c>
      <c r="S13" s="223">
        <f>SUM(O13:R13)</f>
        <v>1.0002</v>
      </c>
      <c r="T13" s="192" t="str">
        <f t="shared" si="14"/>
        <v>Switzerland</v>
      </c>
      <c r="U13" s="221">
        <f t="shared" si="15"/>
        <v>0</v>
      </c>
      <c r="V13" s="221">
        <f t="shared" si="9"/>
        <v>0</v>
      </c>
      <c r="W13" s="221">
        <f t="shared" si="9"/>
        <v>1.0003</v>
      </c>
      <c r="X13" s="222">
        <f t="shared" si="9"/>
        <v>0</v>
      </c>
      <c r="Y13" s="223">
        <f t="shared" si="16"/>
        <v>1.0003</v>
      </c>
      <c r="Z13" s="225">
        <f t="shared" si="17"/>
        <v>1</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Canada</v>
      </c>
      <c r="D16" s="177" t="str">
        <f>C2</f>
        <v>Bosnia-Herzegovina</v>
      </c>
      <c r="E16" s="177" t="str">
        <f>D2</f>
        <v>Qatar</v>
      </c>
      <c r="F16" s="177" t="str">
        <f>E2</f>
        <v>Switzerland</v>
      </c>
      <c r="G16" s="178" t="s">
        <v>26</v>
      </c>
      <c r="H16" s="183"/>
      <c r="I16" s="184" t="str">
        <f>C16</f>
        <v>Canada</v>
      </c>
      <c r="J16" s="184" t="str">
        <f t="shared" ref="J16:L16" si="18">D16</f>
        <v>Bosnia-Herzegovina</v>
      </c>
      <c r="K16" s="184" t="str">
        <f t="shared" si="18"/>
        <v>Qatar</v>
      </c>
      <c r="L16" s="184" t="str">
        <f t="shared" si="18"/>
        <v>Switzerland</v>
      </c>
      <c r="M16" s="185" t="s">
        <v>26</v>
      </c>
      <c r="N16" s="183"/>
      <c r="O16" s="184" t="str">
        <f>I16</f>
        <v>Canada</v>
      </c>
      <c r="P16" s="184" t="str">
        <f t="shared" ref="P16:R16" si="19">J16</f>
        <v>Bosnia-Herzegovina</v>
      </c>
      <c r="Q16" s="184" t="str">
        <f t="shared" si="19"/>
        <v>Qatar</v>
      </c>
      <c r="R16" s="184" t="str">
        <f t="shared" si="19"/>
        <v>Switzerland</v>
      </c>
      <c r="S16" s="185" t="s">
        <v>26</v>
      </c>
      <c r="T16" s="183"/>
      <c r="U16" s="184" t="str">
        <f>O16</f>
        <v>Canada</v>
      </c>
      <c r="V16" s="184" t="str">
        <f t="shared" ref="V16:X16" si="20">P16</f>
        <v>Bosnia-Herzegovina</v>
      </c>
      <c r="W16" s="184" t="str">
        <f t="shared" si="20"/>
        <v>Qatar</v>
      </c>
      <c r="X16" s="184" t="str">
        <f t="shared" si="20"/>
        <v>Switzerland</v>
      </c>
      <c r="Y16" s="185" t="s">
        <v>26</v>
      </c>
    </row>
    <row r="17" spans="1:25" x14ac:dyDescent="0.25">
      <c r="A17" s="144"/>
      <c r="B17" s="176" t="str">
        <f>B2</f>
        <v>Canada</v>
      </c>
      <c r="C17" s="206"/>
      <c r="D17" s="179">
        <f>IFERROR(F37-G37,0)</f>
        <v>0</v>
      </c>
      <c r="E17" s="179">
        <f>IFERROR(F39-G39,0)</f>
        <v>0</v>
      </c>
      <c r="F17" s="179">
        <f>IFERROR(G42-F42,0)</f>
        <v>0</v>
      </c>
      <c r="G17" s="178">
        <f>SUM(C17:F17)</f>
        <v>0</v>
      </c>
      <c r="H17" s="183" t="str">
        <f>B17</f>
        <v>Canada</v>
      </c>
      <c r="I17" s="208"/>
      <c r="J17" s="184">
        <f>D17*J3</f>
        <v>0</v>
      </c>
      <c r="K17" s="184">
        <f>E17*K3</f>
        <v>0</v>
      </c>
      <c r="L17" s="184">
        <f>F17*L3</f>
        <v>0</v>
      </c>
      <c r="M17" s="185">
        <f>SUM(I17:L17)</f>
        <v>0</v>
      </c>
      <c r="N17" s="183" t="str">
        <f>H17</f>
        <v>Canada</v>
      </c>
      <c r="O17" s="208"/>
      <c r="P17" s="184">
        <f>J17*P3</f>
        <v>0</v>
      </c>
      <c r="Q17" s="184">
        <f>K17*Q3</f>
        <v>0</v>
      </c>
      <c r="R17" s="184">
        <f>L17*R3</f>
        <v>0</v>
      </c>
      <c r="S17" s="185">
        <f>SUM(O17:R17)</f>
        <v>0</v>
      </c>
      <c r="T17" s="183" t="str">
        <f>N17</f>
        <v>Canada</v>
      </c>
      <c r="U17" s="208"/>
      <c r="V17" s="184">
        <f>P17*V3</f>
        <v>0</v>
      </c>
      <c r="W17" s="184">
        <f>Q17*W3</f>
        <v>0</v>
      </c>
      <c r="X17" s="184">
        <f>R17*X3</f>
        <v>0</v>
      </c>
      <c r="Y17" s="185">
        <f>SUM(U17:X17)</f>
        <v>0</v>
      </c>
    </row>
    <row r="18" spans="1:25" x14ac:dyDescent="0.25">
      <c r="A18" s="144"/>
      <c r="B18" s="176" t="str">
        <f>C2</f>
        <v>Bosnia-Herzegovina</v>
      </c>
      <c r="C18" s="179">
        <f>IFERROR(G37-F37,0)</f>
        <v>0</v>
      </c>
      <c r="D18" s="206"/>
      <c r="E18" s="179">
        <f>IFERROR(F41-G41,0)</f>
        <v>0</v>
      </c>
      <c r="F18" s="179">
        <f>IFERROR(G40-F40,0)</f>
        <v>0</v>
      </c>
      <c r="G18" s="178">
        <f>SUM(C18:F18)</f>
        <v>0</v>
      </c>
      <c r="H18" s="183" t="str">
        <f t="shared" ref="H18:H20" si="21">B18</f>
        <v>Bosnia-Herzegovina</v>
      </c>
      <c r="I18" s="184">
        <f>C18*I4</f>
        <v>0</v>
      </c>
      <c r="J18" s="208"/>
      <c r="K18" s="184">
        <f>E18*K4</f>
        <v>0</v>
      </c>
      <c r="L18" s="184">
        <f>F18*L4</f>
        <v>0</v>
      </c>
      <c r="M18" s="185">
        <f>SUM(I18:L18)</f>
        <v>0</v>
      </c>
      <c r="N18" s="183" t="str">
        <f t="shared" ref="N18:N20" si="22">H18</f>
        <v>Bosnia-Herzegovina</v>
      </c>
      <c r="O18" s="184">
        <f>I18*O4</f>
        <v>0</v>
      </c>
      <c r="P18" s="208"/>
      <c r="Q18" s="184">
        <f>K18*Q4</f>
        <v>0</v>
      </c>
      <c r="R18" s="184">
        <f>L18*R4</f>
        <v>0</v>
      </c>
      <c r="S18" s="185">
        <f>SUM(O18:R18)</f>
        <v>0</v>
      </c>
      <c r="T18" s="183" t="str">
        <f t="shared" ref="T18:T20" si="23">N18</f>
        <v>Bosnia-Herzegovina</v>
      </c>
      <c r="U18" s="184">
        <f>O18*U4</f>
        <v>0</v>
      </c>
      <c r="V18" s="208"/>
      <c r="W18" s="184">
        <f>Q18*W4</f>
        <v>0</v>
      </c>
      <c r="X18" s="184">
        <f>R18*X4</f>
        <v>0</v>
      </c>
      <c r="Y18" s="185">
        <f>SUM(U18:X18)</f>
        <v>0</v>
      </c>
    </row>
    <row r="19" spans="1:25" x14ac:dyDescent="0.25">
      <c r="A19" s="144"/>
      <c r="B19" s="176" t="str">
        <f>D2</f>
        <v>Qatar</v>
      </c>
      <c r="C19" s="179">
        <f>IFERROR(G39-F39,0)</f>
        <v>0</v>
      </c>
      <c r="D19" s="179">
        <f>IFERROR(G41-F41,0)</f>
        <v>0</v>
      </c>
      <c r="E19" s="206"/>
      <c r="F19" s="179">
        <f>IFERROR(F38-G38,0)</f>
        <v>0</v>
      </c>
      <c r="G19" s="178">
        <f>SUM(C19:F19)</f>
        <v>0</v>
      </c>
      <c r="H19" s="183" t="str">
        <f t="shared" si="21"/>
        <v>Qatar</v>
      </c>
      <c r="I19" s="184">
        <f>C19*I5</f>
        <v>0</v>
      </c>
      <c r="J19" s="184">
        <f>D19*J5</f>
        <v>0</v>
      </c>
      <c r="K19" s="208"/>
      <c r="L19" s="184">
        <f>F19*L5</f>
        <v>0</v>
      </c>
      <c r="M19" s="185">
        <f>SUM(I19:L19)</f>
        <v>0</v>
      </c>
      <c r="N19" s="183" t="str">
        <f t="shared" si="22"/>
        <v>Qatar</v>
      </c>
      <c r="O19" s="184">
        <f>I19*O5</f>
        <v>0</v>
      </c>
      <c r="P19" s="184">
        <f>J19*P5</f>
        <v>0</v>
      </c>
      <c r="Q19" s="208"/>
      <c r="R19" s="184">
        <f>L19*R5</f>
        <v>0</v>
      </c>
      <c r="S19" s="185">
        <f>SUM(O19:R19)</f>
        <v>0</v>
      </c>
      <c r="T19" s="183" t="str">
        <f t="shared" si="23"/>
        <v>Qatar</v>
      </c>
      <c r="U19" s="184">
        <f>O19*U5</f>
        <v>0</v>
      </c>
      <c r="V19" s="184">
        <f>P19*V5</f>
        <v>0</v>
      </c>
      <c r="W19" s="208"/>
      <c r="X19" s="184">
        <f>R19*X5</f>
        <v>0</v>
      </c>
      <c r="Y19" s="185">
        <f>SUM(U19:X19)</f>
        <v>0</v>
      </c>
    </row>
    <row r="20" spans="1:25" x14ac:dyDescent="0.25">
      <c r="A20" s="144"/>
      <c r="B20" s="180" t="str">
        <f>E2</f>
        <v>Switzerland</v>
      </c>
      <c r="C20" s="181">
        <f>IFERROR(F42-G42,0)</f>
        <v>0</v>
      </c>
      <c r="D20" s="181">
        <f>IFERROR(F40-G40,0)</f>
        <v>0</v>
      </c>
      <c r="E20" s="181">
        <f>IFERROR(G38-F38,0)</f>
        <v>0</v>
      </c>
      <c r="F20" s="207"/>
      <c r="G20" s="182">
        <f>SUM(C20:F20)</f>
        <v>0</v>
      </c>
      <c r="H20" s="186" t="str">
        <f t="shared" si="21"/>
        <v>Switzerland</v>
      </c>
      <c r="I20" s="187">
        <f>C20*I6</f>
        <v>0</v>
      </c>
      <c r="J20" s="187">
        <f>D20*J6</f>
        <v>0</v>
      </c>
      <c r="K20" s="187">
        <f>E20*K6</f>
        <v>0</v>
      </c>
      <c r="L20" s="213"/>
      <c r="M20" s="188">
        <f>SUM(I20:L20)</f>
        <v>0</v>
      </c>
      <c r="N20" s="186" t="str">
        <f t="shared" si="22"/>
        <v>Switzerland</v>
      </c>
      <c r="O20" s="187">
        <f>I20*O6</f>
        <v>0</v>
      </c>
      <c r="P20" s="187">
        <f>J20*P6</f>
        <v>0</v>
      </c>
      <c r="Q20" s="187">
        <f>K20*Q6</f>
        <v>0</v>
      </c>
      <c r="R20" s="213"/>
      <c r="S20" s="188">
        <f>SUM(O20:R20)</f>
        <v>0</v>
      </c>
      <c r="T20" s="186" t="str">
        <f t="shared" si="23"/>
        <v>Switzerland</v>
      </c>
      <c r="U20" s="187">
        <f>O20*U6</f>
        <v>0</v>
      </c>
      <c r="V20" s="187">
        <f>P20*V6</f>
        <v>0</v>
      </c>
      <c r="W20" s="187">
        <f>Q20*W6</f>
        <v>0</v>
      </c>
      <c r="X20" s="213"/>
      <c r="Y20" s="188">
        <f>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Canada</v>
      </c>
      <c r="D23" s="164" t="str">
        <f>C2</f>
        <v>Bosnia-Herzegovina</v>
      </c>
      <c r="E23" s="164" t="str">
        <f>D2</f>
        <v>Qatar</v>
      </c>
      <c r="F23" s="164" t="str">
        <f>E2</f>
        <v>Switzerland</v>
      </c>
      <c r="G23" s="165" t="s">
        <v>26</v>
      </c>
      <c r="H23" s="169"/>
      <c r="I23" s="170" t="str">
        <f>C23</f>
        <v>Canada</v>
      </c>
      <c r="J23" s="170" t="str">
        <f t="shared" ref="J23:L23" si="24">D23</f>
        <v>Bosnia-Herzegovina</v>
      </c>
      <c r="K23" s="170" t="str">
        <f t="shared" si="24"/>
        <v>Qatar</v>
      </c>
      <c r="L23" s="170" t="str">
        <f t="shared" si="24"/>
        <v>Switzerland</v>
      </c>
      <c r="M23" s="171" t="s">
        <v>26</v>
      </c>
      <c r="N23" s="169"/>
      <c r="O23" s="170" t="str">
        <f>I23</f>
        <v>Canada</v>
      </c>
      <c r="P23" s="170" t="str">
        <f t="shared" ref="P23:R23" si="25">J23</f>
        <v>Bosnia-Herzegovina</v>
      </c>
      <c r="Q23" s="170" t="str">
        <f t="shared" si="25"/>
        <v>Qatar</v>
      </c>
      <c r="R23" s="170" t="str">
        <f t="shared" si="25"/>
        <v>Switzerland</v>
      </c>
      <c r="S23" s="171" t="s">
        <v>26</v>
      </c>
      <c r="T23" s="169"/>
      <c r="U23" s="170" t="str">
        <f>O23</f>
        <v>Canada</v>
      </c>
      <c r="V23" s="170" t="str">
        <f t="shared" ref="V23:X23" si="26">P23</f>
        <v>Bosnia-Herzegovina</v>
      </c>
      <c r="W23" s="170" t="str">
        <f t="shared" si="26"/>
        <v>Qatar</v>
      </c>
      <c r="X23" s="170" t="str">
        <f t="shared" si="26"/>
        <v>Switzerland</v>
      </c>
      <c r="Y23" s="171" t="s">
        <v>26</v>
      </c>
    </row>
    <row r="24" spans="1:25" x14ac:dyDescent="0.25">
      <c r="A24" s="143"/>
      <c r="B24" s="163" t="str">
        <f>B2</f>
        <v>Canada</v>
      </c>
      <c r="C24" s="209"/>
      <c r="D24" s="164">
        <f>IF(F37="",0,F37)</f>
        <v>1</v>
      </c>
      <c r="E24" s="164">
        <f>IF(F39="",0,F39)</f>
        <v>0</v>
      </c>
      <c r="F24" s="164">
        <f>IF(G42="",0,G42)</f>
        <v>0</v>
      </c>
      <c r="G24" s="165">
        <f>SUM(C24:F24)</f>
        <v>1</v>
      </c>
      <c r="H24" s="169" t="str">
        <f>B24</f>
        <v>Canada</v>
      </c>
      <c r="I24" s="214"/>
      <c r="J24" s="170">
        <f>D24*J3</f>
        <v>1</v>
      </c>
      <c r="K24" s="170">
        <f>E24*K3</f>
        <v>0</v>
      </c>
      <c r="L24" s="170">
        <f>F24*L3</f>
        <v>0</v>
      </c>
      <c r="M24" s="171">
        <f>SUM(I24:L24)</f>
        <v>1</v>
      </c>
      <c r="N24" s="169" t="str">
        <f>H24</f>
        <v>Canada</v>
      </c>
      <c r="O24" s="214"/>
      <c r="P24" s="170">
        <f>J24*P3</f>
        <v>1</v>
      </c>
      <c r="Q24" s="170">
        <f>K24*Q3</f>
        <v>0</v>
      </c>
      <c r="R24" s="170">
        <f>L24*R3</f>
        <v>0</v>
      </c>
      <c r="S24" s="171">
        <f>SUM(O24:R24)</f>
        <v>1</v>
      </c>
      <c r="T24" s="169" t="str">
        <f>N24</f>
        <v>Canada</v>
      </c>
      <c r="U24" s="214"/>
      <c r="V24" s="170">
        <f>P24*V3</f>
        <v>1</v>
      </c>
      <c r="W24" s="170">
        <f>Q24*W3</f>
        <v>0</v>
      </c>
      <c r="X24" s="170">
        <f>R24*X3</f>
        <v>0</v>
      </c>
      <c r="Y24" s="171">
        <f>SUM(U24:X24)</f>
        <v>1</v>
      </c>
    </row>
    <row r="25" spans="1:25" x14ac:dyDescent="0.25">
      <c r="A25" s="143"/>
      <c r="B25" s="163" t="str">
        <f>C2</f>
        <v>Bosnia-Herzegovina</v>
      </c>
      <c r="C25" s="164">
        <f>IF(G37="",0,G37)</f>
        <v>1</v>
      </c>
      <c r="D25" s="209"/>
      <c r="E25" s="164">
        <f>IF(F41="",0,F41)</f>
        <v>0</v>
      </c>
      <c r="F25" s="164">
        <f>IF(G40="",0,G40)</f>
        <v>0</v>
      </c>
      <c r="G25" s="165">
        <f>SUM(C25:F25)</f>
        <v>1</v>
      </c>
      <c r="H25" s="169" t="str">
        <f t="shared" ref="H25:H27" si="27">B25</f>
        <v>Bosnia-Herzegovina</v>
      </c>
      <c r="I25" s="170">
        <f>C25*I4</f>
        <v>1</v>
      </c>
      <c r="J25" s="214"/>
      <c r="K25" s="170">
        <f>E25*K4</f>
        <v>0</v>
      </c>
      <c r="L25" s="170">
        <f>F25*L4</f>
        <v>0</v>
      </c>
      <c r="M25" s="171">
        <f>SUM(I25:L25)</f>
        <v>1</v>
      </c>
      <c r="N25" s="169" t="str">
        <f t="shared" ref="N25:N27" si="28">H25</f>
        <v>Bosnia-Herzegovina</v>
      </c>
      <c r="O25" s="170">
        <f>I25*O4</f>
        <v>1</v>
      </c>
      <c r="P25" s="214"/>
      <c r="Q25" s="170">
        <f>K25*Q4</f>
        <v>0</v>
      </c>
      <c r="R25" s="170">
        <f>L25*R4</f>
        <v>0</v>
      </c>
      <c r="S25" s="171">
        <f>SUM(O25:R25)</f>
        <v>1</v>
      </c>
      <c r="T25" s="169" t="str">
        <f t="shared" ref="T25:T27" si="29">N25</f>
        <v>Bosnia-Herzegovina</v>
      </c>
      <c r="U25" s="170">
        <f>O25*U4</f>
        <v>1</v>
      </c>
      <c r="V25" s="214"/>
      <c r="W25" s="170">
        <f>Q25*W4</f>
        <v>0</v>
      </c>
      <c r="X25" s="170">
        <f>R25*X4</f>
        <v>0</v>
      </c>
      <c r="Y25" s="171">
        <f>SUM(U25:X25)</f>
        <v>1</v>
      </c>
    </row>
    <row r="26" spans="1:25" x14ac:dyDescent="0.25">
      <c r="A26" s="143"/>
      <c r="B26" s="163" t="str">
        <f>D2</f>
        <v>Qatar</v>
      </c>
      <c r="C26" s="164">
        <f>IF(G39="",0,G39)</f>
        <v>0</v>
      </c>
      <c r="D26" s="164">
        <f>IF(G41="",0,G41)</f>
        <v>0</v>
      </c>
      <c r="E26" s="209"/>
      <c r="F26" s="164">
        <f>IF(F38="",0,F38)</f>
        <v>1</v>
      </c>
      <c r="G26" s="165">
        <f>SUM(C26:F26)</f>
        <v>1</v>
      </c>
      <c r="H26" s="169" t="str">
        <f t="shared" si="27"/>
        <v>Qatar</v>
      </c>
      <c r="I26" s="170">
        <f>C26*I5</f>
        <v>0</v>
      </c>
      <c r="J26" s="170">
        <f>D26*J5</f>
        <v>0</v>
      </c>
      <c r="K26" s="214"/>
      <c r="L26" s="170">
        <f>F26*L5</f>
        <v>1</v>
      </c>
      <c r="M26" s="171">
        <f>SUM(I26:L26)</f>
        <v>1</v>
      </c>
      <c r="N26" s="169" t="str">
        <f t="shared" si="28"/>
        <v>Qatar</v>
      </c>
      <c r="O26" s="170">
        <f>I26*O5</f>
        <v>0</v>
      </c>
      <c r="P26" s="170">
        <f>J26*P5</f>
        <v>0</v>
      </c>
      <c r="Q26" s="214"/>
      <c r="R26" s="170">
        <f>L26*R5</f>
        <v>1</v>
      </c>
      <c r="S26" s="171">
        <f>SUM(O26:R26)</f>
        <v>1</v>
      </c>
      <c r="T26" s="169" t="str">
        <f t="shared" si="29"/>
        <v>Qatar</v>
      </c>
      <c r="U26" s="170">
        <f>O26*U5</f>
        <v>0</v>
      </c>
      <c r="V26" s="170">
        <f>P26*V5</f>
        <v>0</v>
      </c>
      <c r="W26" s="214"/>
      <c r="X26" s="170">
        <f>R26*X5</f>
        <v>1</v>
      </c>
      <c r="Y26" s="171">
        <f>SUM(U26:X26)</f>
        <v>1</v>
      </c>
    </row>
    <row r="27" spans="1:25" x14ac:dyDescent="0.25">
      <c r="A27" s="143"/>
      <c r="B27" s="166" t="str">
        <f>E2</f>
        <v>Switzerland</v>
      </c>
      <c r="C27" s="167">
        <f>IF(F42="",0,F42)</f>
        <v>0</v>
      </c>
      <c r="D27" s="167">
        <f>IF(F40="",0,F40)</f>
        <v>0</v>
      </c>
      <c r="E27" s="167">
        <f>IF(G38="",0,G38)</f>
        <v>1</v>
      </c>
      <c r="F27" s="210"/>
      <c r="G27" s="168">
        <f>SUM(C27:F27)</f>
        <v>1</v>
      </c>
      <c r="H27" s="172" t="str">
        <f t="shared" si="27"/>
        <v>Switzerland</v>
      </c>
      <c r="I27" s="173">
        <f>C27*I6</f>
        <v>0</v>
      </c>
      <c r="J27" s="173">
        <f>D27*J6</f>
        <v>0</v>
      </c>
      <c r="K27" s="173">
        <f>E27*K6</f>
        <v>1</v>
      </c>
      <c r="L27" s="215"/>
      <c r="M27" s="174">
        <f>SUM(I27:L27)</f>
        <v>1</v>
      </c>
      <c r="N27" s="172" t="str">
        <f t="shared" si="28"/>
        <v>Switzerland</v>
      </c>
      <c r="O27" s="173">
        <f>I27*O6</f>
        <v>0</v>
      </c>
      <c r="P27" s="173">
        <f>J27*P6</f>
        <v>0</v>
      </c>
      <c r="Q27" s="173">
        <f>K27*Q6</f>
        <v>1</v>
      </c>
      <c r="R27" s="215"/>
      <c r="S27" s="174">
        <f>SUM(O27:R27)</f>
        <v>1</v>
      </c>
      <c r="T27" s="172" t="str">
        <f t="shared" si="29"/>
        <v>Switzerland</v>
      </c>
      <c r="U27" s="173">
        <f>O27*U6</f>
        <v>0</v>
      </c>
      <c r="V27" s="173">
        <f>P27*V6</f>
        <v>0</v>
      </c>
      <c r="W27" s="173">
        <f>Q27*W6</f>
        <v>1</v>
      </c>
      <c r="X27" s="215"/>
      <c r="Y27" s="174">
        <f>SUM(U27:X27)</f>
        <v>1</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232" t="s">
        <v>631</v>
      </c>
      <c r="E29" s="232" t="s">
        <v>632</v>
      </c>
      <c r="F29" s="232" t="s">
        <v>633</v>
      </c>
      <c r="G29" s="232" t="s">
        <v>676</v>
      </c>
      <c r="H29" s="232" t="s">
        <v>411</v>
      </c>
      <c r="I29" s="232" t="s">
        <v>661</v>
      </c>
      <c r="J29" s="232" t="s">
        <v>634</v>
      </c>
      <c r="K29" s="233" t="s">
        <v>635</v>
      </c>
    </row>
    <row r="30" spans="1:25" x14ac:dyDescent="0.25">
      <c r="A30" s="234">
        <f>K30</f>
        <v>2</v>
      </c>
      <c r="B30" s="235" t="str">
        <f>B2</f>
        <v>Canada</v>
      </c>
      <c r="C30" s="236">
        <f>VLOOKUP($B30,Lookup10,3,FALSE)</f>
        <v>1</v>
      </c>
      <c r="D30" s="236">
        <f>VLOOKUP($B30,Lookup10,7,FALSE)</f>
        <v>1</v>
      </c>
      <c r="E30" s="236">
        <f>VLOOKUP($B30,Lookup10,8,FALSE)</f>
        <v>1</v>
      </c>
      <c r="F30" s="236">
        <f>VLOOKUP($B30,Lookup10,9,FALSE)</f>
        <v>0</v>
      </c>
      <c r="G30" s="237">
        <f>Z10</f>
        <v>1</v>
      </c>
      <c r="H30" s="236">
        <f>VLOOKUP($B30,Lookup10,11,FALSE)</f>
        <v>2</v>
      </c>
      <c r="I30" s="236">
        <f>VLOOKUP($B30,Lookup11,2,FALSE)</f>
        <v>27</v>
      </c>
      <c r="J30" s="238">
        <f>ROUND(D30*D$34+F30*F$34+G30*G$34-H30*H$34-I30*I$34,8)</f>
        <v>10000.9773</v>
      </c>
      <c r="K30" s="239">
        <f>RANK(J30,J$30:J$33,0)</f>
        <v>2</v>
      </c>
    </row>
    <row r="31" spans="1:25" x14ac:dyDescent="0.25">
      <c r="A31" s="234">
        <f t="shared" ref="A31:A33" si="30">K31</f>
        <v>4</v>
      </c>
      <c r="B31" s="235" t="str">
        <f>C2</f>
        <v>Bosnia-Herzegovina</v>
      </c>
      <c r="C31" s="236">
        <f>VLOOKUP($B31,Lookup10,3,FALSE)</f>
        <v>1</v>
      </c>
      <c r="D31" s="236">
        <f>VLOOKUP($B31,Lookup10,7,FALSE)</f>
        <v>1</v>
      </c>
      <c r="E31" s="236">
        <f>VLOOKUP($B31,Lookup10,8,FALSE)</f>
        <v>1</v>
      </c>
      <c r="F31" s="236">
        <f>VLOOKUP($B31,Lookup10,9,FALSE)</f>
        <v>0</v>
      </c>
      <c r="G31" s="237">
        <f t="shared" ref="G31:G33" si="31">Z11</f>
        <v>1</v>
      </c>
      <c r="H31" s="236">
        <f>VLOOKUP($B31,Lookup10,11,FALSE)</f>
        <v>3</v>
      </c>
      <c r="I31" s="236">
        <f>VLOOKUP($B31,Lookup11,2,FALSE)</f>
        <v>43</v>
      </c>
      <c r="J31" s="238">
        <f t="shared" ref="J31:J33" si="32">ROUND(D31*D$34+F31*F$34+G31*G$34-H31*H$34-I31*I$34,8)</f>
        <v>10000.965700000001</v>
      </c>
      <c r="K31" s="239">
        <f>RANK(J31,J$30:J$33,0)</f>
        <v>4</v>
      </c>
    </row>
    <row r="32" spans="1:25" x14ac:dyDescent="0.25">
      <c r="A32" s="234">
        <f t="shared" si="30"/>
        <v>3</v>
      </c>
      <c r="B32" s="235" t="str">
        <f>D2</f>
        <v>Qatar</v>
      </c>
      <c r="C32" s="236">
        <f>VLOOKUP($B32,Lookup10,3,FALSE)</f>
        <v>1</v>
      </c>
      <c r="D32" s="236">
        <f>VLOOKUP($B32,Lookup10,7,FALSE)</f>
        <v>1</v>
      </c>
      <c r="E32" s="236">
        <f>VLOOKUP($B32,Lookup10,8,FALSE)</f>
        <v>1</v>
      </c>
      <c r="F32" s="236">
        <f>VLOOKUP($B32,Lookup10,9,FALSE)</f>
        <v>0</v>
      </c>
      <c r="G32" s="237">
        <f t="shared" si="31"/>
        <v>1</v>
      </c>
      <c r="H32" s="236">
        <f>VLOOKUP($B32,Lookup10,11,FALSE)</f>
        <v>2</v>
      </c>
      <c r="I32" s="236">
        <f>VLOOKUP($B32,Lookup11,2,FALSE)</f>
        <v>38</v>
      </c>
      <c r="J32" s="238">
        <f t="shared" si="32"/>
        <v>10000.976199999999</v>
      </c>
      <c r="K32" s="239">
        <f>RANK(J32,J$30:J$33,0)</f>
        <v>3</v>
      </c>
    </row>
    <row r="33" spans="1:16" x14ac:dyDescent="0.25">
      <c r="A33" s="234">
        <f t="shared" si="30"/>
        <v>1</v>
      </c>
      <c r="B33" s="235" t="str">
        <f>E2</f>
        <v>Switzerland</v>
      </c>
      <c r="C33" s="236">
        <f>VLOOKUP($B33,Lookup10,3,FALSE)</f>
        <v>1</v>
      </c>
      <c r="D33" s="236">
        <f>VLOOKUP($B33,Lookup10,7,FALSE)</f>
        <v>1</v>
      </c>
      <c r="E33" s="236">
        <f>VLOOKUP($B33,Lookup10,8,FALSE)</f>
        <v>1</v>
      </c>
      <c r="F33" s="236">
        <f>VLOOKUP($B33,Lookup10,9,FALSE)</f>
        <v>0</v>
      </c>
      <c r="G33" s="237">
        <f t="shared" si="31"/>
        <v>1</v>
      </c>
      <c r="H33" s="236">
        <f>VLOOKUP($B33,Lookup10,11,FALSE)</f>
        <v>1</v>
      </c>
      <c r="I33" s="236">
        <f>VLOOKUP($B33,Lookup11,2,FALSE)</f>
        <v>18</v>
      </c>
      <c r="J33" s="238">
        <f t="shared" si="32"/>
        <v>10000.9882</v>
      </c>
      <c r="K33" s="239">
        <f>RANK(J33,J$30:J$33,0)</f>
        <v>1</v>
      </c>
    </row>
    <row r="34" spans="1:16" x14ac:dyDescent="0.25">
      <c r="A34" s="240"/>
      <c r="B34" s="241" t="s">
        <v>636</v>
      </c>
      <c r="C34" s="242">
        <f>SUM(C30:C33)</f>
        <v>4</v>
      </c>
      <c r="D34" s="205">
        <v>1</v>
      </c>
      <c r="E34" s="205"/>
      <c r="F34" s="205">
        <v>100</v>
      </c>
      <c r="G34" s="205">
        <v>10000</v>
      </c>
      <c r="H34" s="205">
        <v>0.01</v>
      </c>
      <c r="I34" s="205">
        <v>1E-4</v>
      </c>
      <c r="J34" s="242"/>
      <c r="K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CanadaBosnia-Herzegovina</v>
      </c>
      <c r="B37" s="158" t="str">
        <f>B1&amp;C1</f>
        <v>B1B2</v>
      </c>
      <c r="C37" s="158">
        <f>IF(Data!Q10="",0,1)</f>
        <v>1</v>
      </c>
      <c r="D37" s="150" t="str">
        <f>B2</f>
        <v>Canada</v>
      </c>
      <c r="E37" s="150" t="str">
        <f>C2</f>
        <v>Bosnia-Herzegovina</v>
      </c>
      <c r="F37" s="158">
        <f t="shared" ref="F37:F42" si="33">VLOOKUP($B37,Lookup12,2,FALSE)</f>
        <v>1</v>
      </c>
      <c r="G37" s="158">
        <f t="shared" ref="G37:G42" si="34">VLOOKUP($B37,Lookup12,3,FALSE)</f>
        <v>1</v>
      </c>
      <c r="H37" s="158">
        <f t="shared" ref="H37:H42" si="35">IF(C37=0,0,IF(F37&lt;G37,Lpts,IF(F37&gt;G37,Wpts,Dpts)))</f>
        <v>1</v>
      </c>
      <c r="I37" s="158">
        <f t="shared" ref="I37:I42" si="36">IF(C37=0,0,IF(G37&lt;F37,Lpts,IF(G37&gt;F37,Wpts,Dpts)))</f>
        <v>1</v>
      </c>
      <c r="J37" s="158">
        <f t="shared" ref="J37:J42" si="37">VLOOKUP($B37,Lookup12,4,FALSE)</f>
        <v>2</v>
      </c>
      <c r="K37" s="158">
        <f t="shared" ref="K37:K42" si="38">VLOOKUP($B37,Lookup12,5,FALSE)</f>
        <v>3</v>
      </c>
      <c r="L37" s="143"/>
      <c r="M37" s="143"/>
      <c r="N37" s="143"/>
      <c r="O37" s="143"/>
      <c r="P37" s="143"/>
    </row>
    <row r="38" spans="1:16" x14ac:dyDescent="0.25">
      <c r="A38" s="149" t="str">
        <f>D2&amp;E2</f>
        <v>QatarSwitzerland</v>
      </c>
      <c r="B38" s="158" t="str">
        <f>D1&amp;E1</f>
        <v>B3B4</v>
      </c>
      <c r="C38" s="158">
        <f>IF(Data!Q11="",0,1)</f>
        <v>1</v>
      </c>
      <c r="D38" s="150" t="str">
        <f>D2</f>
        <v>Qatar</v>
      </c>
      <c r="E38" s="150" t="str">
        <f>E2</f>
        <v>Switzerland</v>
      </c>
      <c r="F38" s="158">
        <f t="shared" si="33"/>
        <v>1</v>
      </c>
      <c r="G38" s="158">
        <f t="shared" si="34"/>
        <v>1</v>
      </c>
      <c r="H38" s="158">
        <f t="shared" si="35"/>
        <v>1</v>
      </c>
      <c r="I38" s="158">
        <f t="shared" si="36"/>
        <v>1</v>
      </c>
      <c r="J38" s="158">
        <f t="shared" si="37"/>
        <v>2</v>
      </c>
      <c r="K38" s="158">
        <f t="shared" si="38"/>
        <v>1</v>
      </c>
      <c r="L38" s="143"/>
      <c r="M38" s="143"/>
      <c r="N38" s="143"/>
      <c r="O38" s="143"/>
      <c r="P38" s="143"/>
    </row>
    <row r="39" spans="1:16" x14ac:dyDescent="0.25">
      <c r="A39" s="149" t="str">
        <f>B2&amp;D2</f>
        <v>CanadaQatar</v>
      </c>
      <c r="B39" s="158" t="str">
        <f>B1&amp;D1</f>
        <v>B1B3</v>
      </c>
      <c r="C39" s="158">
        <f>IF(Data!Q12="",0,1)</f>
        <v>0</v>
      </c>
      <c r="D39" s="150" t="str">
        <f>B2</f>
        <v>Canada</v>
      </c>
      <c r="E39" s="150" t="str">
        <f>D2</f>
        <v>Qatar</v>
      </c>
      <c r="F39" s="158" t="str">
        <f t="shared" si="33"/>
        <v/>
      </c>
      <c r="G39" s="158" t="str">
        <f t="shared" si="34"/>
        <v/>
      </c>
      <c r="H39" s="158">
        <f t="shared" si="35"/>
        <v>0</v>
      </c>
      <c r="I39" s="158">
        <f t="shared" si="36"/>
        <v>0</v>
      </c>
      <c r="J39" s="158" t="str">
        <f t="shared" si="37"/>
        <v/>
      </c>
      <c r="K39" s="158" t="str">
        <f t="shared" si="38"/>
        <v/>
      </c>
      <c r="L39" s="143"/>
      <c r="M39" s="143"/>
      <c r="N39" s="143"/>
      <c r="O39" s="143"/>
      <c r="P39" s="143"/>
    </row>
    <row r="40" spans="1:16" x14ac:dyDescent="0.25">
      <c r="A40" s="149" t="str">
        <f>E2&amp;C2</f>
        <v>SwitzerlandBosnia-Herzegovina</v>
      </c>
      <c r="B40" s="158" t="str">
        <f>E1&amp;C1</f>
        <v>B4B2</v>
      </c>
      <c r="C40" s="158">
        <f>IF(Data!Q13="",0,1)</f>
        <v>0</v>
      </c>
      <c r="D40" s="150" t="str">
        <f>E2</f>
        <v>Switzerland</v>
      </c>
      <c r="E40" s="150" t="str">
        <f>C2</f>
        <v>Bosnia-Herzegovina</v>
      </c>
      <c r="F40" s="158" t="str">
        <f t="shared" si="33"/>
        <v/>
      </c>
      <c r="G40" s="158" t="str">
        <f t="shared" si="34"/>
        <v/>
      </c>
      <c r="H40" s="158">
        <f t="shared" si="35"/>
        <v>0</v>
      </c>
      <c r="I40" s="158">
        <f t="shared" si="36"/>
        <v>0</v>
      </c>
      <c r="J40" s="158" t="str">
        <f t="shared" si="37"/>
        <v/>
      </c>
      <c r="K40" s="158" t="str">
        <f t="shared" si="38"/>
        <v/>
      </c>
      <c r="L40" s="143"/>
      <c r="M40" s="143"/>
      <c r="N40" s="143"/>
      <c r="O40" s="143"/>
      <c r="P40" s="143"/>
    </row>
    <row r="41" spans="1:16" x14ac:dyDescent="0.25">
      <c r="A41" s="149" t="str">
        <f>C2&amp;D2</f>
        <v>Bosnia-HerzegovinaQatar</v>
      </c>
      <c r="B41" s="158" t="str">
        <f>C1&amp;D1</f>
        <v>B2B3</v>
      </c>
      <c r="C41" s="158">
        <f>IF(Data!Q14="",0,1)</f>
        <v>0</v>
      </c>
      <c r="D41" s="150" t="str">
        <f>C2</f>
        <v>Bosnia-Herzegovina</v>
      </c>
      <c r="E41" s="150" t="str">
        <f>D2</f>
        <v>Qatar</v>
      </c>
      <c r="F41" s="158" t="str">
        <f t="shared" si="33"/>
        <v/>
      </c>
      <c r="G41" s="158" t="str">
        <f t="shared" si="34"/>
        <v/>
      </c>
      <c r="H41" s="158">
        <f t="shared" si="35"/>
        <v>0</v>
      </c>
      <c r="I41" s="158">
        <f t="shared" si="36"/>
        <v>0</v>
      </c>
      <c r="J41" s="158" t="str">
        <f t="shared" si="37"/>
        <v/>
      </c>
      <c r="K41" s="158" t="str">
        <f t="shared" si="38"/>
        <v/>
      </c>
      <c r="L41" s="143"/>
      <c r="M41" s="143"/>
      <c r="N41" s="143"/>
      <c r="O41" s="143"/>
      <c r="P41" s="143"/>
    </row>
    <row r="42" spans="1:16" x14ac:dyDescent="0.25">
      <c r="A42" s="151" t="str">
        <f>E2&amp;B2</f>
        <v>SwitzerlandCanada</v>
      </c>
      <c r="B42" s="159" t="str">
        <f>E1&amp;B1</f>
        <v>B4B1</v>
      </c>
      <c r="C42" s="159">
        <f>IF(Data!Q15="",0,1)</f>
        <v>0</v>
      </c>
      <c r="D42" s="152" t="str">
        <f>E2</f>
        <v>Switzerland</v>
      </c>
      <c r="E42" s="152" t="str">
        <f>B2</f>
        <v>Canada</v>
      </c>
      <c r="F42" s="159" t="str">
        <f t="shared" si="33"/>
        <v/>
      </c>
      <c r="G42" s="159" t="str">
        <f t="shared" si="34"/>
        <v/>
      </c>
      <c r="H42" s="159">
        <f t="shared" si="35"/>
        <v>0</v>
      </c>
      <c r="I42" s="159">
        <f t="shared" si="36"/>
        <v>0</v>
      </c>
      <c r="J42" s="159" t="str">
        <f t="shared" si="37"/>
        <v/>
      </c>
      <c r="K42" s="159" t="str">
        <f t="shared" si="38"/>
        <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$B45</f>
        <v>Switzerland</v>
      </c>
      <c r="M44" s="154" t="str">
        <f>$B46</f>
        <v>Canada</v>
      </c>
      <c r="N44" s="154" t="str">
        <f>$B47</f>
        <v>Qatar</v>
      </c>
      <c r="O44" s="154" t="str">
        <f>$B48</f>
        <v>Bosnia-Herzegovina</v>
      </c>
      <c r="P44" s="155"/>
    </row>
    <row r="45" spans="1:16" x14ac:dyDescent="0.25">
      <c r="A45" s="156">
        <v>1</v>
      </c>
      <c r="B45" s="156" t="str">
        <f>VLOOKUP($A45,RankingB,2,FALSE)</f>
        <v>Switzerland</v>
      </c>
      <c r="C45" s="157">
        <f>VLOOKUP($B45,Lookup10,3,FALSE)</f>
        <v>1</v>
      </c>
      <c r="D45" s="157">
        <f>VLOOKUP($B45,Lookup10,4,FALSE)</f>
        <v>0</v>
      </c>
      <c r="E45" s="157">
        <f>VLOOKUP($B45,Lookup10,5,FALSE)</f>
        <v>1</v>
      </c>
      <c r="F45" s="157">
        <f>VLOOKUP($B45,Lookup10,6,FALSE)</f>
        <v>0</v>
      </c>
      <c r="G45" s="157">
        <f>VLOOKUP($B45,Lookup10,7,FALSE)</f>
        <v>1</v>
      </c>
      <c r="H45" s="157">
        <f>VLOOKUP($B45,Lookup10,8,FALSE)</f>
        <v>1</v>
      </c>
      <c r="I45" s="157">
        <f>VLOOKUP($B45,Lookup10,9,FALSE)</f>
        <v>0</v>
      </c>
      <c r="J45" s="157">
        <f>VLOOKUP($B45,Lookup10,10,FALSE)</f>
        <v>1</v>
      </c>
      <c r="K45" s="201" t="str">
        <f>B45</f>
        <v>Switzerland</v>
      </c>
      <c r="L45" s="203"/>
      <c r="M45" s="202" t="str">
        <f>IFERROR(VLOOKUP($B45&amp;M$44,A37:G42,6,FALSE)&amp;"-"&amp;VLOOKUP($B45&amp;M$44,A37:G42,7,FALSE),VLOOKUP(M$44&amp;$B45,A37:G42,7,FALSE)&amp;"-"&amp;VLOOKUP(M$44&amp;$B45,A37:G42,6,FALSE))</f>
        <v>-</v>
      </c>
      <c r="N45" s="202" t="str">
        <f>IFERROR(VLOOKUP($B45&amp;N$44,A37:G42,6,FALSE)&amp;"-"&amp;VLOOKUP($B45&amp;N$44,A37:G42,7,FALSE),VLOOKUP(N$44&amp;$B45,A37:G42,7,FALSE)&amp;"-"&amp;VLOOKUP(N$44&amp;$B45,A37:G42,6,FALSE))</f>
        <v>1-1</v>
      </c>
      <c r="O45" s="202" t="str">
        <f>IFERROR(VLOOKUP($B45&amp;O$44,A37:G42,6,FALSE)&amp;"-"&amp;VLOOKUP($B45&amp;O$44,A37:G42,7,FALSE),VLOOKUP(O$44&amp;$B45,A37:G42,7,FALSE)&amp;"-"&amp;VLOOKUP(O$44&amp;$B45,A37:G42,6,FALSE))</f>
        <v>-</v>
      </c>
      <c r="P45" s="155"/>
    </row>
    <row r="46" spans="1:16" x14ac:dyDescent="0.25">
      <c r="A46" s="156">
        <v>2</v>
      </c>
      <c r="B46" s="156" t="str">
        <f>VLOOKUP($A46,RankingB,2,FALSE)</f>
        <v>Canada</v>
      </c>
      <c r="C46" s="157">
        <f>VLOOKUP($B46,Lookup10,3,FALSE)</f>
        <v>1</v>
      </c>
      <c r="D46" s="157">
        <f>VLOOKUP($B46,Lookup10,4,FALSE)</f>
        <v>0</v>
      </c>
      <c r="E46" s="157">
        <f>VLOOKUP($B46,Lookup10,5,FALSE)</f>
        <v>1</v>
      </c>
      <c r="F46" s="157">
        <f>VLOOKUP($B46,Lookup10,6,FALSE)</f>
        <v>0</v>
      </c>
      <c r="G46" s="157">
        <f>VLOOKUP($B46,Lookup10,7,FALSE)</f>
        <v>1</v>
      </c>
      <c r="H46" s="157">
        <f>VLOOKUP($B46,Lookup10,8,FALSE)</f>
        <v>1</v>
      </c>
      <c r="I46" s="157">
        <f>VLOOKUP($B46,Lookup10,9,FALSE)</f>
        <v>0</v>
      </c>
      <c r="J46" s="157">
        <f>VLOOKUP($B46,Lookup10,10,FALSE)</f>
        <v>1</v>
      </c>
      <c r="K46" s="201" t="str">
        <f>B46</f>
        <v>Canada</v>
      </c>
      <c r="L46" s="202" t="str">
        <f>IFERROR(VLOOKUP($B46&amp;L$44,A37:G42,6,FALSE)&amp;"-"&amp;VLOOKUP($B46&amp;L$44,A37:G42,7,FALSE),VLOOKUP(L$44&amp;$B46,A37:G42,7,FALSE)&amp;"-"&amp;VLOOKUP(L$44&amp;$B46,A37:G42,6,FALSE))</f>
        <v>-</v>
      </c>
      <c r="M46" s="203"/>
      <c r="N46" s="202" t="str">
        <f>IFERROR(VLOOKUP($B46&amp;N$44,A37:G42,6,FALSE)&amp;"-"&amp;VLOOKUP($B46&amp;N$44,A37:G42,7,FALSE),VLOOKUP(N$44&amp;$B46,A37:G42,7,FALSE)&amp;"-"&amp;VLOOKUP(N$44&amp;$B46,A37:G42,6,FALSE))</f>
        <v>-</v>
      </c>
      <c r="O46" s="202" t="str">
        <f>IFERROR(VLOOKUP($B46&amp;O$44,A37:G42,6,FALSE)&amp;"-"&amp;VLOOKUP($B46&amp;O$44,A37:G42,7,FALSE),VLOOKUP(O$44&amp;$B46,A37:G42,7,FALSE)&amp;"-"&amp;VLOOKUP(O$44&amp;$B46,A37:G42,6,FALSE))</f>
        <v>1-1</v>
      </c>
      <c r="P46" s="155"/>
    </row>
    <row r="47" spans="1:16" x14ac:dyDescent="0.25">
      <c r="A47" s="156">
        <v>3</v>
      </c>
      <c r="B47" s="156" t="str">
        <f>VLOOKUP($A47,RankingB,2,FALSE)</f>
        <v>Qatar</v>
      </c>
      <c r="C47" s="157">
        <f>VLOOKUP($B47,Lookup10,3,FALSE)</f>
        <v>1</v>
      </c>
      <c r="D47" s="157">
        <f>VLOOKUP($B47,Lookup10,4,FALSE)</f>
        <v>0</v>
      </c>
      <c r="E47" s="157">
        <f>VLOOKUP($B47,Lookup10,5,FALSE)</f>
        <v>1</v>
      </c>
      <c r="F47" s="157">
        <f>VLOOKUP($B47,Lookup10,6,FALSE)</f>
        <v>0</v>
      </c>
      <c r="G47" s="157">
        <f>VLOOKUP($B47,Lookup10,7,FALSE)</f>
        <v>1</v>
      </c>
      <c r="H47" s="157">
        <f>VLOOKUP($B47,Lookup10,8,FALSE)</f>
        <v>1</v>
      </c>
      <c r="I47" s="157">
        <f>VLOOKUP($B47,Lookup10,9,FALSE)</f>
        <v>0</v>
      </c>
      <c r="J47" s="157">
        <f>VLOOKUP($B47,Lookup10,10,FALSE)</f>
        <v>1</v>
      </c>
      <c r="K47" s="201" t="str">
        <f>B47</f>
        <v>Qatar</v>
      </c>
      <c r="L47" s="202" t="str">
        <f>IFERROR(VLOOKUP($B47&amp;L$44,A37:G42,6,FALSE)&amp;"-"&amp;VLOOKUP($B47&amp;L$44,A37:G42,7,FALSE),VLOOKUP(L$44&amp;$B47,A37:G42,7,FALSE)&amp;"-"&amp;VLOOKUP(L$44&amp;$B47,A37:G42,6,FALSE))</f>
        <v>1-1</v>
      </c>
      <c r="M47" s="202" t="str">
        <f>IFERROR(VLOOKUP($B47&amp;M$44,A37:G42,6,FALSE)&amp;"-"&amp;VLOOKUP($B47&amp;M$44,A37:G42,7,FALSE),VLOOKUP(M$44&amp;$B47,A37:G42,7,FALSE)&amp;"-"&amp;VLOOKUP(M$44&amp;$B47,A37:G42,6,FALSE))</f>
        <v>-</v>
      </c>
      <c r="N47" s="203"/>
      <c r="O47" s="202" t="str">
        <f>IFERROR(VLOOKUP($B47&amp;O$44,A37:G42,6,FALSE)&amp;"-"&amp;VLOOKUP($B47&amp;O$44,A37:G42,7,FALSE),VLOOKUP(O$44&amp;$B47,A37:G42,7,FALSE)&amp;"-"&amp;VLOOKUP(O$44&amp;$B47,A37:G42,6,FALSE))</f>
        <v>-</v>
      </c>
      <c r="P47" s="155"/>
    </row>
    <row r="48" spans="1:16" x14ac:dyDescent="0.25">
      <c r="A48" s="156">
        <v>4</v>
      </c>
      <c r="B48" s="156" t="str">
        <f>VLOOKUP($A48,RankingB,2,FALSE)</f>
        <v>Bosnia-Herzegovina</v>
      </c>
      <c r="C48" s="157">
        <f>VLOOKUP($B48,Lookup10,3,FALSE)</f>
        <v>1</v>
      </c>
      <c r="D48" s="157">
        <f>VLOOKUP($B48,Lookup10,4,FALSE)</f>
        <v>0</v>
      </c>
      <c r="E48" s="157">
        <f>VLOOKUP($B48,Lookup10,5,FALSE)</f>
        <v>1</v>
      </c>
      <c r="F48" s="157">
        <f>VLOOKUP($B48,Lookup10,6,FALSE)</f>
        <v>0</v>
      </c>
      <c r="G48" s="157">
        <f>VLOOKUP($B48,Lookup10,7,FALSE)</f>
        <v>1</v>
      </c>
      <c r="H48" s="157">
        <f>VLOOKUP($B48,Lookup10,8,FALSE)</f>
        <v>1</v>
      </c>
      <c r="I48" s="157">
        <f>VLOOKUP($B48,Lookup10,9,FALSE)</f>
        <v>0</v>
      </c>
      <c r="J48" s="157">
        <f>VLOOKUP($B48,Lookup10,10,FALSE)</f>
        <v>1</v>
      </c>
      <c r="K48" s="201" t="str">
        <f>B48</f>
        <v>Bosnia-Herzegovina</v>
      </c>
      <c r="L48" s="202" t="str">
        <f>IFERROR(VLOOKUP($B48&amp;L$44,A37:G42,6,FALSE)&amp;"-"&amp;VLOOKUP($B48&amp;L$44,A37:G42,7,FALSE),VLOOKUP(L$44&amp;$B48,A37:G42,7,FALSE)&amp;"-"&amp;VLOOKUP(L$44&amp;$B48,A37:G42,6,FALSE))</f>
        <v>-</v>
      </c>
      <c r="M48" s="202" t="str">
        <f>IFERROR(VLOOKUP($B48&amp;M$44,A37:G42,6,FALSE)&amp;"-"&amp;VLOOKUP($B48&amp;M$44,A37:G42,7,FALSE),VLOOKUP(M$44&amp;$B48,A37:G42,7,FALSE)&amp;"-"&amp;VLOOKUP(M$44&amp;$B48,A37:G42,6,FALSE))</f>
        <v>1-1</v>
      </c>
      <c r="N48" s="202" t="str">
        <f>IFERROR(VLOOKUP($B48&amp;N$44,A37:G42,6,FALSE)&amp;"-"&amp;VLOOKUP($B48&amp;N$44,A37:G42,7,FALSE),VLOOKUP(N$44&amp;$B48,A37:G42,7,FALSE)&amp;"-"&amp;VLOOKUP(N$44&amp;$B48,A37:G42,6,FALSE))</f>
        <v>-</v>
      </c>
      <c r="O48" s="203"/>
      <c r="P48" s="155"/>
    </row>
    <row r="49" spans="1:16" x14ac:dyDescent="0.25">
      <c r="A49" s="143"/>
      <c r="B49" s="143"/>
      <c r="C49" s="461">
        <f>SUM(C45:C48)</f>
        <v>4</v>
      </c>
      <c r="D49" s="143"/>
      <c r="E49" s="143"/>
      <c r="F49" s="143"/>
      <c r="G49" s="143"/>
      <c r="H49" s="143"/>
      <c r="I49" s="143"/>
      <c r="J49" s="143"/>
      <c r="K49" s="143"/>
      <c r="L49" s="143"/>
      <c r="M49" s="143"/>
      <c r="N49" s="143"/>
      <c r="O49" s="143"/>
      <c r="P49" s="143"/>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74F95-A26D-41FF-AB12-FE294E05CF6B}">
  <sheetPr>
    <tabColor rgb="FFC00000"/>
  </sheetPr>
  <dimension ref="A1:Z49"/>
  <sheetViews>
    <sheetView workbookViewId="0">
      <pane ySplit="2" topLeftCell="A19" activePane="bottomLeft" state="frozen"/>
      <selection activeCell="C42" sqref="C42"/>
      <selection pane="bottomLeft" activeCell="C42" sqref="C42"/>
    </sheetView>
  </sheetViews>
  <sheetFormatPr defaultColWidth="16.7109375" defaultRowHeight="15" x14ac:dyDescent="0.25"/>
  <sheetData>
    <row r="1" spans="1:26" x14ac:dyDescent="0.25">
      <c r="A1" s="228" t="s">
        <v>320</v>
      </c>
      <c r="B1" s="216" t="str">
        <f>A2&amp;1</f>
        <v>C1</v>
      </c>
      <c r="C1" s="216" t="str">
        <f>A2&amp;2</f>
        <v>C2</v>
      </c>
      <c r="D1" s="216" t="str">
        <f>A2&amp;3</f>
        <v>C3</v>
      </c>
      <c r="E1" s="216" t="str">
        <f>A2&amp;4</f>
        <v>C4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328</v>
      </c>
      <c r="B2" s="217" t="str">
        <f>VLOOKUP(B1,Lookup08,2,FALSE)</f>
        <v>Brazil</v>
      </c>
      <c r="C2" s="217" t="str">
        <f>VLOOKUP(C1,Lookup08,2,FALSE)</f>
        <v>Morocco</v>
      </c>
      <c r="D2" s="217" t="str">
        <f>VLOOKUP(D1,Lookup08,2,FALSE)</f>
        <v>Haiti</v>
      </c>
      <c r="E2" s="217" t="str">
        <f>VLOOKUP(E1,Lookup08,2,FALSE)</f>
        <v>Scotland</v>
      </c>
      <c r="F2" s="144"/>
      <c r="G2" s="144"/>
      <c r="H2" s="195"/>
      <c r="I2" s="196" t="str">
        <f>B2</f>
        <v>Brazil</v>
      </c>
      <c r="J2" s="196" t="str">
        <f>C2</f>
        <v>Morocco</v>
      </c>
      <c r="K2" s="196" t="str">
        <f>D2</f>
        <v>Haiti</v>
      </c>
      <c r="L2" s="196" t="str">
        <f>E2</f>
        <v>Scotland</v>
      </c>
      <c r="M2" s="197" t="s">
        <v>26</v>
      </c>
      <c r="N2" s="195"/>
      <c r="O2" s="196" t="str">
        <f>I2</f>
        <v>Brazil</v>
      </c>
      <c r="P2" s="196" t="str">
        <f t="shared" ref="P2:R2" si="0">J2</f>
        <v>Morocco</v>
      </c>
      <c r="Q2" s="196" t="str">
        <f t="shared" si="0"/>
        <v>Haiti</v>
      </c>
      <c r="R2" s="196" t="str">
        <f t="shared" si="0"/>
        <v>Scotland</v>
      </c>
      <c r="S2" s="197" t="s">
        <v>26</v>
      </c>
      <c r="T2" s="195"/>
      <c r="U2" s="196" t="str">
        <f>O2</f>
        <v>Brazil</v>
      </c>
      <c r="V2" s="196" t="str">
        <f t="shared" ref="V2:X2" si="1">P2</f>
        <v>Morocco</v>
      </c>
      <c r="W2" s="196" t="str">
        <f t="shared" si="1"/>
        <v>Haiti</v>
      </c>
      <c r="X2" s="196" t="str">
        <f t="shared" si="1"/>
        <v>Scotland</v>
      </c>
      <c r="Y2" s="197" t="s">
        <v>26</v>
      </c>
    </row>
    <row r="3" spans="1:26" x14ac:dyDescent="0.25">
      <c r="A3" s="144"/>
      <c r="B3" s="144"/>
      <c r="C3" s="144"/>
      <c r="F3" s="144"/>
      <c r="G3" s="144"/>
      <c r="H3" s="195" t="str">
        <f>B2</f>
        <v>Brazil</v>
      </c>
      <c r="I3" s="211"/>
      <c r="J3" s="196">
        <f>IF(G10=G11,1,0)</f>
        <v>1</v>
      </c>
      <c r="K3" s="196">
        <f>IF(G10=G12,1,0)</f>
        <v>0</v>
      </c>
      <c r="L3" s="196">
        <f>IF(G10=G13,1,0)</f>
        <v>0</v>
      </c>
      <c r="M3" s="197">
        <f>SUM(I3:L3)</f>
        <v>1</v>
      </c>
      <c r="N3" s="195" t="str">
        <f>H3</f>
        <v>Brazil</v>
      </c>
      <c r="O3" s="211"/>
      <c r="P3" s="196">
        <f>IF(M10=M11,1,0)</f>
        <v>1</v>
      </c>
      <c r="Q3" s="196">
        <f>IF(M10=M12,1,0)</f>
        <v>0</v>
      </c>
      <c r="R3" s="196">
        <f>IF(M10=M13,1,0)</f>
        <v>0</v>
      </c>
      <c r="S3" s="197">
        <f>SUM(O3:R3)</f>
        <v>1</v>
      </c>
      <c r="T3" s="195" t="str">
        <f>N3</f>
        <v>Brazil</v>
      </c>
      <c r="U3" s="211"/>
      <c r="V3" s="196">
        <f>IF(S10=S11,1,0)</f>
        <v>1</v>
      </c>
      <c r="W3" s="196">
        <f>IF(S10=S12,1,0)</f>
        <v>0</v>
      </c>
      <c r="X3" s="196">
        <f>IF(S10=S13,1,0)</f>
        <v>0</v>
      </c>
      <c r="Y3" s="197">
        <f>SUM(U3:X3)</f>
        <v>1</v>
      </c>
    </row>
    <row r="4" spans="1:26" x14ac:dyDescent="0.25">
      <c r="A4" s="144"/>
      <c r="B4" s="144"/>
      <c r="C4" s="144"/>
      <c r="F4" s="144"/>
      <c r="G4" s="144"/>
      <c r="H4" s="195" t="str">
        <f>C2</f>
        <v>Morocco</v>
      </c>
      <c r="I4" s="196">
        <f>IF(G11=G10,1,0)</f>
        <v>1</v>
      </c>
      <c r="J4" s="211"/>
      <c r="K4" s="196">
        <f>IF(G11=G12,1,0)</f>
        <v>0</v>
      </c>
      <c r="L4" s="196">
        <f>IF(G11=G13,1,0)</f>
        <v>0</v>
      </c>
      <c r="M4" s="197">
        <f>SUM(I4:L4)</f>
        <v>1</v>
      </c>
      <c r="N4" s="195" t="str">
        <f t="shared" ref="N4:N6" si="2">H4</f>
        <v>Morocco</v>
      </c>
      <c r="O4" s="196">
        <f>IF(M11=M10,1,0)</f>
        <v>1</v>
      </c>
      <c r="P4" s="211"/>
      <c r="Q4" s="196">
        <f>IF(M11=M12,1,0)</f>
        <v>0</v>
      </c>
      <c r="R4" s="196">
        <f>IF(M11=M13,1,0)</f>
        <v>0</v>
      </c>
      <c r="S4" s="197">
        <f>SUM(O4:R4)</f>
        <v>1</v>
      </c>
      <c r="T4" s="195" t="str">
        <f t="shared" ref="T4:T6" si="3">N4</f>
        <v>Morocco</v>
      </c>
      <c r="U4" s="196">
        <f>IF(S11=S10,1,0)</f>
        <v>1</v>
      </c>
      <c r="V4" s="211"/>
      <c r="W4" s="196">
        <f>IF(S11=S12,1,0)</f>
        <v>0</v>
      </c>
      <c r="X4" s="196">
        <f>IF(S11=S13,1,0)</f>
        <v>0</v>
      </c>
      <c r="Y4" s="197">
        <f>SUM(U4:X4)</f>
        <v>1</v>
      </c>
    </row>
    <row r="5" spans="1:26" x14ac:dyDescent="0.25">
      <c r="A5" s="144"/>
      <c r="B5" s="144"/>
      <c r="C5" s="144"/>
      <c r="F5" s="144"/>
      <c r="G5" s="144"/>
      <c r="H5" s="195" t="str">
        <f>D2</f>
        <v>Haiti</v>
      </c>
      <c r="I5" s="196">
        <f>IF(G12=G10,1,0)</f>
        <v>0</v>
      </c>
      <c r="J5" s="196">
        <f>IF(G12=G11,1,0)</f>
        <v>0</v>
      </c>
      <c r="K5" s="211"/>
      <c r="L5" s="196">
        <f>IF(G12=G13,1,0)</f>
        <v>0</v>
      </c>
      <c r="M5" s="197">
        <f>SUM(I5:L5)</f>
        <v>0</v>
      </c>
      <c r="N5" s="195" t="str">
        <f t="shared" si="2"/>
        <v>Haiti</v>
      </c>
      <c r="O5" s="196">
        <f>IF(M12=M10,1,0)</f>
        <v>0</v>
      </c>
      <c r="P5" s="196">
        <f>IF(M12=M11,1,0)</f>
        <v>0</v>
      </c>
      <c r="Q5" s="211"/>
      <c r="R5" s="196">
        <f>IF(M12=M13,1,0)</f>
        <v>0</v>
      </c>
      <c r="S5" s="197">
        <f>SUM(O5:R5)</f>
        <v>0</v>
      </c>
      <c r="T5" s="195" t="str">
        <f t="shared" si="3"/>
        <v>Haiti</v>
      </c>
      <c r="U5" s="196">
        <f>IF(S12=S10,1,0)</f>
        <v>0</v>
      </c>
      <c r="V5" s="196">
        <f>IF(S12=S11,1,0)</f>
        <v>0</v>
      </c>
      <c r="W5" s="211"/>
      <c r="X5" s="196">
        <f>IF(S12=S13,1,0)</f>
        <v>0</v>
      </c>
      <c r="Y5" s="197">
        <f>SUM(U5:X5)</f>
        <v>0</v>
      </c>
    </row>
    <row r="6" spans="1:26" x14ac:dyDescent="0.25">
      <c r="A6" s="144"/>
      <c r="B6" s="144"/>
      <c r="C6" s="144"/>
      <c r="F6" s="144"/>
      <c r="G6" s="144"/>
      <c r="H6" s="198" t="str">
        <f>E2</f>
        <v>Scotland</v>
      </c>
      <c r="I6" s="199">
        <f>IF(G13=G10,1,0)</f>
        <v>0</v>
      </c>
      <c r="J6" s="199">
        <f>IF(G13=G11,1,0)</f>
        <v>0</v>
      </c>
      <c r="K6" s="199">
        <f>IF(G13=G12,1,0)</f>
        <v>0</v>
      </c>
      <c r="L6" s="212"/>
      <c r="M6" s="200">
        <f>SUM(I6:L6)</f>
        <v>0</v>
      </c>
      <c r="N6" s="198" t="str">
        <f t="shared" si="2"/>
        <v>Scotland</v>
      </c>
      <c r="O6" s="199">
        <f>IF(M13=M10,1,0)</f>
        <v>0</v>
      </c>
      <c r="P6" s="199">
        <f>IF(M13=M11,1,0)</f>
        <v>0</v>
      </c>
      <c r="Q6" s="199">
        <f>IF(M13=M12,1,0)</f>
        <v>0</v>
      </c>
      <c r="R6" s="212"/>
      <c r="S6" s="200">
        <f>SUM(O6:R6)</f>
        <v>0</v>
      </c>
      <c r="T6" s="198" t="str">
        <f t="shared" si="3"/>
        <v>Scotland</v>
      </c>
      <c r="U6" s="199">
        <f>IF(S13=S10,1,0)</f>
        <v>0</v>
      </c>
      <c r="V6" s="199">
        <f>IF(S13=S11,1,0)</f>
        <v>0</v>
      </c>
      <c r="W6" s="199">
        <f>IF(S13=S12,1,0)</f>
        <v>0</v>
      </c>
      <c r="X6" s="212"/>
      <c r="Y6" s="200">
        <f>SUM(U6:X6)</f>
        <v>0</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Brazil</v>
      </c>
      <c r="D9" s="190" t="str">
        <f>C2</f>
        <v>Morocco</v>
      </c>
      <c r="E9" s="190" t="str">
        <f>D2</f>
        <v>Haiti</v>
      </c>
      <c r="F9" s="190" t="str">
        <f>E2</f>
        <v>Scotland</v>
      </c>
      <c r="G9" s="191" t="s">
        <v>26</v>
      </c>
      <c r="H9" s="189"/>
      <c r="I9" s="190" t="str">
        <f>C9</f>
        <v>Brazil</v>
      </c>
      <c r="J9" s="190" t="str">
        <f t="shared" ref="J9:L9" si="4">D9</f>
        <v>Morocco</v>
      </c>
      <c r="K9" s="190" t="str">
        <f t="shared" si="4"/>
        <v>Haiti</v>
      </c>
      <c r="L9" s="190" t="str">
        <f t="shared" si="4"/>
        <v>Scotland</v>
      </c>
      <c r="M9" s="191" t="s">
        <v>26</v>
      </c>
      <c r="N9" s="189"/>
      <c r="O9" s="190" t="str">
        <f>I9</f>
        <v>Brazil</v>
      </c>
      <c r="P9" s="190" t="str">
        <f t="shared" ref="P9:R9" si="5">J9</f>
        <v>Morocco</v>
      </c>
      <c r="Q9" s="190" t="str">
        <f t="shared" si="5"/>
        <v>Haiti</v>
      </c>
      <c r="R9" s="190" t="str">
        <f t="shared" si="5"/>
        <v>Scotland</v>
      </c>
      <c r="S9" s="191" t="s">
        <v>26</v>
      </c>
      <c r="T9" s="189"/>
      <c r="U9" s="190" t="str">
        <f>O9</f>
        <v>Brazil</v>
      </c>
      <c r="V9" s="190" t="str">
        <f t="shared" ref="V9:X9" si="6">P9</f>
        <v>Morocco</v>
      </c>
      <c r="W9" s="190" t="str">
        <f t="shared" si="6"/>
        <v>Haiti</v>
      </c>
      <c r="X9" s="190" t="str">
        <f t="shared" si="6"/>
        <v>Scotland</v>
      </c>
      <c r="Y9" s="191" t="s">
        <v>26</v>
      </c>
      <c r="Z9" s="227" t="s">
        <v>309</v>
      </c>
    </row>
    <row r="10" spans="1:26" x14ac:dyDescent="0.25">
      <c r="A10" s="144"/>
      <c r="B10" s="189" t="str">
        <f>B2</f>
        <v>Brazil</v>
      </c>
      <c r="C10" s="204"/>
      <c r="D10" s="190">
        <f>H37</f>
        <v>1</v>
      </c>
      <c r="E10" s="190">
        <f>H39</f>
        <v>0</v>
      </c>
      <c r="F10" s="190">
        <f>I42</f>
        <v>0</v>
      </c>
      <c r="G10" s="191">
        <f>SUM(C10:F10)</f>
        <v>1</v>
      </c>
      <c r="H10" s="189" t="str">
        <f>B10</f>
        <v>Brazil</v>
      </c>
      <c r="I10" s="218">
        <f>C10+I17/100+I24/10000</f>
        <v>0</v>
      </c>
      <c r="J10" s="219">
        <f t="shared" ref="J10:L10" si="7">D10+J17/100+J24/10000</f>
        <v>1.0001</v>
      </c>
      <c r="K10" s="219">
        <f t="shared" si="7"/>
        <v>0</v>
      </c>
      <c r="L10" s="219">
        <f t="shared" si="7"/>
        <v>0</v>
      </c>
      <c r="M10" s="220">
        <f>SUM(I10:L10)</f>
        <v>1.0001</v>
      </c>
      <c r="N10" s="189" t="str">
        <f>H10</f>
        <v>Brazil</v>
      </c>
      <c r="O10" s="218">
        <f>I10+O17/100+O24/10000</f>
        <v>0</v>
      </c>
      <c r="P10" s="219">
        <f t="shared" ref="P10:R13" si="8">J10+P17/100+P24/10000</f>
        <v>1.0002</v>
      </c>
      <c r="Q10" s="219">
        <f t="shared" si="8"/>
        <v>0</v>
      </c>
      <c r="R10" s="219">
        <f t="shared" si="8"/>
        <v>0</v>
      </c>
      <c r="S10" s="220">
        <f>SUM(O10:R10)</f>
        <v>1.0002</v>
      </c>
      <c r="T10" s="189" t="str">
        <f>N10</f>
        <v>Brazil</v>
      </c>
      <c r="U10" s="218">
        <f>O10+U17/100+U24/10000</f>
        <v>0</v>
      </c>
      <c r="V10" s="219">
        <f t="shared" ref="V10:X13" si="9">P10+V17/100+V24/10000</f>
        <v>1.0003</v>
      </c>
      <c r="W10" s="219">
        <f t="shared" si="9"/>
        <v>0</v>
      </c>
      <c r="X10" s="219">
        <f t="shared" si="9"/>
        <v>0</v>
      </c>
      <c r="Y10" s="220">
        <f>ROUND(SUM(U10:X10),8)</f>
        <v>1.0003</v>
      </c>
      <c r="Z10" s="224">
        <f>_xlfn.RANK.EQ(Y10,Y$10:Y$13,1)</f>
        <v>2</v>
      </c>
    </row>
    <row r="11" spans="1:26" x14ac:dyDescent="0.25">
      <c r="A11" s="144"/>
      <c r="B11" s="189" t="str">
        <f>C2</f>
        <v>Morocco</v>
      </c>
      <c r="C11" s="190">
        <f>I37</f>
        <v>1</v>
      </c>
      <c r="D11" s="204"/>
      <c r="E11" s="190">
        <f>H41</f>
        <v>0</v>
      </c>
      <c r="F11" s="190">
        <f>I40</f>
        <v>0</v>
      </c>
      <c r="G11" s="191">
        <f>SUM(C11:F11)</f>
        <v>1</v>
      </c>
      <c r="H11" s="189" t="str">
        <f t="shared" ref="H11:H13" si="10">B11</f>
        <v>Morocco</v>
      </c>
      <c r="I11" s="219">
        <f t="shared" ref="I11:L13" si="11">C11+I18/100+I25/10000</f>
        <v>1.0001</v>
      </c>
      <c r="J11" s="218">
        <f t="shared" si="11"/>
        <v>0</v>
      </c>
      <c r="K11" s="219">
        <f t="shared" si="11"/>
        <v>0</v>
      </c>
      <c r="L11" s="219">
        <f t="shared" si="11"/>
        <v>0</v>
      </c>
      <c r="M11" s="220">
        <f>SUM(I11:L11)</f>
        <v>1.0001</v>
      </c>
      <c r="N11" s="189" t="str">
        <f t="shared" ref="N11:N13" si="12">H11</f>
        <v>Morocco</v>
      </c>
      <c r="O11" s="219">
        <f t="shared" ref="O11:O13" si="13">I11+O18/100+O25/10000</f>
        <v>1.0002</v>
      </c>
      <c r="P11" s="218">
        <f t="shared" si="8"/>
        <v>0</v>
      </c>
      <c r="Q11" s="219">
        <f t="shared" si="8"/>
        <v>0</v>
      </c>
      <c r="R11" s="219">
        <f t="shared" si="8"/>
        <v>0</v>
      </c>
      <c r="S11" s="220">
        <f>SUM(O11:R11)</f>
        <v>1.0002</v>
      </c>
      <c r="T11" s="189" t="str">
        <f t="shared" ref="T11:T13" si="14">N11</f>
        <v>Morocco</v>
      </c>
      <c r="U11" s="219">
        <f t="shared" ref="U11:U13" si="15">O11+U18/100+U25/10000</f>
        <v>1.0003</v>
      </c>
      <c r="V11" s="218">
        <f t="shared" si="9"/>
        <v>0</v>
      </c>
      <c r="W11" s="219">
        <f t="shared" si="9"/>
        <v>0</v>
      </c>
      <c r="X11" s="219">
        <f t="shared" si="9"/>
        <v>0</v>
      </c>
      <c r="Y11" s="220">
        <f t="shared" ref="Y11:Y13" si="16">ROUND(SUM(U11:X11),8)</f>
        <v>1.0003</v>
      </c>
      <c r="Z11" s="224">
        <f t="shared" ref="Z11:Z13" si="17">_xlfn.RANK.EQ(Y11,Y$10:Y$13,1)</f>
        <v>2</v>
      </c>
    </row>
    <row r="12" spans="1:26" x14ac:dyDescent="0.25">
      <c r="A12" s="144"/>
      <c r="B12" s="189" t="str">
        <f>D2</f>
        <v>Haiti</v>
      </c>
      <c r="C12" s="190">
        <f>I39</f>
        <v>0</v>
      </c>
      <c r="D12" s="190">
        <f>I41</f>
        <v>0</v>
      </c>
      <c r="E12" s="204"/>
      <c r="F12" s="190">
        <f>H38</f>
        <v>0</v>
      </c>
      <c r="G12" s="191">
        <f>SUM(C12:F12)</f>
        <v>0</v>
      </c>
      <c r="H12" s="189" t="str">
        <f t="shared" si="10"/>
        <v>Haiti</v>
      </c>
      <c r="I12" s="219">
        <f t="shared" si="11"/>
        <v>0</v>
      </c>
      <c r="J12" s="219">
        <f t="shared" si="11"/>
        <v>0</v>
      </c>
      <c r="K12" s="218">
        <f t="shared" si="11"/>
        <v>0</v>
      </c>
      <c r="L12" s="219">
        <f t="shared" si="11"/>
        <v>0</v>
      </c>
      <c r="M12" s="220">
        <f>SUM(I12:L12)</f>
        <v>0</v>
      </c>
      <c r="N12" s="189" t="str">
        <f t="shared" si="12"/>
        <v>Haiti</v>
      </c>
      <c r="O12" s="219">
        <f t="shared" si="13"/>
        <v>0</v>
      </c>
      <c r="P12" s="219">
        <f t="shared" si="8"/>
        <v>0</v>
      </c>
      <c r="Q12" s="218">
        <f t="shared" si="8"/>
        <v>0</v>
      </c>
      <c r="R12" s="219">
        <f t="shared" si="8"/>
        <v>0</v>
      </c>
      <c r="S12" s="220">
        <f>SUM(O12:R12)</f>
        <v>0</v>
      </c>
      <c r="T12" s="189" t="str">
        <f t="shared" si="14"/>
        <v>Haiti</v>
      </c>
      <c r="U12" s="219">
        <f t="shared" si="15"/>
        <v>0</v>
      </c>
      <c r="V12" s="219">
        <f t="shared" si="9"/>
        <v>0</v>
      </c>
      <c r="W12" s="218">
        <f t="shared" si="9"/>
        <v>0</v>
      </c>
      <c r="X12" s="219">
        <f t="shared" si="9"/>
        <v>0</v>
      </c>
      <c r="Y12" s="220">
        <f t="shared" si="16"/>
        <v>0</v>
      </c>
      <c r="Z12" s="224">
        <f t="shared" si="17"/>
        <v>1</v>
      </c>
    </row>
    <row r="13" spans="1:26" x14ac:dyDescent="0.25">
      <c r="A13" s="144"/>
      <c r="B13" s="192" t="str">
        <f>E2</f>
        <v>Scotland</v>
      </c>
      <c r="C13" s="193">
        <f>H42</f>
        <v>0</v>
      </c>
      <c r="D13" s="193">
        <f>H40</f>
        <v>0</v>
      </c>
      <c r="E13" s="193">
        <f>I38</f>
        <v>3</v>
      </c>
      <c r="F13" s="205"/>
      <c r="G13" s="194">
        <f>SUM(C13:F13)</f>
        <v>3</v>
      </c>
      <c r="H13" s="192" t="str">
        <f t="shared" si="10"/>
        <v>Scotland</v>
      </c>
      <c r="I13" s="221">
        <f t="shared" si="11"/>
        <v>0</v>
      </c>
      <c r="J13" s="221">
        <f t="shared" si="11"/>
        <v>0</v>
      </c>
      <c r="K13" s="221">
        <f t="shared" si="11"/>
        <v>3</v>
      </c>
      <c r="L13" s="222">
        <f t="shared" si="11"/>
        <v>0</v>
      </c>
      <c r="M13" s="223">
        <f>SUM(I13:L13)</f>
        <v>3</v>
      </c>
      <c r="N13" s="192" t="str">
        <f t="shared" si="12"/>
        <v>Scotland</v>
      </c>
      <c r="O13" s="221">
        <f t="shared" si="13"/>
        <v>0</v>
      </c>
      <c r="P13" s="221">
        <f t="shared" si="8"/>
        <v>0</v>
      </c>
      <c r="Q13" s="221">
        <f t="shared" si="8"/>
        <v>3</v>
      </c>
      <c r="R13" s="222">
        <f t="shared" si="8"/>
        <v>0</v>
      </c>
      <c r="S13" s="223">
        <f>SUM(O13:R13)</f>
        <v>3</v>
      </c>
      <c r="T13" s="192" t="str">
        <f t="shared" si="14"/>
        <v>Scotland</v>
      </c>
      <c r="U13" s="221">
        <f t="shared" si="15"/>
        <v>0</v>
      </c>
      <c r="V13" s="221">
        <f t="shared" si="9"/>
        <v>0</v>
      </c>
      <c r="W13" s="221">
        <f t="shared" si="9"/>
        <v>3</v>
      </c>
      <c r="X13" s="222">
        <f t="shared" si="9"/>
        <v>0</v>
      </c>
      <c r="Y13" s="223">
        <f t="shared" si="16"/>
        <v>3</v>
      </c>
      <c r="Z13" s="225">
        <f t="shared" si="17"/>
        <v>4</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Brazil</v>
      </c>
      <c r="D16" s="177" t="str">
        <f>C2</f>
        <v>Morocco</v>
      </c>
      <c r="E16" s="177" t="str">
        <f>D2</f>
        <v>Haiti</v>
      </c>
      <c r="F16" s="177" t="str">
        <f>E2</f>
        <v>Scotland</v>
      </c>
      <c r="G16" s="178" t="s">
        <v>26</v>
      </c>
      <c r="H16" s="183"/>
      <c r="I16" s="184" t="str">
        <f>C16</f>
        <v>Brazil</v>
      </c>
      <c r="J16" s="184" t="str">
        <f t="shared" ref="J16:L16" si="18">D16</f>
        <v>Morocco</v>
      </c>
      <c r="K16" s="184" t="str">
        <f t="shared" si="18"/>
        <v>Haiti</v>
      </c>
      <c r="L16" s="184" t="str">
        <f t="shared" si="18"/>
        <v>Scotland</v>
      </c>
      <c r="M16" s="185" t="s">
        <v>26</v>
      </c>
      <c r="N16" s="183"/>
      <c r="O16" s="184" t="str">
        <f>I16</f>
        <v>Brazil</v>
      </c>
      <c r="P16" s="184" t="str">
        <f t="shared" ref="P16:R16" si="19">J16</f>
        <v>Morocco</v>
      </c>
      <c r="Q16" s="184" t="str">
        <f t="shared" si="19"/>
        <v>Haiti</v>
      </c>
      <c r="R16" s="184" t="str">
        <f t="shared" si="19"/>
        <v>Scotland</v>
      </c>
      <c r="S16" s="185" t="s">
        <v>26</v>
      </c>
      <c r="T16" s="183"/>
      <c r="U16" s="184" t="str">
        <f>O16</f>
        <v>Brazil</v>
      </c>
      <c r="V16" s="184" t="str">
        <f t="shared" ref="V16:X16" si="20">P16</f>
        <v>Morocco</v>
      </c>
      <c r="W16" s="184" t="str">
        <f t="shared" si="20"/>
        <v>Haiti</v>
      </c>
      <c r="X16" s="184" t="str">
        <f t="shared" si="20"/>
        <v>Scotland</v>
      </c>
      <c r="Y16" s="185" t="s">
        <v>26</v>
      </c>
    </row>
    <row r="17" spans="1:25" x14ac:dyDescent="0.25">
      <c r="A17" s="144"/>
      <c r="B17" s="176" t="str">
        <f>B2</f>
        <v>Brazil</v>
      </c>
      <c r="C17" s="206"/>
      <c r="D17" s="179">
        <f>IFERROR(F37-G37,0)</f>
        <v>0</v>
      </c>
      <c r="E17" s="179">
        <f>IFERROR(F39-G39,0)</f>
        <v>0</v>
      </c>
      <c r="F17" s="179">
        <f>IFERROR(G42-F42,0)</f>
        <v>0</v>
      </c>
      <c r="G17" s="178">
        <f>SUM(C17:F17)</f>
        <v>0</v>
      </c>
      <c r="H17" s="183" t="str">
        <f>B17</f>
        <v>Brazil</v>
      </c>
      <c r="I17" s="208"/>
      <c r="J17" s="184">
        <f>D17*J3</f>
        <v>0</v>
      </c>
      <c r="K17" s="184">
        <f>E17*K3</f>
        <v>0</v>
      </c>
      <c r="L17" s="184">
        <f>F17*L3</f>
        <v>0</v>
      </c>
      <c r="M17" s="185">
        <f>SUM(I17:L17)</f>
        <v>0</v>
      </c>
      <c r="N17" s="183" t="str">
        <f>H17</f>
        <v>Brazil</v>
      </c>
      <c r="O17" s="208"/>
      <c r="P17" s="184">
        <f>J17*P3</f>
        <v>0</v>
      </c>
      <c r="Q17" s="184">
        <f>K17*Q3</f>
        <v>0</v>
      </c>
      <c r="R17" s="184">
        <f>L17*R3</f>
        <v>0</v>
      </c>
      <c r="S17" s="185">
        <f>SUM(O17:R17)</f>
        <v>0</v>
      </c>
      <c r="T17" s="183" t="str">
        <f>N17</f>
        <v>Brazil</v>
      </c>
      <c r="U17" s="208"/>
      <c r="V17" s="184">
        <f>P17*V3</f>
        <v>0</v>
      </c>
      <c r="W17" s="184">
        <f>Q17*W3</f>
        <v>0</v>
      </c>
      <c r="X17" s="184">
        <f>R17*X3</f>
        <v>0</v>
      </c>
      <c r="Y17" s="185">
        <f>SUM(U17:X17)</f>
        <v>0</v>
      </c>
    </row>
    <row r="18" spans="1:25" x14ac:dyDescent="0.25">
      <c r="A18" s="144"/>
      <c r="B18" s="176" t="str">
        <f>C2</f>
        <v>Morocco</v>
      </c>
      <c r="C18" s="179">
        <f>IFERROR(G37-F37,0)</f>
        <v>0</v>
      </c>
      <c r="D18" s="206"/>
      <c r="E18" s="179">
        <f>IFERROR(F41-G41,0)</f>
        <v>0</v>
      </c>
      <c r="F18" s="179">
        <f>IFERROR(G40-F40,0)</f>
        <v>0</v>
      </c>
      <c r="G18" s="178">
        <f>SUM(C18:F18)</f>
        <v>0</v>
      </c>
      <c r="H18" s="183" t="str">
        <f t="shared" ref="H18:H20" si="21">B18</f>
        <v>Morocco</v>
      </c>
      <c r="I18" s="184">
        <f>C18*I4</f>
        <v>0</v>
      </c>
      <c r="J18" s="208"/>
      <c r="K18" s="184">
        <f>E18*K4</f>
        <v>0</v>
      </c>
      <c r="L18" s="184">
        <f>F18*L4</f>
        <v>0</v>
      </c>
      <c r="M18" s="185">
        <f>SUM(I18:L18)</f>
        <v>0</v>
      </c>
      <c r="N18" s="183" t="str">
        <f t="shared" ref="N18:N20" si="22">H18</f>
        <v>Morocco</v>
      </c>
      <c r="O18" s="184">
        <f>I18*O4</f>
        <v>0</v>
      </c>
      <c r="P18" s="208"/>
      <c r="Q18" s="184">
        <f>K18*Q4</f>
        <v>0</v>
      </c>
      <c r="R18" s="184">
        <f>L18*R4</f>
        <v>0</v>
      </c>
      <c r="S18" s="185">
        <f>SUM(O18:R18)</f>
        <v>0</v>
      </c>
      <c r="T18" s="183" t="str">
        <f t="shared" ref="T18:T20" si="23">N18</f>
        <v>Morocco</v>
      </c>
      <c r="U18" s="184">
        <f>O18*U4</f>
        <v>0</v>
      </c>
      <c r="V18" s="208"/>
      <c r="W18" s="184">
        <f>Q18*W4</f>
        <v>0</v>
      </c>
      <c r="X18" s="184">
        <f>R18*X4</f>
        <v>0</v>
      </c>
      <c r="Y18" s="185">
        <f>SUM(U18:X18)</f>
        <v>0</v>
      </c>
    </row>
    <row r="19" spans="1:25" x14ac:dyDescent="0.25">
      <c r="A19" s="144"/>
      <c r="B19" s="176" t="str">
        <f>D2</f>
        <v>Haiti</v>
      </c>
      <c r="C19" s="179">
        <f>IFERROR(G39-F39,0)</f>
        <v>0</v>
      </c>
      <c r="D19" s="179">
        <f>IFERROR(G41-F41,0)</f>
        <v>0</v>
      </c>
      <c r="E19" s="206"/>
      <c r="F19" s="179">
        <f>IFERROR(F38-G38,0)</f>
        <v>-1</v>
      </c>
      <c r="G19" s="178">
        <f>SUM(C19:F19)</f>
        <v>-1</v>
      </c>
      <c r="H19" s="183" t="str">
        <f t="shared" si="21"/>
        <v>Haiti</v>
      </c>
      <c r="I19" s="184">
        <f>C19*I5</f>
        <v>0</v>
      </c>
      <c r="J19" s="184">
        <f>D19*J5</f>
        <v>0</v>
      </c>
      <c r="K19" s="208"/>
      <c r="L19" s="184">
        <f>F19*L5</f>
        <v>0</v>
      </c>
      <c r="M19" s="185">
        <f>SUM(I19:L19)</f>
        <v>0</v>
      </c>
      <c r="N19" s="183" t="str">
        <f t="shared" si="22"/>
        <v>Haiti</v>
      </c>
      <c r="O19" s="184">
        <f>I19*O5</f>
        <v>0</v>
      </c>
      <c r="P19" s="184">
        <f>J19*P5</f>
        <v>0</v>
      </c>
      <c r="Q19" s="208"/>
      <c r="R19" s="184">
        <f>L19*R5</f>
        <v>0</v>
      </c>
      <c r="S19" s="185">
        <f>SUM(O19:R19)</f>
        <v>0</v>
      </c>
      <c r="T19" s="183" t="str">
        <f t="shared" si="23"/>
        <v>Haiti</v>
      </c>
      <c r="U19" s="184">
        <f>O19*U5</f>
        <v>0</v>
      </c>
      <c r="V19" s="184">
        <f>P19*V5</f>
        <v>0</v>
      </c>
      <c r="W19" s="208"/>
      <c r="X19" s="184">
        <f>R19*X5</f>
        <v>0</v>
      </c>
      <c r="Y19" s="185">
        <f>SUM(U19:X19)</f>
        <v>0</v>
      </c>
    </row>
    <row r="20" spans="1:25" x14ac:dyDescent="0.25">
      <c r="A20" s="144"/>
      <c r="B20" s="180" t="str">
        <f>E2</f>
        <v>Scotland</v>
      </c>
      <c r="C20" s="181">
        <f>IFERROR(F42-G42,0)</f>
        <v>0</v>
      </c>
      <c r="D20" s="181">
        <f>IFERROR(F40-G40,0)</f>
        <v>0</v>
      </c>
      <c r="E20" s="181">
        <f>IFERROR(G38-F38,0)</f>
        <v>1</v>
      </c>
      <c r="F20" s="207"/>
      <c r="G20" s="182">
        <f>SUM(C20:F20)</f>
        <v>1</v>
      </c>
      <c r="H20" s="186" t="str">
        <f t="shared" si="21"/>
        <v>Scotland</v>
      </c>
      <c r="I20" s="187">
        <f>C20*I6</f>
        <v>0</v>
      </c>
      <c r="J20" s="187">
        <f>D20*J6</f>
        <v>0</v>
      </c>
      <c r="K20" s="187">
        <f>E20*K6</f>
        <v>0</v>
      </c>
      <c r="L20" s="213"/>
      <c r="M20" s="188">
        <f>SUM(I20:L20)</f>
        <v>0</v>
      </c>
      <c r="N20" s="186" t="str">
        <f t="shared" si="22"/>
        <v>Scotland</v>
      </c>
      <c r="O20" s="187">
        <f>I20*O6</f>
        <v>0</v>
      </c>
      <c r="P20" s="187">
        <f>J20*P6</f>
        <v>0</v>
      </c>
      <c r="Q20" s="187">
        <f>K20*Q6</f>
        <v>0</v>
      </c>
      <c r="R20" s="213"/>
      <c r="S20" s="188">
        <f>SUM(O20:R20)</f>
        <v>0</v>
      </c>
      <c r="T20" s="186" t="str">
        <f t="shared" si="23"/>
        <v>Scotland</v>
      </c>
      <c r="U20" s="187">
        <f>O20*U6</f>
        <v>0</v>
      </c>
      <c r="V20" s="187">
        <f>P20*V6</f>
        <v>0</v>
      </c>
      <c r="W20" s="187">
        <f>Q20*W6</f>
        <v>0</v>
      </c>
      <c r="X20" s="213"/>
      <c r="Y20" s="188">
        <f>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Brazil</v>
      </c>
      <c r="D23" s="164" t="str">
        <f>C2</f>
        <v>Morocco</v>
      </c>
      <c r="E23" s="164" t="str">
        <f>D2</f>
        <v>Haiti</v>
      </c>
      <c r="F23" s="164" t="str">
        <f>E2</f>
        <v>Scotland</v>
      </c>
      <c r="G23" s="165" t="s">
        <v>26</v>
      </c>
      <c r="H23" s="169"/>
      <c r="I23" s="170" t="str">
        <f>C23</f>
        <v>Brazil</v>
      </c>
      <c r="J23" s="170" t="str">
        <f t="shared" ref="J23:L23" si="24">D23</f>
        <v>Morocco</v>
      </c>
      <c r="K23" s="170" t="str">
        <f t="shared" si="24"/>
        <v>Haiti</v>
      </c>
      <c r="L23" s="170" t="str">
        <f t="shared" si="24"/>
        <v>Scotland</v>
      </c>
      <c r="M23" s="171" t="s">
        <v>26</v>
      </c>
      <c r="N23" s="169"/>
      <c r="O23" s="170" t="str">
        <f>I23</f>
        <v>Brazil</v>
      </c>
      <c r="P23" s="170" t="str">
        <f t="shared" ref="P23:R23" si="25">J23</f>
        <v>Morocco</v>
      </c>
      <c r="Q23" s="170" t="str">
        <f t="shared" si="25"/>
        <v>Haiti</v>
      </c>
      <c r="R23" s="170" t="str">
        <f t="shared" si="25"/>
        <v>Scotland</v>
      </c>
      <c r="S23" s="171" t="s">
        <v>26</v>
      </c>
      <c r="T23" s="169"/>
      <c r="U23" s="170" t="str">
        <f>O23</f>
        <v>Brazil</v>
      </c>
      <c r="V23" s="170" t="str">
        <f t="shared" ref="V23:X23" si="26">P23</f>
        <v>Morocco</v>
      </c>
      <c r="W23" s="170" t="str">
        <f t="shared" si="26"/>
        <v>Haiti</v>
      </c>
      <c r="X23" s="170" t="str">
        <f t="shared" si="26"/>
        <v>Scotland</v>
      </c>
      <c r="Y23" s="171" t="s">
        <v>26</v>
      </c>
    </row>
    <row r="24" spans="1:25" x14ac:dyDescent="0.25">
      <c r="A24" s="143"/>
      <c r="B24" s="163" t="str">
        <f>B2</f>
        <v>Brazil</v>
      </c>
      <c r="C24" s="209"/>
      <c r="D24" s="164">
        <f>IF(F37="",0,F37)</f>
        <v>1</v>
      </c>
      <c r="E24" s="164">
        <f>IF(F39="",0,F39)</f>
        <v>0</v>
      </c>
      <c r="F24" s="164">
        <f>IF(G42="",0,G42)</f>
        <v>0</v>
      </c>
      <c r="G24" s="165">
        <f>SUM(C24:F24)</f>
        <v>1</v>
      </c>
      <c r="H24" s="169" t="str">
        <f>B24</f>
        <v>Brazil</v>
      </c>
      <c r="I24" s="214"/>
      <c r="J24" s="170">
        <f>D24*J3</f>
        <v>1</v>
      </c>
      <c r="K24" s="170">
        <f>E24*K3</f>
        <v>0</v>
      </c>
      <c r="L24" s="170">
        <f>F24*L3</f>
        <v>0</v>
      </c>
      <c r="M24" s="171">
        <f>SUM(I24:L24)</f>
        <v>1</v>
      </c>
      <c r="N24" s="169" t="str">
        <f>H24</f>
        <v>Brazil</v>
      </c>
      <c r="O24" s="214"/>
      <c r="P24" s="170">
        <f>J24*P3</f>
        <v>1</v>
      </c>
      <c r="Q24" s="170">
        <f>K24*Q3</f>
        <v>0</v>
      </c>
      <c r="R24" s="170">
        <f>L24*R3</f>
        <v>0</v>
      </c>
      <c r="S24" s="171">
        <f>SUM(O24:R24)</f>
        <v>1</v>
      </c>
      <c r="T24" s="169" t="str">
        <f>N24</f>
        <v>Brazil</v>
      </c>
      <c r="U24" s="214"/>
      <c r="V24" s="170">
        <f>P24*V3</f>
        <v>1</v>
      </c>
      <c r="W24" s="170">
        <f>Q24*W3</f>
        <v>0</v>
      </c>
      <c r="X24" s="170">
        <f>R24*X3</f>
        <v>0</v>
      </c>
      <c r="Y24" s="171">
        <f>SUM(U24:X24)</f>
        <v>1</v>
      </c>
    </row>
    <row r="25" spans="1:25" x14ac:dyDescent="0.25">
      <c r="A25" s="143"/>
      <c r="B25" s="163" t="str">
        <f>C2</f>
        <v>Morocco</v>
      </c>
      <c r="C25" s="164">
        <f>IF(G37="",0,G37)</f>
        <v>1</v>
      </c>
      <c r="D25" s="209"/>
      <c r="E25" s="164">
        <f>IF(F41="",0,F41)</f>
        <v>0</v>
      </c>
      <c r="F25" s="164">
        <f>IF(G40="",0,G40)</f>
        <v>0</v>
      </c>
      <c r="G25" s="165">
        <f>SUM(C25:F25)</f>
        <v>1</v>
      </c>
      <c r="H25" s="169" t="str">
        <f t="shared" ref="H25:H27" si="27">B25</f>
        <v>Morocco</v>
      </c>
      <c r="I25" s="170">
        <f>C25*I4</f>
        <v>1</v>
      </c>
      <c r="J25" s="214"/>
      <c r="K25" s="170">
        <f>E25*K4</f>
        <v>0</v>
      </c>
      <c r="L25" s="170">
        <f>F25*L4</f>
        <v>0</v>
      </c>
      <c r="M25" s="171">
        <f>SUM(I25:L25)</f>
        <v>1</v>
      </c>
      <c r="N25" s="169" t="str">
        <f t="shared" ref="N25:N27" si="28">H25</f>
        <v>Morocco</v>
      </c>
      <c r="O25" s="170">
        <f>I25*O4</f>
        <v>1</v>
      </c>
      <c r="P25" s="214"/>
      <c r="Q25" s="170">
        <f>K25*Q4</f>
        <v>0</v>
      </c>
      <c r="R25" s="170">
        <f>L25*R4</f>
        <v>0</v>
      </c>
      <c r="S25" s="171">
        <f>SUM(O25:R25)</f>
        <v>1</v>
      </c>
      <c r="T25" s="169" t="str">
        <f t="shared" ref="T25:T27" si="29">N25</f>
        <v>Morocco</v>
      </c>
      <c r="U25" s="170">
        <f>O25*U4</f>
        <v>1</v>
      </c>
      <c r="V25" s="214"/>
      <c r="W25" s="170">
        <f>Q25*W4</f>
        <v>0</v>
      </c>
      <c r="X25" s="170">
        <f>R25*X4</f>
        <v>0</v>
      </c>
      <c r="Y25" s="171">
        <f>SUM(U25:X25)</f>
        <v>1</v>
      </c>
    </row>
    <row r="26" spans="1:25" x14ac:dyDescent="0.25">
      <c r="A26" s="143"/>
      <c r="B26" s="163" t="str">
        <f>D2</f>
        <v>Haiti</v>
      </c>
      <c r="C26" s="164">
        <f>IF(G39="",0,G39)</f>
        <v>0</v>
      </c>
      <c r="D26" s="164">
        <f>IF(G41="",0,G41)</f>
        <v>0</v>
      </c>
      <c r="E26" s="209"/>
      <c r="F26" s="164">
        <f>IF(F38="",0,F38)</f>
        <v>0</v>
      </c>
      <c r="G26" s="165">
        <f>SUM(C26:F26)</f>
        <v>0</v>
      </c>
      <c r="H26" s="169" t="str">
        <f t="shared" si="27"/>
        <v>Haiti</v>
      </c>
      <c r="I26" s="170">
        <f>C26*I5</f>
        <v>0</v>
      </c>
      <c r="J26" s="170">
        <f>D26*J5</f>
        <v>0</v>
      </c>
      <c r="K26" s="214"/>
      <c r="L26" s="170">
        <f>F26*L5</f>
        <v>0</v>
      </c>
      <c r="M26" s="171">
        <f>SUM(I26:L26)</f>
        <v>0</v>
      </c>
      <c r="N26" s="169" t="str">
        <f t="shared" si="28"/>
        <v>Haiti</v>
      </c>
      <c r="O26" s="170">
        <f>I26*O5</f>
        <v>0</v>
      </c>
      <c r="P26" s="170">
        <f>J26*P5</f>
        <v>0</v>
      </c>
      <c r="Q26" s="214"/>
      <c r="R26" s="170">
        <f>L26*R5</f>
        <v>0</v>
      </c>
      <c r="S26" s="171">
        <f>SUM(O26:R26)</f>
        <v>0</v>
      </c>
      <c r="T26" s="169" t="str">
        <f t="shared" si="29"/>
        <v>Haiti</v>
      </c>
      <c r="U26" s="170">
        <f>O26*U5</f>
        <v>0</v>
      </c>
      <c r="V26" s="170">
        <f>P26*V5</f>
        <v>0</v>
      </c>
      <c r="W26" s="214"/>
      <c r="X26" s="170">
        <f>R26*X5</f>
        <v>0</v>
      </c>
      <c r="Y26" s="171">
        <f>SUM(U26:X26)</f>
        <v>0</v>
      </c>
    </row>
    <row r="27" spans="1:25" x14ac:dyDescent="0.25">
      <c r="A27" s="143"/>
      <c r="B27" s="166" t="str">
        <f>E2</f>
        <v>Scotland</v>
      </c>
      <c r="C27" s="167">
        <f>IF(F42="",0,F42)</f>
        <v>0</v>
      </c>
      <c r="D27" s="167">
        <f>IF(F40="",0,F40)</f>
        <v>0</v>
      </c>
      <c r="E27" s="167">
        <f>IF(G38="",0,G38)</f>
        <v>1</v>
      </c>
      <c r="F27" s="210"/>
      <c r="G27" s="168">
        <f>SUM(C27:F27)</f>
        <v>1</v>
      </c>
      <c r="H27" s="172" t="str">
        <f t="shared" si="27"/>
        <v>Scotland</v>
      </c>
      <c r="I27" s="173">
        <f>C27*I6</f>
        <v>0</v>
      </c>
      <c r="J27" s="173">
        <f>D27*J6</f>
        <v>0</v>
      </c>
      <c r="K27" s="173">
        <f>E27*K6</f>
        <v>0</v>
      </c>
      <c r="L27" s="215"/>
      <c r="M27" s="174">
        <f>SUM(I27:L27)</f>
        <v>0</v>
      </c>
      <c r="N27" s="172" t="str">
        <f t="shared" si="28"/>
        <v>Scotland</v>
      </c>
      <c r="O27" s="173">
        <f>I27*O6</f>
        <v>0</v>
      </c>
      <c r="P27" s="173">
        <f>J27*P6</f>
        <v>0</v>
      </c>
      <c r="Q27" s="173">
        <f>K27*Q6</f>
        <v>0</v>
      </c>
      <c r="R27" s="215"/>
      <c r="S27" s="174">
        <f>SUM(O27:R27)</f>
        <v>0</v>
      </c>
      <c r="T27" s="172" t="str">
        <f t="shared" si="29"/>
        <v>Scotland</v>
      </c>
      <c r="U27" s="173">
        <f>O27*U6</f>
        <v>0</v>
      </c>
      <c r="V27" s="173">
        <f>P27*V6</f>
        <v>0</v>
      </c>
      <c r="W27" s="173">
        <f>Q27*W6</f>
        <v>0</v>
      </c>
      <c r="X27" s="215"/>
      <c r="Y27" s="174">
        <f>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232" t="s">
        <v>631</v>
      </c>
      <c r="E29" s="232" t="s">
        <v>632</v>
      </c>
      <c r="F29" s="232" t="s">
        <v>633</v>
      </c>
      <c r="G29" s="232" t="s">
        <v>676</v>
      </c>
      <c r="H29" s="232" t="s">
        <v>411</v>
      </c>
      <c r="I29" s="232" t="s">
        <v>661</v>
      </c>
      <c r="J29" s="232" t="s">
        <v>634</v>
      </c>
      <c r="K29" s="233" t="s">
        <v>635</v>
      </c>
    </row>
    <row r="30" spans="1:25" x14ac:dyDescent="0.25">
      <c r="A30" s="234">
        <f>K30</f>
        <v>3</v>
      </c>
      <c r="B30" s="235" t="str">
        <f>B2</f>
        <v>Brazil</v>
      </c>
      <c r="C30" s="236">
        <f>VLOOKUP($B30,Lookup10,3,FALSE)</f>
        <v>1</v>
      </c>
      <c r="D30" s="236">
        <f>VLOOKUP($B30,Lookup10,7,FALSE)</f>
        <v>1</v>
      </c>
      <c r="E30" s="236">
        <f>VLOOKUP($B30,Lookup10,8,FALSE)</f>
        <v>1</v>
      </c>
      <c r="F30" s="236">
        <f>VLOOKUP($B30,Lookup10,9,FALSE)</f>
        <v>0</v>
      </c>
      <c r="G30" s="237">
        <f>Z10</f>
        <v>2</v>
      </c>
      <c r="H30" s="236">
        <f>VLOOKUP($B30,Lookup10,11,FALSE)</f>
        <v>2</v>
      </c>
      <c r="I30" s="236">
        <f>VLOOKUP($B30,Lookup11,2,FALSE)</f>
        <v>6</v>
      </c>
      <c r="J30" s="238">
        <f>ROUND(D30*D$34+F30*F$34+G30*G$34-H30*H$34-I30*I$34,8)</f>
        <v>20000.9794</v>
      </c>
      <c r="K30" s="239">
        <f>RANK(J30,J$30:J$33,0)</f>
        <v>3</v>
      </c>
    </row>
    <row r="31" spans="1:25" x14ac:dyDescent="0.25">
      <c r="A31" s="234">
        <f t="shared" ref="A31:A33" si="30">K31</f>
        <v>2</v>
      </c>
      <c r="B31" s="235" t="str">
        <f>C2</f>
        <v>Morocco</v>
      </c>
      <c r="C31" s="236">
        <f>VLOOKUP($B31,Lookup10,3,FALSE)</f>
        <v>1</v>
      </c>
      <c r="D31" s="236">
        <f>VLOOKUP($B31,Lookup10,7,FALSE)</f>
        <v>1</v>
      </c>
      <c r="E31" s="236">
        <f>VLOOKUP($B31,Lookup10,8,FALSE)</f>
        <v>1</v>
      </c>
      <c r="F31" s="236">
        <f>VLOOKUP($B31,Lookup10,9,FALSE)</f>
        <v>0</v>
      </c>
      <c r="G31" s="237">
        <f t="shared" ref="G31:G33" si="31">Z11</f>
        <v>2</v>
      </c>
      <c r="H31" s="236">
        <f>VLOOKUP($B31,Lookup10,11,FALSE)</f>
        <v>0</v>
      </c>
      <c r="I31" s="236">
        <f>VLOOKUP($B31,Lookup11,2,FALSE)</f>
        <v>7</v>
      </c>
      <c r="J31" s="238">
        <f t="shared" ref="J31:J33" si="32">ROUND(D31*D$34+F31*F$34+G31*G$34-H31*H$34-I31*I$34,8)</f>
        <v>20000.999299999999</v>
      </c>
      <c r="K31" s="239">
        <f>RANK(J31,J$30:J$33,0)</f>
        <v>2</v>
      </c>
    </row>
    <row r="32" spans="1:25" x14ac:dyDescent="0.25">
      <c r="A32" s="234">
        <f t="shared" si="30"/>
        <v>4</v>
      </c>
      <c r="B32" s="235" t="str">
        <f>D2</f>
        <v>Haiti</v>
      </c>
      <c r="C32" s="236">
        <f>VLOOKUP($B32,Lookup10,3,FALSE)</f>
        <v>1</v>
      </c>
      <c r="D32" s="236">
        <f>VLOOKUP($B32,Lookup10,7,FALSE)</f>
        <v>0</v>
      </c>
      <c r="E32" s="236">
        <f>VLOOKUP($B32,Lookup10,8,FALSE)</f>
        <v>1</v>
      </c>
      <c r="F32" s="236">
        <f>VLOOKUP($B32,Lookup10,9,FALSE)</f>
        <v>-1</v>
      </c>
      <c r="G32" s="237">
        <f t="shared" si="31"/>
        <v>1</v>
      </c>
      <c r="H32" s="236">
        <f>VLOOKUP($B32,Lookup10,11,FALSE)</f>
        <v>1</v>
      </c>
      <c r="I32" s="236">
        <f>VLOOKUP($B32,Lookup11,2,FALSE)</f>
        <v>47</v>
      </c>
      <c r="J32" s="238">
        <f t="shared" si="32"/>
        <v>9899.9853000000003</v>
      </c>
      <c r="K32" s="239">
        <f>RANK(J32,J$30:J$33,0)</f>
        <v>4</v>
      </c>
    </row>
    <row r="33" spans="1:16" x14ac:dyDescent="0.25">
      <c r="A33" s="234">
        <f t="shared" si="30"/>
        <v>1</v>
      </c>
      <c r="B33" s="235" t="str">
        <f>E2</f>
        <v>Scotland</v>
      </c>
      <c r="C33" s="236">
        <f>VLOOKUP($B33,Lookup10,3,FALSE)</f>
        <v>1</v>
      </c>
      <c r="D33" s="236">
        <f>VLOOKUP($B33,Lookup10,7,FALSE)</f>
        <v>1</v>
      </c>
      <c r="E33" s="236">
        <f>VLOOKUP($B33,Lookup10,8,FALSE)</f>
        <v>0</v>
      </c>
      <c r="F33" s="236">
        <f>VLOOKUP($B33,Lookup10,9,FALSE)</f>
        <v>1</v>
      </c>
      <c r="G33" s="237">
        <f t="shared" si="31"/>
        <v>4</v>
      </c>
      <c r="H33" s="236">
        <f>VLOOKUP($B33,Lookup10,11,FALSE)</f>
        <v>3</v>
      </c>
      <c r="I33" s="236">
        <f>VLOOKUP($B33,Lookup11,2,FALSE)</f>
        <v>34</v>
      </c>
      <c r="J33" s="238">
        <f t="shared" si="32"/>
        <v>40100.9666</v>
      </c>
      <c r="K33" s="239">
        <f>RANK(J33,J$30:J$33,0)</f>
        <v>1</v>
      </c>
    </row>
    <row r="34" spans="1:16" x14ac:dyDescent="0.25">
      <c r="A34" s="240"/>
      <c r="B34" s="241" t="s">
        <v>636</v>
      </c>
      <c r="C34" s="242">
        <f>SUM(C30:C33)</f>
        <v>4</v>
      </c>
      <c r="D34" s="205">
        <v>1</v>
      </c>
      <c r="E34" s="205"/>
      <c r="F34" s="205">
        <v>100</v>
      </c>
      <c r="G34" s="205">
        <v>10000</v>
      </c>
      <c r="H34" s="205">
        <v>0.01</v>
      </c>
      <c r="I34" s="205">
        <v>1E-4</v>
      </c>
      <c r="J34" s="242"/>
      <c r="K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BrazilMorocco</v>
      </c>
      <c r="B37" s="158" t="str">
        <f>B1&amp;C1</f>
        <v>C1C2</v>
      </c>
      <c r="C37" s="158">
        <f>IF(Data!Q17="",0,1)</f>
        <v>1</v>
      </c>
      <c r="D37" s="150" t="str">
        <f>B2</f>
        <v>Brazil</v>
      </c>
      <c r="E37" s="150" t="str">
        <f>C2</f>
        <v>Morocco</v>
      </c>
      <c r="F37" s="158">
        <f t="shared" ref="F37:F42" si="33">VLOOKUP($B37,Lookup12,2,FALSE)</f>
        <v>1</v>
      </c>
      <c r="G37" s="158">
        <f t="shared" ref="G37:G42" si="34">VLOOKUP($B37,Lookup12,3,FALSE)</f>
        <v>1</v>
      </c>
      <c r="H37" s="158">
        <f t="shared" ref="H37:H42" si="35">IF(C37=0,0,IF(F37&lt;G37,Lpts,IF(F37&gt;G37,Wpts,Dpts)))</f>
        <v>1</v>
      </c>
      <c r="I37" s="158">
        <f t="shared" ref="I37:I42" si="36">IF(C37=0,0,IF(G37&lt;F37,Lpts,IF(G37&gt;F37,Wpts,Dpts)))</f>
        <v>1</v>
      </c>
      <c r="J37" s="158">
        <f t="shared" ref="J37:J42" si="37">VLOOKUP($B37,Lookup12,4,FALSE)</f>
        <v>2</v>
      </c>
      <c r="K37" s="158">
        <f t="shared" ref="K37:K42" si="38">VLOOKUP($B37,Lookup12,5,FALSE)</f>
        <v>0</v>
      </c>
      <c r="L37" s="143"/>
      <c r="M37" s="143"/>
      <c r="N37" s="143"/>
      <c r="O37" s="143"/>
      <c r="P37" s="143"/>
    </row>
    <row r="38" spans="1:16" x14ac:dyDescent="0.25">
      <c r="A38" s="149" t="str">
        <f>D2&amp;E2</f>
        <v>HaitiScotland</v>
      </c>
      <c r="B38" s="158" t="str">
        <f>D1&amp;E1</f>
        <v>C3C4</v>
      </c>
      <c r="C38" s="158">
        <f>IF(Data!Q18="",0,1)</f>
        <v>1</v>
      </c>
      <c r="D38" s="150" t="str">
        <f>D2</f>
        <v>Haiti</v>
      </c>
      <c r="E38" s="150" t="str">
        <f>E2</f>
        <v>Scotland</v>
      </c>
      <c r="F38" s="158">
        <f t="shared" si="33"/>
        <v>0</v>
      </c>
      <c r="G38" s="158">
        <f t="shared" si="34"/>
        <v>1</v>
      </c>
      <c r="H38" s="158">
        <f t="shared" si="35"/>
        <v>0</v>
      </c>
      <c r="I38" s="158">
        <f t="shared" si="36"/>
        <v>3</v>
      </c>
      <c r="J38" s="158">
        <f t="shared" si="37"/>
        <v>1</v>
      </c>
      <c r="K38" s="158">
        <f t="shared" si="38"/>
        <v>3</v>
      </c>
      <c r="L38" s="143"/>
      <c r="M38" s="143"/>
      <c r="N38" s="143"/>
      <c r="O38" s="143"/>
      <c r="P38" s="143"/>
    </row>
    <row r="39" spans="1:16" x14ac:dyDescent="0.25">
      <c r="A39" s="149" t="str">
        <f>B2&amp;D2</f>
        <v>BrazilHaiti</v>
      </c>
      <c r="B39" s="158" t="str">
        <f>B1&amp;D1</f>
        <v>C1C3</v>
      </c>
      <c r="C39" s="158">
        <f>IF(Data!Q19="",0,1)</f>
        <v>0</v>
      </c>
      <c r="D39" s="150" t="str">
        <f>B2</f>
        <v>Brazil</v>
      </c>
      <c r="E39" s="150" t="str">
        <f>D2</f>
        <v>Haiti</v>
      </c>
      <c r="F39" s="158" t="str">
        <f t="shared" si="33"/>
        <v/>
      </c>
      <c r="G39" s="158" t="str">
        <f t="shared" si="34"/>
        <v/>
      </c>
      <c r="H39" s="158">
        <f t="shared" si="35"/>
        <v>0</v>
      </c>
      <c r="I39" s="158">
        <f t="shared" si="36"/>
        <v>0</v>
      </c>
      <c r="J39" s="158" t="str">
        <f t="shared" si="37"/>
        <v/>
      </c>
      <c r="K39" s="158" t="str">
        <f t="shared" si="38"/>
        <v/>
      </c>
      <c r="L39" s="143"/>
      <c r="M39" s="143"/>
      <c r="N39" s="143"/>
      <c r="O39" s="143"/>
      <c r="P39" s="143"/>
    </row>
    <row r="40" spans="1:16" x14ac:dyDescent="0.25">
      <c r="A40" s="149" t="str">
        <f>E2&amp;C2</f>
        <v>ScotlandMorocco</v>
      </c>
      <c r="B40" s="158" t="str">
        <f>E1&amp;C1</f>
        <v>C4C2</v>
      </c>
      <c r="C40" s="158">
        <f>IF(Data!Q20="",0,1)</f>
        <v>0</v>
      </c>
      <c r="D40" s="150" t="str">
        <f>E2</f>
        <v>Scotland</v>
      </c>
      <c r="E40" s="150" t="str">
        <f>C2</f>
        <v>Morocco</v>
      </c>
      <c r="F40" s="158" t="str">
        <f t="shared" si="33"/>
        <v/>
      </c>
      <c r="G40" s="158" t="str">
        <f t="shared" si="34"/>
        <v/>
      </c>
      <c r="H40" s="158">
        <f t="shared" si="35"/>
        <v>0</v>
      </c>
      <c r="I40" s="158">
        <f t="shared" si="36"/>
        <v>0</v>
      </c>
      <c r="J40" s="158" t="str">
        <f t="shared" si="37"/>
        <v/>
      </c>
      <c r="K40" s="158" t="str">
        <f t="shared" si="38"/>
        <v/>
      </c>
      <c r="L40" s="143"/>
      <c r="M40" s="143"/>
      <c r="N40" s="143"/>
      <c r="O40" s="143"/>
      <c r="P40" s="143"/>
    </row>
    <row r="41" spans="1:16" x14ac:dyDescent="0.25">
      <c r="A41" s="149" t="str">
        <f>C2&amp;D2</f>
        <v>MoroccoHaiti</v>
      </c>
      <c r="B41" s="158" t="str">
        <f>C1&amp;D1</f>
        <v>C2C3</v>
      </c>
      <c r="C41" s="158">
        <f>IF(Data!Q21="",0,1)</f>
        <v>0</v>
      </c>
      <c r="D41" s="150" t="str">
        <f>C2</f>
        <v>Morocco</v>
      </c>
      <c r="E41" s="150" t="str">
        <f>D2</f>
        <v>Haiti</v>
      </c>
      <c r="F41" s="158" t="str">
        <f t="shared" si="33"/>
        <v/>
      </c>
      <c r="G41" s="158" t="str">
        <f t="shared" si="34"/>
        <v/>
      </c>
      <c r="H41" s="158">
        <f t="shared" si="35"/>
        <v>0</v>
      </c>
      <c r="I41" s="158">
        <f t="shared" si="36"/>
        <v>0</v>
      </c>
      <c r="J41" s="158" t="str">
        <f t="shared" si="37"/>
        <v/>
      </c>
      <c r="K41" s="158" t="str">
        <f t="shared" si="38"/>
        <v/>
      </c>
      <c r="L41" s="143"/>
      <c r="M41" s="143"/>
      <c r="N41" s="143"/>
      <c r="O41" s="143"/>
      <c r="P41" s="143"/>
    </row>
    <row r="42" spans="1:16" x14ac:dyDescent="0.25">
      <c r="A42" s="151" t="str">
        <f>E2&amp;B2</f>
        <v>ScotlandBrazil</v>
      </c>
      <c r="B42" s="159" t="str">
        <f>E1&amp;B1</f>
        <v>C4C1</v>
      </c>
      <c r="C42" s="159">
        <f>IF(Data!Q22="",0,1)</f>
        <v>0</v>
      </c>
      <c r="D42" s="152" t="str">
        <f>E2</f>
        <v>Scotland</v>
      </c>
      <c r="E42" s="152" t="str">
        <f>B2</f>
        <v>Brazil</v>
      </c>
      <c r="F42" s="159" t="str">
        <f t="shared" si="33"/>
        <v/>
      </c>
      <c r="G42" s="159" t="str">
        <f t="shared" si="34"/>
        <v/>
      </c>
      <c r="H42" s="159">
        <f t="shared" si="35"/>
        <v>0</v>
      </c>
      <c r="I42" s="159">
        <f t="shared" si="36"/>
        <v>0</v>
      </c>
      <c r="J42" s="159" t="str">
        <f t="shared" si="37"/>
        <v/>
      </c>
      <c r="K42" s="159" t="str">
        <f t="shared" si="38"/>
        <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$B45</f>
        <v>Scotland</v>
      </c>
      <c r="M44" s="154" t="str">
        <f>$B46</f>
        <v>Morocco</v>
      </c>
      <c r="N44" s="154" t="str">
        <f>$B47</f>
        <v>Brazil</v>
      </c>
      <c r="O44" s="154" t="str">
        <f>$B48</f>
        <v>Haiti</v>
      </c>
      <c r="P44" s="155"/>
    </row>
    <row r="45" spans="1:16" x14ac:dyDescent="0.25">
      <c r="A45" s="156">
        <v>1</v>
      </c>
      <c r="B45" s="156" t="str">
        <f>VLOOKUP($A45,RankingC,2,FALSE)</f>
        <v>Scotland</v>
      </c>
      <c r="C45" s="157">
        <f>VLOOKUP($B45,Lookup10,3,FALSE)</f>
        <v>1</v>
      </c>
      <c r="D45" s="157">
        <f>VLOOKUP($B45,Lookup10,4,FALSE)</f>
        <v>1</v>
      </c>
      <c r="E45" s="157">
        <f>VLOOKUP($B45,Lookup10,5,FALSE)</f>
        <v>0</v>
      </c>
      <c r="F45" s="157">
        <f>VLOOKUP($B45,Lookup10,6,FALSE)</f>
        <v>0</v>
      </c>
      <c r="G45" s="157">
        <f>VLOOKUP($B45,Lookup10,7,FALSE)</f>
        <v>1</v>
      </c>
      <c r="H45" s="157">
        <f>VLOOKUP($B45,Lookup10,8,FALSE)</f>
        <v>0</v>
      </c>
      <c r="I45" s="157">
        <f>VLOOKUP($B45,Lookup10,9,FALSE)</f>
        <v>1</v>
      </c>
      <c r="J45" s="157">
        <f>VLOOKUP($B45,Lookup10,10,FALSE)</f>
        <v>3</v>
      </c>
      <c r="K45" s="201" t="str">
        <f>B45</f>
        <v>Scotland</v>
      </c>
      <c r="L45" s="203"/>
      <c r="M45" s="202" t="str">
        <f>IFERROR(VLOOKUP($B45&amp;M$44,A37:G42,6,FALSE)&amp;"-"&amp;VLOOKUP($B45&amp;M$44,A37:G42,7,FALSE),VLOOKUP(M$44&amp;$B45,A37:G42,7,FALSE)&amp;"-"&amp;VLOOKUP(M$44&amp;$B45,A37:G42,6,FALSE))</f>
        <v>-</v>
      </c>
      <c r="N45" s="202" t="str">
        <f>IFERROR(VLOOKUP($B45&amp;N$44,A37:G42,6,FALSE)&amp;"-"&amp;VLOOKUP($B45&amp;N$44,A37:G42,7,FALSE),VLOOKUP(N$44&amp;$B45,A37:G42,7,FALSE)&amp;"-"&amp;VLOOKUP(N$44&amp;$B45,A37:G42,6,FALSE))</f>
        <v>-</v>
      </c>
      <c r="O45" s="202" t="str">
        <f>IFERROR(VLOOKUP($B45&amp;O$44,A37:G42,6,FALSE)&amp;"-"&amp;VLOOKUP($B45&amp;O$44,A37:G42,7,FALSE),VLOOKUP(O$44&amp;$B45,A37:G42,7,FALSE)&amp;"-"&amp;VLOOKUP(O$44&amp;$B45,A37:G42,6,FALSE))</f>
        <v>1-0</v>
      </c>
      <c r="P45" s="155"/>
    </row>
    <row r="46" spans="1:16" x14ac:dyDescent="0.25">
      <c r="A46" s="156">
        <v>2</v>
      </c>
      <c r="B46" s="156" t="str">
        <f>VLOOKUP($A46,RankingC,2,FALSE)</f>
        <v>Morocco</v>
      </c>
      <c r="C46" s="157">
        <f>VLOOKUP($B46,Lookup10,3,FALSE)</f>
        <v>1</v>
      </c>
      <c r="D46" s="157">
        <f>VLOOKUP($B46,Lookup10,4,FALSE)</f>
        <v>0</v>
      </c>
      <c r="E46" s="157">
        <f>VLOOKUP($B46,Lookup10,5,FALSE)</f>
        <v>1</v>
      </c>
      <c r="F46" s="157">
        <f>VLOOKUP($B46,Lookup10,6,FALSE)</f>
        <v>0</v>
      </c>
      <c r="G46" s="157">
        <f>VLOOKUP($B46,Lookup10,7,FALSE)</f>
        <v>1</v>
      </c>
      <c r="H46" s="157">
        <f>VLOOKUP($B46,Lookup10,8,FALSE)</f>
        <v>1</v>
      </c>
      <c r="I46" s="157">
        <f>VLOOKUP($B46,Lookup10,9,FALSE)</f>
        <v>0</v>
      </c>
      <c r="J46" s="157">
        <f>VLOOKUP($B46,Lookup10,10,FALSE)</f>
        <v>1</v>
      </c>
      <c r="K46" s="201" t="str">
        <f>B46</f>
        <v>Morocco</v>
      </c>
      <c r="L46" s="202" t="str">
        <f>IFERROR(VLOOKUP($B46&amp;L$44,A37:G42,6,FALSE)&amp;"-"&amp;VLOOKUP($B46&amp;L$44,A37:G42,7,FALSE),VLOOKUP(L$44&amp;$B46,A37:G42,7,FALSE)&amp;"-"&amp;VLOOKUP(L$44&amp;$B46,A37:G42,6,FALSE))</f>
        <v>-</v>
      </c>
      <c r="M46" s="203"/>
      <c r="N46" s="202" t="str">
        <f>IFERROR(VLOOKUP($B46&amp;N$44,A37:G42,6,FALSE)&amp;"-"&amp;VLOOKUP($B46&amp;N$44,A37:G42,7,FALSE),VLOOKUP(N$44&amp;$B46,A37:G42,7,FALSE)&amp;"-"&amp;VLOOKUP(N$44&amp;$B46,A37:G42,6,FALSE))</f>
        <v>1-1</v>
      </c>
      <c r="O46" s="202" t="str">
        <f>IFERROR(VLOOKUP($B46&amp;O$44,A37:G42,6,FALSE)&amp;"-"&amp;VLOOKUP($B46&amp;O$44,A37:G42,7,FALSE),VLOOKUP(O$44&amp;$B46,A37:G42,7,FALSE)&amp;"-"&amp;VLOOKUP(O$44&amp;$B46,A37:G42,6,FALSE))</f>
        <v>-</v>
      </c>
      <c r="P46" s="155"/>
    </row>
    <row r="47" spans="1:16" x14ac:dyDescent="0.25">
      <c r="A47" s="156">
        <v>3</v>
      </c>
      <c r="B47" s="156" t="str">
        <f>VLOOKUP($A47,RankingC,2,FALSE)</f>
        <v>Brazil</v>
      </c>
      <c r="C47" s="157">
        <f>VLOOKUP($B47,Lookup10,3,FALSE)</f>
        <v>1</v>
      </c>
      <c r="D47" s="157">
        <f>VLOOKUP($B47,Lookup10,4,FALSE)</f>
        <v>0</v>
      </c>
      <c r="E47" s="157">
        <f>VLOOKUP($B47,Lookup10,5,FALSE)</f>
        <v>1</v>
      </c>
      <c r="F47" s="157">
        <f>VLOOKUP($B47,Lookup10,6,FALSE)</f>
        <v>0</v>
      </c>
      <c r="G47" s="157">
        <f>VLOOKUP($B47,Lookup10,7,FALSE)</f>
        <v>1</v>
      </c>
      <c r="H47" s="157">
        <f>VLOOKUP($B47,Lookup10,8,FALSE)</f>
        <v>1</v>
      </c>
      <c r="I47" s="157">
        <f>VLOOKUP($B47,Lookup10,9,FALSE)</f>
        <v>0</v>
      </c>
      <c r="J47" s="157">
        <f>VLOOKUP($B47,Lookup10,10,FALSE)</f>
        <v>1</v>
      </c>
      <c r="K47" s="201" t="str">
        <f>B47</f>
        <v>Brazil</v>
      </c>
      <c r="L47" s="202" t="str">
        <f>IFERROR(VLOOKUP($B47&amp;L$44,A37:G42,6,FALSE)&amp;"-"&amp;VLOOKUP($B47&amp;L$44,A37:G42,7,FALSE),VLOOKUP(L$44&amp;$B47,A37:G42,7,FALSE)&amp;"-"&amp;VLOOKUP(L$44&amp;$B47,A37:G42,6,FALSE))</f>
        <v>-</v>
      </c>
      <c r="M47" s="202" t="str">
        <f>IFERROR(VLOOKUP($B47&amp;M$44,A37:G42,6,FALSE)&amp;"-"&amp;VLOOKUP($B47&amp;M$44,A37:G42,7,FALSE),VLOOKUP(M$44&amp;$B47,A37:G42,7,FALSE)&amp;"-"&amp;VLOOKUP(M$44&amp;$B47,A37:G42,6,FALSE))</f>
        <v>1-1</v>
      </c>
      <c r="N47" s="203"/>
      <c r="O47" s="202" t="str">
        <f>IFERROR(VLOOKUP($B47&amp;O$44,A37:G42,6,FALSE)&amp;"-"&amp;VLOOKUP($B47&amp;O$44,A37:G42,7,FALSE),VLOOKUP(O$44&amp;$B47,A37:G42,7,FALSE)&amp;"-"&amp;VLOOKUP(O$44&amp;$B47,A37:G42,6,FALSE))</f>
        <v>-</v>
      </c>
      <c r="P47" s="155"/>
    </row>
    <row r="48" spans="1:16" x14ac:dyDescent="0.25">
      <c r="A48" s="156">
        <v>4</v>
      </c>
      <c r="B48" s="156" t="str">
        <f>VLOOKUP($A48,RankingC,2,FALSE)</f>
        <v>Haiti</v>
      </c>
      <c r="C48" s="157">
        <f>VLOOKUP($B48,Lookup10,3,FALSE)</f>
        <v>1</v>
      </c>
      <c r="D48" s="157">
        <f>VLOOKUP($B48,Lookup10,4,FALSE)</f>
        <v>0</v>
      </c>
      <c r="E48" s="157">
        <f>VLOOKUP($B48,Lookup10,5,FALSE)</f>
        <v>0</v>
      </c>
      <c r="F48" s="157">
        <f>VLOOKUP($B48,Lookup10,6,FALSE)</f>
        <v>1</v>
      </c>
      <c r="G48" s="157">
        <f>VLOOKUP($B48,Lookup10,7,FALSE)</f>
        <v>0</v>
      </c>
      <c r="H48" s="157">
        <f>VLOOKUP($B48,Lookup10,8,FALSE)</f>
        <v>1</v>
      </c>
      <c r="I48" s="157">
        <f>VLOOKUP($B48,Lookup10,9,FALSE)</f>
        <v>-1</v>
      </c>
      <c r="J48" s="157">
        <f>VLOOKUP($B48,Lookup10,10,FALSE)</f>
        <v>0</v>
      </c>
      <c r="K48" s="201" t="str">
        <f>B48</f>
        <v>Haiti</v>
      </c>
      <c r="L48" s="202" t="str">
        <f>IFERROR(VLOOKUP($B48&amp;L$44,A37:G42,6,FALSE)&amp;"-"&amp;VLOOKUP($B48&amp;L$44,A37:G42,7,FALSE),VLOOKUP(L$44&amp;$B48,A37:G42,7,FALSE)&amp;"-"&amp;VLOOKUP(L$44&amp;$B48,A37:G42,6,FALSE))</f>
        <v>0-1</v>
      </c>
      <c r="M48" s="202" t="str">
        <f>IFERROR(VLOOKUP($B48&amp;M$44,A37:G42,6,FALSE)&amp;"-"&amp;VLOOKUP($B48&amp;M$44,A37:G42,7,FALSE),VLOOKUP(M$44&amp;$B48,A37:G42,7,FALSE)&amp;"-"&amp;VLOOKUP(M$44&amp;$B48,A37:G42,6,FALSE))</f>
        <v>-</v>
      </c>
      <c r="N48" s="202" t="str">
        <f>IFERROR(VLOOKUP($B48&amp;N$44,A37:G42,6,FALSE)&amp;"-"&amp;VLOOKUP($B48&amp;N$44,A37:G42,7,FALSE),VLOOKUP(N$44&amp;$B48,A37:G42,7,FALSE)&amp;"-"&amp;VLOOKUP(N$44&amp;$B48,A37:G42,6,FALSE))</f>
        <v>-</v>
      </c>
      <c r="O48" s="203"/>
      <c r="P48" s="155"/>
    </row>
    <row r="49" spans="1:16" x14ac:dyDescent="0.25">
      <c r="A49" s="143"/>
      <c r="B49" s="143"/>
      <c r="C49" s="461">
        <f>SUM(C45:C48)</f>
        <v>4</v>
      </c>
      <c r="D49" s="143"/>
      <c r="E49" s="143"/>
      <c r="F49" s="143"/>
      <c r="G49" s="143"/>
      <c r="H49" s="143"/>
      <c r="I49" s="143"/>
      <c r="J49" s="143"/>
      <c r="K49" s="143"/>
      <c r="L49" s="143"/>
      <c r="M49" s="143"/>
      <c r="N49" s="143"/>
      <c r="O49" s="143"/>
      <c r="P49" s="143"/>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80D6D-B3FF-4DC5-A9DA-85A00979B71E}">
  <sheetPr>
    <tabColor rgb="FFC00000"/>
  </sheetPr>
  <dimension ref="A1:Z49"/>
  <sheetViews>
    <sheetView workbookViewId="0">
      <pane ySplit="2" topLeftCell="A20" activePane="bottomLeft" state="frozen"/>
      <selection activeCell="C42" sqref="C42"/>
      <selection pane="bottomLeft" activeCell="C42" sqref="C42"/>
    </sheetView>
  </sheetViews>
  <sheetFormatPr defaultColWidth="16.7109375" defaultRowHeight="15" x14ac:dyDescent="0.25"/>
  <sheetData>
    <row r="1" spans="1:26" x14ac:dyDescent="0.25">
      <c r="A1" s="228" t="s">
        <v>320</v>
      </c>
      <c r="B1" s="216" t="str">
        <f>A2&amp;1</f>
        <v>D1</v>
      </c>
      <c r="C1" s="216" t="str">
        <f>A2&amp;2</f>
        <v>D2</v>
      </c>
      <c r="D1" s="216" t="str">
        <f>A2&amp;3</f>
        <v>D3</v>
      </c>
      <c r="E1" s="216" t="str">
        <f>A2&amp;4</f>
        <v>D4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15</v>
      </c>
      <c r="B2" s="217" t="str">
        <f>VLOOKUP(B1,Lookup08,2,FALSE)</f>
        <v>USA</v>
      </c>
      <c r="C2" s="217" t="str">
        <f>VLOOKUP(C1,Lookup08,2,FALSE)</f>
        <v>Paraguay</v>
      </c>
      <c r="D2" s="217" t="str">
        <f>VLOOKUP(D1,Lookup08,2,FALSE)</f>
        <v>Australia</v>
      </c>
      <c r="E2" s="217" t="str">
        <f>VLOOKUP(E1,Lookup08,2,FALSE)</f>
        <v>Turkiye</v>
      </c>
      <c r="F2" s="144"/>
      <c r="G2" s="144"/>
      <c r="H2" s="195"/>
      <c r="I2" s="196" t="str">
        <f>B2</f>
        <v>USA</v>
      </c>
      <c r="J2" s="196" t="str">
        <f>C2</f>
        <v>Paraguay</v>
      </c>
      <c r="K2" s="196" t="str">
        <f>D2</f>
        <v>Australia</v>
      </c>
      <c r="L2" s="196" t="str">
        <f>E2</f>
        <v>Turkiye</v>
      </c>
      <c r="M2" s="197" t="s">
        <v>26</v>
      </c>
      <c r="N2" s="195"/>
      <c r="O2" s="196" t="str">
        <f>I2</f>
        <v>USA</v>
      </c>
      <c r="P2" s="196" t="str">
        <f t="shared" ref="P2:R2" si="0">J2</f>
        <v>Paraguay</v>
      </c>
      <c r="Q2" s="196" t="str">
        <f t="shared" si="0"/>
        <v>Australia</v>
      </c>
      <c r="R2" s="196" t="str">
        <f t="shared" si="0"/>
        <v>Turkiye</v>
      </c>
      <c r="S2" s="197" t="s">
        <v>26</v>
      </c>
      <c r="T2" s="195"/>
      <c r="U2" s="196" t="str">
        <f>O2</f>
        <v>USA</v>
      </c>
      <c r="V2" s="196" t="str">
        <f t="shared" ref="V2:X2" si="1">P2</f>
        <v>Paraguay</v>
      </c>
      <c r="W2" s="196" t="str">
        <f t="shared" si="1"/>
        <v>Australia</v>
      </c>
      <c r="X2" s="196" t="str">
        <f t="shared" si="1"/>
        <v>Turkiye</v>
      </c>
      <c r="Y2" s="197" t="s">
        <v>26</v>
      </c>
    </row>
    <row r="3" spans="1:26" x14ac:dyDescent="0.25">
      <c r="A3" s="144"/>
      <c r="B3" s="144"/>
      <c r="C3" s="144"/>
      <c r="F3" s="144"/>
      <c r="G3" s="144"/>
      <c r="H3" s="195" t="str">
        <f>B2</f>
        <v>USA</v>
      </c>
      <c r="I3" s="211"/>
      <c r="J3" s="196">
        <f>IF(G10=G11,1,0)</f>
        <v>0</v>
      </c>
      <c r="K3" s="196">
        <f>IF(G10=G12,1,0)</f>
        <v>1</v>
      </c>
      <c r="L3" s="196">
        <f>IF(G10=G13,1,0)</f>
        <v>0</v>
      </c>
      <c r="M3" s="197">
        <f>SUM(I3:L3)</f>
        <v>1</v>
      </c>
      <c r="N3" s="195" t="str">
        <f>H3</f>
        <v>USA</v>
      </c>
      <c r="O3" s="211"/>
      <c r="P3" s="196">
        <f>IF(M10=M11,1,0)</f>
        <v>0</v>
      </c>
      <c r="Q3" s="196">
        <f>IF(M10=M12,1,0)</f>
        <v>1</v>
      </c>
      <c r="R3" s="196">
        <f>IF(M10=M13,1,0)</f>
        <v>0</v>
      </c>
      <c r="S3" s="197">
        <f>SUM(O3:R3)</f>
        <v>1</v>
      </c>
      <c r="T3" s="195" t="str">
        <f>N3</f>
        <v>USA</v>
      </c>
      <c r="U3" s="211"/>
      <c r="V3" s="196">
        <f>IF(S10=S11,1,0)</f>
        <v>0</v>
      </c>
      <c r="W3" s="196">
        <f>IF(S10=S12,1,0)</f>
        <v>1</v>
      </c>
      <c r="X3" s="196">
        <f>IF(S10=S13,1,0)</f>
        <v>0</v>
      </c>
      <c r="Y3" s="197">
        <f>SUM(U3:X3)</f>
        <v>1</v>
      </c>
    </row>
    <row r="4" spans="1:26" x14ac:dyDescent="0.25">
      <c r="A4" s="144"/>
      <c r="B4" s="144"/>
      <c r="C4" s="144"/>
      <c r="F4" s="144"/>
      <c r="G4" s="144"/>
      <c r="H4" s="195" t="str">
        <f>C2</f>
        <v>Paraguay</v>
      </c>
      <c r="I4" s="196">
        <f>IF(G11=G10,1,0)</f>
        <v>0</v>
      </c>
      <c r="J4" s="211"/>
      <c r="K4" s="196">
        <f>IF(G11=G12,1,0)</f>
        <v>0</v>
      </c>
      <c r="L4" s="196">
        <f>IF(G11=G13,1,0)</f>
        <v>1</v>
      </c>
      <c r="M4" s="197">
        <f>SUM(I4:L4)</f>
        <v>1</v>
      </c>
      <c r="N4" s="195" t="str">
        <f t="shared" ref="N4:N6" si="2">H4</f>
        <v>Paraguay</v>
      </c>
      <c r="O4" s="196">
        <f>IF(M11=M10,1,0)</f>
        <v>0</v>
      </c>
      <c r="P4" s="211"/>
      <c r="Q4" s="196">
        <f>IF(M11=M12,1,0)</f>
        <v>0</v>
      </c>
      <c r="R4" s="196">
        <f>IF(M11=M13,1,0)</f>
        <v>1</v>
      </c>
      <c r="S4" s="197">
        <f>SUM(O4:R4)</f>
        <v>1</v>
      </c>
      <c r="T4" s="195" t="str">
        <f t="shared" ref="T4:T6" si="3">N4</f>
        <v>Paraguay</v>
      </c>
      <c r="U4" s="196">
        <f>IF(S11=S10,1,0)</f>
        <v>0</v>
      </c>
      <c r="V4" s="211"/>
      <c r="W4" s="196">
        <f>IF(S11=S12,1,0)</f>
        <v>0</v>
      </c>
      <c r="X4" s="196">
        <f>IF(S11=S13,1,0)</f>
        <v>1</v>
      </c>
      <c r="Y4" s="197">
        <f>SUM(U4:X4)</f>
        <v>1</v>
      </c>
    </row>
    <row r="5" spans="1:26" x14ac:dyDescent="0.25">
      <c r="A5" s="144"/>
      <c r="B5" s="144"/>
      <c r="C5" s="144"/>
      <c r="F5" s="144"/>
      <c r="G5" s="144"/>
      <c r="H5" s="195" t="str">
        <f>D2</f>
        <v>Australia</v>
      </c>
      <c r="I5" s="196">
        <f>IF(G12=G10,1,0)</f>
        <v>1</v>
      </c>
      <c r="J5" s="196">
        <f>IF(G12=G11,1,0)</f>
        <v>0</v>
      </c>
      <c r="K5" s="211"/>
      <c r="L5" s="196">
        <f>IF(G12=G13,1,0)</f>
        <v>0</v>
      </c>
      <c r="M5" s="197">
        <f>SUM(I5:L5)</f>
        <v>1</v>
      </c>
      <c r="N5" s="195" t="str">
        <f t="shared" si="2"/>
        <v>Australia</v>
      </c>
      <c r="O5" s="196">
        <f>IF(M12=M10,1,0)</f>
        <v>1</v>
      </c>
      <c r="P5" s="196">
        <f>IF(M12=M11,1,0)</f>
        <v>0</v>
      </c>
      <c r="Q5" s="211"/>
      <c r="R5" s="196">
        <f>IF(M12=M13,1,0)</f>
        <v>0</v>
      </c>
      <c r="S5" s="197">
        <f>SUM(O5:R5)</f>
        <v>1</v>
      </c>
      <c r="T5" s="195" t="str">
        <f t="shared" si="3"/>
        <v>Australia</v>
      </c>
      <c r="U5" s="196">
        <f>IF(S12=S10,1,0)</f>
        <v>1</v>
      </c>
      <c r="V5" s="196">
        <f>IF(S12=S11,1,0)</f>
        <v>0</v>
      </c>
      <c r="W5" s="211"/>
      <c r="X5" s="196">
        <f>IF(S12=S13,1,0)</f>
        <v>0</v>
      </c>
      <c r="Y5" s="197">
        <f>SUM(U5:X5)</f>
        <v>1</v>
      </c>
    </row>
    <row r="6" spans="1:26" x14ac:dyDescent="0.25">
      <c r="A6" s="144"/>
      <c r="B6" s="144"/>
      <c r="C6" s="144"/>
      <c r="F6" s="144"/>
      <c r="G6" s="144"/>
      <c r="H6" s="198" t="str">
        <f>E2</f>
        <v>Turkiye</v>
      </c>
      <c r="I6" s="199">
        <f>IF(G13=G10,1,0)</f>
        <v>0</v>
      </c>
      <c r="J6" s="199">
        <f>IF(G13=G11,1,0)</f>
        <v>1</v>
      </c>
      <c r="K6" s="199">
        <f>IF(G13=G12,1,0)</f>
        <v>0</v>
      </c>
      <c r="L6" s="212"/>
      <c r="M6" s="200">
        <f>SUM(I6:L6)</f>
        <v>1</v>
      </c>
      <c r="N6" s="198" t="str">
        <f t="shared" si="2"/>
        <v>Turkiye</v>
      </c>
      <c r="O6" s="199">
        <f>IF(M13=M10,1,0)</f>
        <v>0</v>
      </c>
      <c r="P6" s="199">
        <f>IF(M13=M11,1,0)</f>
        <v>1</v>
      </c>
      <c r="Q6" s="199">
        <f>IF(M13=M12,1,0)</f>
        <v>0</v>
      </c>
      <c r="R6" s="212"/>
      <c r="S6" s="200">
        <f>SUM(O6:R6)</f>
        <v>1</v>
      </c>
      <c r="T6" s="198" t="str">
        <f t="shared" si="3"/>
        <v>Turkiye</v>
      </c>
      <c r="U6" s="199">
        <f>IF(S13=S10,1,0)</f>
        <v>0</v>
      </c>
      <c r="V6" s="199">
        <f>IF(S13=S11,1,0)</f>
        <v>1</v>
      </c>
      <c r="W6" s="199">
        <f>IF(S13=S12,1,0)</f>
        <v>0</v>
      </c>
      <c r="X6" s="212"/>
      <c r="Y6" s="200">
        <f>SUM(U6:X6)</f>
        <v>1</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USA</v>
      </c>
      <c r="D9" s="190" t="str">
        <f>C2</f>
        <v>Paraguay</v>
      </c>
      <c r="E9" s="190" t="str">
        <f>D2</f>
        <v>Australia</v>
      </c>
      <c r="F9" s="190" t="str">
        <f>E2</f>
        <v>Turkiye</v>
      </c>
      <c r="G9" s="191" t="s">
        <v>26</v>
      </c>
      <c r="H9" s="189"/>
      <c r="I9" s="190" t="str">
        <f>C9</f>
        <v>USA</v>
      </c>
      <c r="J9" s="190" t="str">
        <f t="shared" ref="J9:L9" si="4">D9</f>
        <v>Paraguay</v>
      </c>
      <c r="K9" s="190" t="str">
        <f t="shared" si="4"/>
        <v>Australia</v>
      </c>
      <c r="L9" s="190" t="str">
        <f t="shared" si="4"/>
        <v>Turkiye</v>
      </c>
      <c r="M9" s="191" t="s">
        <v>26</v>
      </c>
      <c r="N9" s="189"/>
      <c r="O9" s="190" t="str">
        <f>I9</f>
        <v>USA</v>
      </c>
      <c r="P9" s="190" t="str">
        <f t="shared" ref="P9:R9" si="5">J9</f>
        <v>Paraguay</v>
      </c>
      <c r="Q9" s="190" t="str">
        <f t="shared" si="5"/>
        <v>Australia</v>
      </c>
      <c r="R9" s="190" t="str">
        <f t="shared" si="5"/>
        <v>Turkiye</v>
      </c>
      <c r="S9" s="191" t="s">
        <v>26</v>
      </c>
      <c r="T9" s="189"/>
      <c r="U9" s="190" t="str">
        <f>O9</f>
        <v>USA</v>
      </c>
      <c r="V9" s="190" t="str">
        <f t="shared" ref="V9:X9" si="6">P9</f>
        <v>Paraguay</v>
      </c>
      <c r="W9" s="190" t="str">
        <f t="shared" si="6"/>
        <v>Australia</v>
      </c>
      <c r="X9" s="190" t="str">
        <f t="shared" si="6"/>
        <v>Turkiye</v>
      </c>
      <c r="Y9" s="191" t="s">
        <v>26</v>
      </c>
      <c r="Z9" s="227" t="s">
        <v>309</v>
      </c>
    </row>
    <row r="10" spans="1:26" x14ac:dyDescent="0.25">
      <c r="A10" s="144"/>
      <c r="B10" s="189" t="str">
        <f>B2</f>
        <v>USA</v>
      </c>
      <c r="C10" s="204"/>
      <c r="D10" s="190">
        <f>H37</f>
        <v>3</v>
      </c>
      <c r="E10" s="190">
        <f>H39</f>
        <v>0</v>
      </c>
      <c r="F10" s="190">
        <f>I42</f>
        <v>0</v>
      </c>
      <c r="G10" s="191">
        <f>SUM(C10:F10)</f>
        <v>3</v>
      </c>
      <c r="H10" s="189" t="str">
        <f>B10</f>
        <v>USA</v>
      </c>
      <c r="I10" s="218">
        <f>C10+I17/100+I24/10000</f>
        <v>0</v>
      </c>
      <c r="J10" s="219">
        <f t="shared" ref="J10:L10" si="7">D10+J17/100+J24/10000</f>
        <v>3</v>
      </c>
      <c r="K10" s="219">
        <f t="shared" si="7"/>
        <v>0</v>
      </c>
      <c r="L10" s="219">
        <f t="shared" si="7"/>
        <v>0</v>
      </c>
      <c r="M10" s="220">
        <f>SUM(I10:L10)</f>
        <v>3</v>
      </c>
      <c r="N10" s="189" t="str">
        <f>H10</f>
        <v>USA</v>
      </c>
      <c r="O10" s="218">
        <f>I10+O17/100+O24/10000</f>
        <v>0</v>
      </c>
      <c r="P10" s="219">
        <f t="shared" ref="P10:R13" si="8">J10+P17/100+P24/10000</f>
        <v>3</v>
      </c>
      <c r="Q10" s="219">
        <f t="shared" si="8"/>
        <v>0</v>
      </c>
      <c r="R10" s="219">
        <f t="shared" si="8"/>
        <v>0</v>
      </c>
      <c r="S10" s="220">
        <f>SUM(O10:R10)</f>
        <v>3</v>
      </c>
      <c r="T10" s="189" t="str">
        <f>N10</f>
        <v>USA</v>
      </c>
      <c r="U10" s="218">
        <f>O10+U17/100+U24/10000</f>
        <v>0</v>
      </c>
      <c r="V10" s="219">
        <f t="shared" ref="V10:X13" si="9">P10+V17/100+V24/10000</f>
        <v>3</v>
      </c>
      <c r="W10" s="219">
        <f t="shared" si="9"/>
        <v>0</v>
      </c>
      <c r="X10" s="219">
        <f t="shared" si="9"/>
        <v>0</v>
      </c>
      <c r="Y10" s="220">
        <f>ROUND(SUM(U10:X10),8)</f>
        <v>3</v>
      </c>
      <c r="Z10" s="224">
        <f>_xlfn.RANK.EQ(Y10,Y$10:Y$13,1)</f>
        <v>3</v>
      </c>
    </row>
    <row r="11" spans="1:26" x14ac:dyDescent="0.25">
      <c r="A11" s="144"/>
      <c r="B11" s="189" t="str">
        <f>C2</f>
        <v>Paraguay</v>
      </c>
      <c r="C11" s="190">
        <f>I37</f>
        <v>0</v>
      </c>
      <c r="D11" s="204"/>
      <c r="E11" s="190">
        <f>H41</f>
        <v>0</v>
      </c>
      <c r="F11" s="190">
        <f>I40</f>
        <v>0</v>
      </c>
      <c r="G11" s="191">
        <f>SUM(C11:F11)</f>
        <v>0</v>
      </c>
      <c r="H11" s="189" t="str">
        <f t="shared" ref="H11:H13" si="10">B11</f>
        <v>Paraguay</v>
      </c>
      <c r="I11" s="219">
        <f t="shared" ref="I11:L13" si="11">C11+I18/100+I25/10000</f>
        <v>0</v>
      </c>
      <c r="J11" s="218">
        <f t="shared" si="11"/>
        <v>0</v>
      </c>
      <c r="K11" s="219">
        <f t="shared" si="11"/>
        <v>0</v>
      </c>
      <c r="L11" s="219">
        <f t="shared" si="11"/>
        <v>0</v>
      </c>
      <c r="M11" s="220">
        <f>SUM(I11:L11)</f>
        <v>0</v>
      </c>
      <c r="N11" s="189" t="str">
        <f t="shared" ref="N11:N13" si="12">H11</f>
        <v>Paraguay</v>
      </c>
      <c r="O11" s="219">
        <f t="shared" ref="O11:O13" si="13">I11+O18/100+O25/10000</f>
        <v>0</v>
      </c>
      <c r="P11" s="218">
        <f t="shared" si="8"/>
        <v>0</v>
      </c>
      <c r="Q11" s="219">
        <f t="shared" si="8"/>
        <v>0</v>
      </c>
      <c r="R11" s="219">
        <f t="shared" si="8"/>
        <v>0</v>
      </c>
      <c r="S11" s="220">
        <f>SUM(O11:R11)</f>
        <v>0</v>
      </c>
      <c r="T11" s="189" t="str">
        <f t="shared" ref="T11:T13" si="14">N11</f>
        <v>Paraguay</v>
      </c>
      <c r="U11" s="219">
        <f t="shared" ref="U11:U13" si="15">O11+U18/100+U25/10000</f>
        <v>0</v>
      </c>
      <c r="V11" s="218">
        <f t="shared" si="9"/>
        <v>0</v>
      </c>
      <c r="W11" s="219">
        <f t="shared" si="9"/>
        <v>0</v>
      </c>
      <c r="X11" s="219">
        <f t="shared" si="9"/>
        <v>0</v>
      </c>
      <c r="Y11" s="220">
        <f t="shared" ref="Y11:Y13" si="16">ROUND(SUM(U11:X11),8)</f>
        <v>0</v>
      </c>
      <c r="Z11" s="224">
        <f t="shared" ref="Z11:Z13" si="17">_xlfn.RANK.EQ(Y11,Y$10:Y$13,1)</f>
        <v>1</v>
      </c>
    </row>
    <row r="12" spans="1:26" x14ac:dyDescent="0.25">
      <c r="A12" s="144"/>
      <c r="B12" s="189" t="str">
        <f>D2</f>
        <v>Australia</v>
      </c>
      <c r="C12" s="190">
        <f>I39</f>
        <v>0</v>
      </c>
      <c r="D12" s="190">
        <f>I41</f>
        <v>0</v>
      </c>
      <c r="E12" s="204"/>
      <c r="F12" s="190">
        <f>H38</f>
        <v>3</v>
      </c>
      <c r="G12" s="191">
        <f>SUM(C12:F12)</f>
        <v>3</v>
      </c>
      <c r="H12" s="189" t="str">
        <f t="shared" si="10"/>
        <v>Australia</v>
      </c>
      <c r="I12" s="219">
        <f t="shared" si="11"/>
        <v>0</v>
      </c>
      <c r="J12" s="219">
        <f t="shared" si="11"/>
        <v>0</v>
      </c>
      <c r="K12" s="218">
        <f t="shared" si="11"/>
        <v>0</v>
      </c>
      <c r="L12" s="219">
        <f t="shared" si="11"/>
        <v>3</v>
      </c>
      <c r="M12" s="220">
        <f>SUM(I12:L12)</f>
        <v>3</v>
      </c>
      <c r="N12" s="189" t="str">
        <f t="shared" si="12"/>
        <v>Australia</v>
      </c>
      <c r="O12" s="219">
        <f t="shared" si="13"/>
        <v>0</v>
      </c>
      <c r="P12" s="219">
        <f t="shared" si="8"/>
        <v>0</v>
      </c>
      <c r="Q12" s="218">
        <f t="shared" si="8"/>
        <v>0</v>
      </c>
      <c r="R12" s="219">
        <f t="shared" si="8"/>
        <v>3</v>
      </c>
      <c r="S12" s="220">
        <f>SUM(O12:R12)</f>
        <v>3</v>
      </c>
      <c r="T12" s="189" t="str">
        <f t="shared" si="14"/>
        <v>Australia</v>
      </c>
      <c r="U12" s="219">
        <f t="shared" si="15"/>
        <v>0</v>
      </c>
      <c r="V12" s="219">
        <f t="shared" si="9"/>
        <v>0</v>
      </c>
      <c r="W12" s="218">
        <f t="shared" si="9"/>
        <v>0</v>
      </c>
      <c r="X12" s="219">
        <f t="shared" si="9"/>
        <v>3</v>
      </c>
      <c r="Y12" s="220">
        <f t="shared" si="16"/>
        <v>3</v>
      </c>
      <c r="Z12" s="224">
        <f t="shared" si="17"/>
        <v>3</v>
      </c>
    </row>
    <row r="13" spans="1:26" x14ac:dyDescent="0.25">
      <c r="A13" s="144"/>
      <c r="B13" s="192" t="str">
        <f>E2</f>
        <v>Turkiye</v>
      </c>
      <c r="C13" s="193">
        <f>H42</f>
        <v>0</v>
      </c>
      <c r="D13" s="193">
        <f>H40</f>
        <v>0</v>
      </c>
      <c r="E13" s="193">
        <f>I38</f>
        <v>0</v>
      </c>
      <c r="F13" s="205"/>
      <c r="G13" s="194">
        <f>SUM(C13:F13)</f>
        <v>0</v>
      </c>
      <c r="H13" s="192" t="str">
        <f t="shared" si="10"/>
        <v>Turkiye</v>
      </c>
      <c r="I13" s="221">
        <f t="shared" si="11"/>
        <v>0</v>
      </c>
      <c r="J13" s="221">
        <f t="shared" si="11"/>
        <v>0</v>
      </c>
      <c r="K13" s="221">
        <f t="shared" si="11"/>
        <v>0</v>
      </c>
      <c r="L13" s="222">
        <f t="shared" si="11"/>
        <v>0</v>
      </c>
      <c r="M13" s="223">
        <f>SUM(I13:L13)</f>
        <v>0</v>
      </c>
      <c r="N13" s="192" t="str">
        <f t="shared" si="12"/>
        <v>Turkiye</v>
      </c>
      <c r="O13" s="221">
        <f t="shared" si="13"/>
        <v>0</v>
      </c>
      <c r="P13" s="221">
        <f t="shared" si="8"/>
        <v>0</v>
      </c>
      <c r="Q13" s="221">
        <f t="shared" si="8"/>
        <v>0</v>
      </c>
      <c r="R13" s="222">
        <f t="shared" si="8"/>
        <v>0</v>
      </c>
      <c r="S13" s="223">
        <f>SUM(O13:R13)</f>
        <v>0</v>
      </c>
      <c r="T13" s="192" t="str">
        <f t="shared" si="14"/>
        <v>Turkiye</v>
      </c>
      <c r="U13" s="221">
        <f t="shared" si="15"/>
        <v>0</v>
      </c>
      <c r="V13" s="221">
        <f t="shared" si="9"/>
        <v>0</v>
      </c>
      <c r="W13" s="221">
        <f t="shared" si="9"/>
        <v>0</v>
      </c>
      <c r="X13" s="222">
        <f t="shared" si="9"/>
        <v>0</v>
      </c>
      <c r="Y13" s="223">
        <f t="shared" si="16"/>
        <v>0</v>
      </c>
      <c r="Z13" s="225">
        <f t="shared" si="17"/>
        <v>1</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USA</v>
      </c>
      <c r="D16" s="177" t="str">
        <f>C2</f>
        <v>Paraguay</v>
      </c>
      <c r="E16" s="177" t="str">
        <f>D2</f>
        <v>Australia</v>
      </c>
      <c r="F16" s="177" t="str">
        <f>E2</f>
        <v>Turkiye</v>
      </c>
      <c r="G16" s="178" t="s">
        <v>26</v>
      </c>
      <c r="H16" s="183"/>
      <c r="I16" s="184" t="str">
        <f>C16</f>
        <v>USA</v>
      </c>
      <c r="J16" s="184" t="str">
        <f t="shared" ref="J16:L16" si="18">D16</f>
        <v>Paraguay</v>
      </c>
      <c r="K16" s="184" t="str">
        <f t="shared" si="18"/>
        <v>Australia</v>
      </c>
      <c r="L16" s="184" t="str">
        <f t="shared" si="18"/>
        <v>Turkiye</v>
      </c>
      <c r="M16" s="185" t="s">
        <v>26</v>
      </c>
      <c r="N16" s="183"/>
      <c r="O16" s="184" t="str">
        <f>I16</f>
        <v>USA</v>
      </c>
      <c r="P16" s="184" t="str">
        <f t="shared" ref="P16:R16" si="19">J16</f>
        <v>Paraguay</v>
      </c>
      <c r="Q16" s="184" t="str">
        <f t="shared" si="19"/>
        <v>Australia</v>
      </c>
      <c r="R16" s="184" t="str">
        <f t="shared" si="19"/>
        <v>Turkiye</v>
      </c>
      <c r="S16" s="185" t="s">
        <v>26</v>
      </c>
      <c r="T16" s="183"/>
      <c r="U16" s="184" t="str">
        <f>O16</f>
        <v>USA</v>
      </c>
      <c r="V16" s="184" t="str">
        <f t="shared" ref="V16:X16" si="20">P16</f>
        <v>Paraguay</v>
      </c>
      <c r="W16" s="184" t="str">
        <f t="shared" si="20"/>
        <v>Australia</v>
      </c>
      <c r="X16" s="184" t="str">
        <f t="shared" si="20"/>
        <v>Turkiye</v>
      </c>
      <c r="Y16" s="185" t="s">
        <v>26</v>
      </c>
    </row>
    <row r="17" spans="1:25" x14ac:dyDescent="0.25">
      <c r="A17" s="144"/>
      <c r="B17" s="176" t="str">
        <f>B2</f>
        <v>USA</v>
      </c>
      <c r="C17" s="206"/>
      <c r="D17" s="179">
        <f>IFERROR(F37-G37,0)</f>
        <v>3</v>
      </c>
      <c r="E17" s="179">
        <f>IFERROR(F39-G39,0)</f>
        <v>0</v>
      </c>
      <c r="F17" s="179">
        <f>IFERROR(G42-F42,0)</f>
        <v>0</v>
      </c>
      <c r="G17" s="178">
        <f>SUM(C17:F17)</f>
        <v>3</v>
      </c>
      <c r="H17" s="183" t="str">
        <f>B17</f>
        <v>USA</v>
      </c>
      <c r="I17" s="208"/>
      <c r="J17" s="184">
        <f>D17*J3</f>
        <v>0</v>
      </c>
      <c r="K17" s="184">
        <f>E17*K3</f>
        <v>0</v>
      </c>
      <c r="L17" s="184">
        <f>F17*L3</f>
        <v>0</v>
      </c>
      <c r="M17" s="185">
        <f>SUM(I17:L17)</f>
        <v>0</v>
      </c>
      <c r="N17" s="183" t="str">
        <f>H17</f>
        <v>USA</v>
      </c>
      <c r="O17" s="208"/>
      <c r="P17" s="184">
        <f>J17*P3</f>
        <v>0</v>
      </c>
      <c r="Q17" s="184">
        <f>K17*Q3</f>
        <v>0</v>
      </c>
      <c r="R17" s="184">
        <f>L17*R3</f>
        <v>0</v>
      </c>
      <c r="S17" s="185">
        <f>SUM(O17:R17)</f>
        <v>0</v>
      </c>
      <c r="T17" s="183" t="str">
        <f>N17</f>
        <v>USA</v>
      </c>
      <c r="U17" s="208"/>
      <c r="V17" s="184">
        <f>P17*V3</f>
        <v>0</v>
      </c>
      <c r="W17" s="184">
        <f>Q17*W3</f>
        <v>0</v>
      </c>
      <c r="X17" s="184">
        <f>R17*X3</f>
        <v>0</v>
      </c>
      <c r="Y17" s="185">
        <f>SUM(U17:X17)</f>
        <v>0</v>
      </c>
    </row>
    <row r="18" spans="1:25" x14ac:dyDescent="0.25">
      <c r="A18" s="144"/>
      <c r="B18" s="176" t="str">
        <f>C2</f>
        <v>Paraguay</v>
      </c>
      <c r="C18" s="179">
        <f>IFERROR(G37-F37,0)</f>
        <v>-3</v>
      </c>
      <c r="D18" s="206"/>
      <c r="E18" s="179">
        <f>IFERROR(F41-G41,0)</f>
        <v>0</v>
      </c>
      <c r="F18" s="179">
        <f>IFERROR(G40-F40,0)</f>
        <v>0</v>
      </c>
      <c r="G18" s="178">
        <f>SUM(C18:F18)</f>
        <v>-3</v>
      </c>
      <c r="H18" s="183" t="str">
        <f t="shared" ref="H18:H20" si="21">B18</f>
        <v>Paraguay</v>
      </c>
      <c r="I18" s="184">
        <f>C18*I4</f>
        <v>0</v>
      </c>
      <c r="J18" s="208"/>
      <c r="K18" s="184">
        <f>E18*K4</f>
        <v>0</v>
      </c>
      <c r="L18" s="184">
        <f>F18*L4</f>
        <v>0</v>
      </c>
      <c r="M18" s="185">
        <f>SUM(I18:L18)</f>
        <v>0</v>
      </c>
      <c r="N18" s="183" t="str">
        <f t="shared" ref="N18:N20" si="22">H18</f>
        <v>Paraguay</v>
      </c>
      <c r="O18" s="184">
        <f>I18*O4</f>
        <v>0</v>
      </c>
      <c r="P18" s="208"/>
      <c r="Q18" s="184">
        <f>K18*Q4</f>
        <v>0</v>
      </c>
      <c r="R18" s="184">
        <f>L18*R4</f>
        <v>0</v>
      </c>
      <c r="S18" s="185">
        <f>SUM(O18:R18)</f>
        <v>0</v>
      </c>
      <c r="T18" s="183" t="str">
        <f t="shared" ref="T18:T20" si="23">N18</f>
        <v>Paraguay</v>
      </c>
      <c r="U18" s="184">
        <f>O18*U4</f>
        <v>0</v>
      </c>
      <c r="V18" s="208"/>
      <c r="W18" s="184">
        <f>Q18*W4</f>
        <v>0</v>
      </c>
      <c r="X18" s="184">
        <f>R18*X4</f>
        <v>0</v>
      </c>
      <c r="Y18" s="185">
        <f>SUM(U18:X18)</f>
        <v>0</v>
      </c>
    </row>
    <row r="19" spans="1:25" x14ac:dyDescent="0.25">
      <c r="A19" s="144"/>
      <c r="B19" s="176" t="str">
        <f>D2</f>
        <v>Australia</v>
      </c>
      <c r="C19" s="179">
        <f>IFERROR(G39-F39,0)</f>
        <v>0</v>
      </c>
      <c r="D19" s="179">
        <f>IFERROR(G41-F41,0)</f>
        <v>0</v>
      </c>
      <c r="E19" s="206"/>
      <c r="F19" s="179">
        <f>IFERROR(F38-G38,0)</f>
        <v>2</v>
      </c>
      <c r="G19" s="178">
        <f>SUM(C19:F19)</f>
        <v>2</v>
      </c>
      <c r="H19" s="183" t="str">
        <f t="shared" si="21"/>
        <v>Australia</v>
      </c>
      <c r="I19" s="184">
        <f>C19*I5</f>
        <v>0</v>
      </c>
      <c r="J19" s="184">
        <f>D19*J5</f>
        <v>0</v>
      </c>
      <c r="K19" s="208"/>
      <c r="L19" s="184">
        <f>F19*L5</f>
        <v>0</v>
      </c>
      <c r="M19" s="185">
        <f>SUM(I19:L19)</f>
        <v>0</v>
      </c>
      <c r="N19" s="183" t="str">
        <f t="shared" si="22"/>
        <v>Australia</v>
      </c>
      <c r="O19" s="184">
        <f>I19*O5</f>
        <v>0</v>
      </c>
      <c r="P19" s="184">
        <f>J19*P5</f>
        <v>0</v>
      </c>
      <c r="Q19" s="208"/>
      <c r="R19" s="184">
        <f>L19*R5</f>
        <v>0</v>
      </c>
      <c r="S19" s="185">
        <f>SUM(O19:R19)</f>
        <v>0</v>
      </c>
      <c r="T19" s="183" t="str">
        <f t="shared" si="23"/>
        <v>Australia</v>
      </c>
      <c r="U19" s="184">
        <f>O19*U5</f>
        <v>0</v>
      </c>
      <c r="V19" s="184">
        <f>P19*V5</f>
        <v>0</v>
      </c>
      <c r="W19" s="208"/>
      <c r="X19" s="184">
        <f>R19*X5</f>
        <v>0</v>
      </c>
      <c r="Y19" s="185">
        <f>SUM(U19:X19)</f>
        <v>0</v>
      </c>
    </row>
    <row r="20" spans="1:25" x14ac:dyDescent="0.25">
      <c r="A20" s="144"/>
      <c r="B20" s="180" t="str">
        <f>E2</f>
        <v>Turkiye</v>
      </c>
      <c r="C20" s="181">
        <f>IFERROR(F42-G42,0)</f>
        <v>0</v>
      </c>
      <c r="D20" s="181">
        <f>IFERROR(F40-G40,0)</f>
        <v>0</v>
      </c>
      <c r="E20" s="181">
        <f>IFERROR(G38-F38,0)</f>
        <v>-2</v>
      </c>
      <c r="F20" s="207"/>
      <c r="G20" s="182">
        <f>SUM(C20:F20)</f>
        <v>-2</v>
      </c>
      <c r="H20" s="186" t="str">
        <f t="shared" si="21"/>
        <v>Turkiye</v>
      </c>
      <c r="I20" s="187">
        <f>C20*I6</f>
        <v>0</v>
      </c>
      <c r="J20" s="187">
        <f>D20*J6</f>
        <v>0</v>
      </c>
      <c r="K20" s="187">
        <f>E20*K6</f>
        <v>0</v>
      </c>
      <c r="L20" s="213"/>
      <c r="M20" s="188">
        <f>SUM(I20:L20)</f>
        <v>0</v>
      </c>
      <c r="N20" s="186" t="str">
        <f t="shared" si="22"/>
        <v>Turkiye</v>
      </c>
      <c r="O20" s="187">
        <f>I20*O6</f>
        <v>0</v>
      </c>
      <c r="P20" s="187">
        <f>J20*P6</f>
        <v>0</v>
      </c>
      <c r="Q20" s="187">
        <f>K20*Q6</f>
        <v>0</v>
      </c>
      <c r="R20" s="213"/>
      <c r="S20" s="188">
        <f>SUM(O20:R20)</f>
        <v>0</v>
      </c>
      <c r="T20" s="186" t="str">
        <f t="shared" si="23"/>
        <v>Turkiye</v>
      </c>
      <c r="U20" s="187">
        <f>O20*U6</f>
        <v>0</v>
      </c>
      <c r="V20" s="187">
        <f>P20*V6</f>
        <v>0</v>
      </c>
      <c r="W20" s="187">
        <f>Q20*W6</f>
        <v>0</v>
      </c>
      <c r="X20" s="213"/>
      <c r="Y20" s="188">
        <f>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USA</v>
      </c>
      <c r="D23" s="164" t="str">
        <f>C2</f>
        <v>Paraguay</v>
      </c>
      <c r="E23" s="164" t="str">
        <f>D2</f>
        <v>Australia</v>
      </c>
      <c r="F23" s="164" t="str">
        <f>E2</f>
        <v>Turkiye</v>
      </c>
      <c r="G23" s="165" t="s">
        <v>26</v>
      </c>
      <c r="H23" s="169"/>
      <c r="I23" s="170" t="str">
        <f>C23</f>
        <v>USA</v>
      </c>
      <c r="J23" s="170" t="str">
        <f t="shared" ref="J23:L23" si="24">D23</f>
        <v>Paraguay</v>
      </c>
      <c r="K23" s="170" t="str">
        <f t="shared" si="24"/>
        <v>Australia</v>
      </c>
      <c r="L23" s="170" t="str">
        <f t="shared" si="24"/>
        <v>Turkiye</v>
      </c>
      <c r="M23" s="171" t="s">
        <v>26</v>
      </c>
      <c r="N23" s="169"/>
      <c r="O23" s="170" t="str">
        <f>I23</f>
        <v>USA</v>
      </c>
      <c r="P23" s="170" t="str">
        <f t="shared" ref="P23:R23" si="25">J23</f>
        <v>Paraguay</v>
      </c>
      <c r="Q23" s="170" t="str">
        <f t="shared" si="25"/>
        <v>Australia</v>
      </c>
      <c r="R23" s="170" t="str">
        <f t="shared" si="25"/>
        <v>Turkiye</v>
      </c>
      <c r="S23" s="171" t="s">
        <v>26</v>
      </c>
      <c r="T23" s="169"/>
      <c r="U23" s="170" t="str">
        <f>O23</f>
        <v>USA</v>
      </c>
      <c r="V23" s="170" t="str">
        <f t="shared" ref="V23:X23" si="26">P23</f>
        <v>Paraguay</v>
      </c>
      <c r="W23" s="170" t="str">
        <f t="shared" si="26"/>
        <v>Australia</v>
      </c>
      <c r="X23" s="170" t="str">
        <f t="shared" si="26"/>
        <v>Turkiye</v>
      </c>
      <c r="Y23" s="171" t="s">
        <v>26</v>
      </c>
    </row>
    <row r="24" spans="1:25" x14ac:dyDescent="0.25">
      <c r="A24" s="143"/>
      <c r="B24" s="163" t="str">
        <f>B2</f>
        <v>USA</v>
      </c>
      <c r="C24" s="209"/>
      <c r="D24" s="164">
        <f>IF(F37="",0,F37)</f>
        <v>4</v>
      </c>
      <c r="E24" s="164">
        <f>IF(F39="",0,F39)</f>
        <v>0</v>
      </c>
      <c r="F24" s="164">
        <f>IF(G42="",0,G42)</f>
        <v>0</v>
      </c>
      <c r="G24" s="165">
        <f>SUM(C24:F24)</f>
        <v>4</v>
      </c>
      <c r="H24" s="169" t="str">
        <f>B24</f>
        <v>USA</v>
      </c>
      <c r="I24" s="214"/>
      <c r="J24" s="170">
        <f>D24*J3</f>
        <v>0</v>
      </c>
      <c r="K24" s="170">
        <f>E24*K3</f>
        <v>0</v>
      </c>
      <c r="L24" s="170">
        <f>F24*L3</f>
        <v>0</v>
      </c>
      <c r="M24" s="171">
        <f>SUM(I24:L24)</f>
        <v>0</v>
      </c>
      <c r="N24" s="169" t="str">
        <f>H24</f>
        <v>USA</v>
      </c>
      <c r="O24" s="214"/>
      <c r="P24" s="170">
        <f>J24*P3</f>
        <v>0</v>
      </c>
      <c r="Q24" s="170">
        <f>K24*Q3</f>
        <v>0</v>
      </c>
      <c r="R24" s="170">
        <f>L24*R3</f>
        <v>0</v>
      </c>
      <c r="S24" s="171">
        <f>SUM(O24:R24)</f>
        <v>0</v>
      </c>
      <c r="T24" s="169" t="str">
        <f>N24</f>
        <v>USA</v>
      </c>
      <c r="U24" s="214"/>
      <c r="V24" s="170">
        <f>P24*V3</f>
        <v>0</v>
      </c>
      <c r="W24" s="170">
        <f>Q24*W3</f>
        <v>0</v>
      </c>
      <c r="X24" s="170">
        <f>R24*X3</f>
        <v>0</v>
      </c>
      <c r="Y24" s="171">
        <f>SUM(U24:X24)</f>
        <v>0</v>
      </c>
    </row>
    <row r="25" spans="1:25" x14ac:dyDescent="0.25">
      <c r="A25" s="143"/>
      <c r="B25" s="163" t="str">
        <f>C2</f>
        <v>Paraguay</v>
      </c>
      <c r="C25" s="164">
        <f>IF(G37="",0,G37)</f>
        <v>1</v>
      </c>
      <c r="D25" s="209"/>
      <c r="E25" s="164">
        <f>IF(F41="",0,F41)</f>
        <v>0</v>
      </c>
      <c r="F25" s="164">
        <f>IF(G40="",0,G40)</f>
        <v>0</v>
      </c>
      <c r="G25" s="165">
        <f>SUM(C25:F25)</f>
        <v>1</v>
      </c>
      <c r="H25" s="169" t="str">
        <f t="shared" ref="H25:H27" si="27">B25</f>
        <v>Paraguay</v>
      </c>
      <c r="I25" s="170">
        <f>C25*I4</f>
        <v>0</v>
      </c>
      <c r="J25" s="214"/>
      <c r="K25" s="170">
        <f>E25*K4</f>
        <v>0</v>
      </c>
      <c r="L25" s="170">
        <f>F25*L4</f>
        <v>0</v>
      </c>
      <c r="M25" s="171">
        <f>SUM(I25:L25)</f>
        <v>0</v>
      </c>
      <c r="N25" s="169" t="str">
        <f t="shared" ref="N25:N27" si="28">H25</f>
        <v>Paraguay</v>
      </c>
      <c r="O25" s="170">
        <f>I25*O4</f>
        <v>0</v>
      </c>
      <c r="P25" s="214"/>
      <c r="Q25" s="170">
        <f>K25*Q4</f>
        <v>0</v>
      </c>
      <c r="R25" s="170">
        <f>L25*R4</f>
        <v>0</v>
      </c>
      <c r="S25" s="171">
        <f>SUM(O25:R25)</f>
        <v>0</v>
      </c>
      <c r="T25" s="169" t="str">
        <f t="shared" ref="T25:T27" si="29">N25</f>
        <v>Paraguay</v>
      </c>
      <c r="U25" s="170">
        <f>O25*U4</f>
        <v>0</v>
      </c>
      <c r="V25" s="214"/>
      <c r="W25" s="170">
        <f>Q25*W4</f>
        <v>0</v>
      </c>
      <c r="X25" s="170">
        <f>R25*X4</f>
        <v>0</v>
      </c>
      <c r="Y25" s="171">
        <f>SUM(U25:X25)</f>
        <v>0</v>
      </c>
    </row>
    <row r="26" spans="1:25" x14ac:dyDescent="0.25">
      <c r="A26" s="143"/>
      <c r="B26" s="163" t="str">
        <f>D2</f>
        <v>Australia</v>
      </c>
      <c r="C26" s="164">
        <f>IF(G39="",0,G39)</f>
        <v>0</v>
      </c>
      <c r="D26" s="164">
        <f>IF(G41="",0,G41)</f>
        <v>0</v>
      </c>
      <c r="E26" s="209"/>
      <c r="F26" s="164">
        <f>IF(F38="",0,F38)</f>
        <v>2</v>
      </c>
      <c r="G26" s="165">
        <f>SUM(C26:F26)</f>
        <v>2</v>
      </c>
      <c r="H26" s="169" t="str">
        <f t="shared" si="27"/>
        <v>Australia</v>
      </c>
      <c r="I26" s="170">
        <f>C26*I5</f>
        <v>0</v>
      </c>
      <c r="J26" s="170">
        <f>D26*J5</f>
        <v>0</v>
      </c>
      <c r="K26" s="214"/>
      <c r="L26" s="170">
        <f>F26*L5</f>
        <v>0</v>
      </c>
      <c r="M26" s="171">
        <f>SUM(I26:L26)</f>
        <v>0</v>
      </c>
      <c r="N26" s="169" t="str">
        <f t="shared" si="28"/>
        <v>Australia</v>
      </c>
      <c r="O26" s="170">
        <f>I26*O5</f>
        <v>0</v>
      </c>
      <c r="P26" s="170">
        <f>J26*P5</f>
        <v>0</v>
      </c>
      <c r="Q26" s="214"/>
      <c r="R26" s="170">
        <f>L26*R5</f>
        <v>0</v>
      </c>
      <c r="S26" s="171">
        <f>SUM(O26:R26)</f>
        <v>0</v>
      </c>
      <c r="T26" s="169" t="str">
        <f t="shared" si="29"/>
        <v>Australia</v>
      </c>
      <c r="U26" s="170">
        <f>O26*U5</f>
        <v>0</v>
      </c>
      <c r="V26" s="170">
        <f>P26*V5</f>
        <v>0</v>
      </c>
      <c r="W26" s="214"/>
      <c r="X26" s="170">
        <f>R26*X5</f>
        <v>0</v>
      </c>
      <c r="Y26" s="171">
        <f>SUM(U26:X26)</f>
        <v>0</v>
      </c>
    </row>
    <row r="27" spans="1:25" x14ac:dyDescent="0.25">
      <c r="A27" s="143"/>
      <c r="B27" s="166" t="str">
        <f>E2</f>
        <v>Turkiye</v>
      </c>
      <c r="C27" s="167">
        <f>IF(F42="",0,F42)</f>
        <v>0</v>
      </c>
      <c r="D27" s="167">
        <f>IF(F40="",0,F40)</f>
        <v>0</v>
      </c>
      <c r="E27" s="167">
        <f>IF(G38="",0,G38)</f>
        <v>0</v>
      </c>
      <c r="F27" s="210"/>
      <c r="G27" s="168">
        <f>SUM(C27:F27)</f>
        <v>0</v>
      </c>
      <c r="H27" s="172" t="str">
        <f t="shared" si="27"/>
        <v>Turkiye</v>
      </c>
      <c r="I27" s="173">
        <f>C27*I6</f>
        <v>0</v>
      </c>
      <c r="J27" s="173">
        <f>D27*J6</f>
        <v>0</v>
      </c>
      <c r="K27" s="173">
        <f>E27*K6</f>
        <v>0</v>
      </c>
      <c r="L27" s="215"/>
      <c r="M27" s="174">
        <f>SUM(I27:L27)</f>
        <v>0</v>
      </c>
      <c r="N27" s="172" t="str">
        <f t="shared" si="28"/>
        <v>Turkiye</v>
      </c>
      <c r="O27" s="173">
        <f>I27*O6</f>
        <v>0</v>
      </c>
      <c r="P27" s="173">
        <f>J27*P6</f>
        <v>0</v>
      </c>
      <c r="Q27" s="173">
        <f>K27*Q6</f>
        <v>0</v>
      </c>
      <c r="R27" s="215"/>
      <c r="S27" s="174">
        <f>SUM(O27:R27)</f>
        <v>0</v>
      </c>
      <c r="T27" s="172" t="str">
        <f t="shared" si="29"/>
        <v>Turkiye</v>
      </c>
      <c r="U27" s="173">
        <f>O27*U6</f>
        <v>0</v>
      </c>
      <c r="V27" s="173">
        <f>P27*V6</f>
        <v>0</v>
      </c>
      <c r="W27" s="173">
        <f>Q27*W6</f>
        <v>0</v>
      </c>
      <c r="X27" s="215"/>
      <c r="Y27" s="174">
        <f>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232" t="s">
        <v>631</v>
      </c>
      <c r="E29" s="232" t="s">
        <v>632</v>
      </c>
      <c r="F29" s="232" t="s">
        <v>633</v>
      </c>
      <c r="G29" s="232" t="s">
        <v>676</v>
      </c>
      <c r="H29" s="232" t="s">
        <v>411</v>
      </c>
      <c r="I29" s="232" t="s">
        <v>661</v>
      </c>
      <c r="J29" s="232" t="s">
        <v>634</v>
      </c>
      <c r="K29" s="233" t="s">
        <v>635</v>
      </c>
    </row>
    <row r="30" spans="1:25" x14ac:dyDescent="0.25">
      <c r="A30" s="234">
        <f>K30</f>
        <v>1</v>
      </c>
      <c r="B30" s="235" t="str">
        <f>B2</f>
        <v>USA</v>
      </c>
      <c r="C30" s="236">
        <f>VLOOKUP($B30,Lookup10,3,FALSE)</f>
        <v>1</v>
      </c>
      <c r="D30" s="236">
        <f>VLOOKUP($B30,Lookup10,7,FALSE)</f>
        <v>4</v>
      </c>
      <c r="E30" s="236">
        <f>VLOOKUP($B30,Lookup10,8,FALSE)</f>
        <v>1</v>
      </c>
      <c r="F30" s="236">
        <f>VLOOKUP($B30,Lookup10,9,FALSE)</f>
        <v>3</v>
      </c>
      <c r="G30" s="237">
        <f>Z10</f>
        <v>3</v>
      </c>
      <c r="H30" s="236">
        <f>VLOOKUP($B30,Lookup10,11,FALSE)</f>
        <v>1</v>
      </c>
      <c r="I30" s="236">
        <f>VLOOKUP($B30,Lookup11,2,FALSE)</f>
        <v>16</v>
      </c>
      <c r="J30" s="238">
        <f>ROUND(D30*D$34+F30*F$34+G30*G$34-H30*H$34-I30*I$34,8)</f>
        <v>30303.988399999998</v>
      </c>
      <c r="K30" s="239">
        <f>RANK(J30,J$30:J$33,0)</f>
        <v>1</v>
      </c>
    </row>
    <row r="31" spans="1:25" x14ac:dyDescent="0.25">
      <c r="A31" s="234">
        <f t="shared" ref="A31:A33" si="30">K31</f>
        <v>4</v>
      </c>
      <c r="B31" s="235" t="str">
        <f>C2</f>
        <v>Paraguay</v>
      </c>
      <c r="C31" s="236">
        <f>VLOOKUP($B31,Lookup10,3,FALSE)</f>
        <v>1</v>
      </c>
      <c r="D31" s="236">
        <f>VLOOKUP($B31,Lookup10,7,FALSE)</f>
        <v>1</v>
      </c>
      <c r="E31" s="236">
        <f>VLOOKUP($B31,Lookup10,8,FALSE)</f>
        <v>4</v>
      </c>
      <c r="F31" s="236">
        <f>VLOOKUP($B31,Lookup10,9,FALSE)</f>
        <v>-3</v>
      </c>
      <c r="G31" s="237">
        <f t="shared" ref="G31:G33" si="31">Z11</f>
        <v>1</v>
      </c>
      <c r="H31" s="236">
        <f>VLOOKUP($B31,Lookup10,11,FALSE)</f>
        <v>5</v>
      </c>
      <c r="I31" s="236">
        <f>VLOOKUP($B31,Lookup11,2,FALSE)</f>
        <v>33</v>
      </c>
      <c r="J31" s="238">
        <f t="shared" ref="J31:J33" si="32">ROUND(D31*D$34+F31*F$34+G31*G$34-H31*H$34-I31*I$34,8)</f>
        <v>9700.9467000000004</v>
      </c>
      <c r="K31" s="239">
        <f>RANK(J31,J$30:J$33,0)</f>
        <v>4</v>
      </c>
    </row>
    <row r="32" spans="1:25" x14ac:dyDescent="0.25">
      <c r="A32" s="234">
        <f t="shared" si="30"/>
        <v>2</v>
      </c>
      <c r="B32" s="235" t="str">
        <f>D2</f>
        <v>Australia</v>
      </c>
      <c r="C32" s="236">
        <f>VLOOKUP($B32,Lookup10,3,FALSE)</f>
        <v>1</v>
      </c>
      <c r="D32" s="236">
        <f>VLOOKUP($B32,Lookup10,7,FALSE)</f>
        <v>2</v>
      </c>
      <c r="E32" s="236">
        <f>VLOOKUP($B32,Lookup10,8,FALSE)</f>
        <v>0</v>
      </c>
      <c r="F32" s="236">
        <f>VLOOKUP($B32,Lookup10,9,FALSE)</f>
        <v>2</v>
      </c>
      <c r="G32" s="237">
        <f t="shared" si="31"/>
        <v>3</v>
      </c>
      <c r="H32" s="236">
        <f>VLOOKUP($B32,Lookup10,11,FALSE)</f>
        <v>0</v>
      </c>
      <c r="I32" s="236">
        <f>VLOOKUP($B32,Lookup11,2,FALSE)</f>
        <v>24</v>
      </c>
      <c r="J32" s="238">
        <f t="shared" si="32"/>
        <v>30201.997599999999</v>
      </c>
      <c r="K32" s="239">
        <f>RANK(J32,J$30:J$33,0)</f>
        <v>2</v>
      </c>
    </row>
    <row r="33" spans="1:16" x14ac:dyDescent="0.25">
      <c r="A33" s="234">
        <f t="shared" si="30"/>
        <v>3</v>
      </c>
      <c r="B33" s="235" t="str">
        <f>E2</f>
        <v>Turkiye</v>
      </c>
      <c r="C33" s="236">
        <f>VLOOKUP($B33,Lookup10,3,FALSE)</f>
        <v>1</v>
      </c>
      <c r="D33" s="236">
        <f>VLOOKUP($B33,Lookup10,7,FALSE)</f>
        <v>0</v>
      </c>
      <c r="E33" s="236">
        <f>VLOOKUP($B33,Lookup10,8,FALSE)</f>
        <v>2</v>
      </c>
      <c r="F33" s="236">
        <f>VLOOKUP($B33,Lookup10,9,FALSE)</f>
        <v>-2</v>
      </c>
      <c r="G33" s="237">
        <f t="shared" si="31"/>
        <v>1</v>
      </c>
      <c r="H33" s="236">
        <f>VLOOKUP($B33,Lookup10,11,FALSE)</f>
        <v>1</v>
      </c>
      <c r="I33" s="236">
        <f>VLOOKUP($B33,Lookup11,2,FALSE)</f>
        <v>20</v>
      </c>
      <c r="J33" s="238">
        <f t="shared" si="32"/>
        <v>9799.9879999999994</v>
      </c>
      <c r="K33" s="239">
        <f>RANK(J33,J$30:J$33,0)</f>
        <v>3</v>
      </c>
    </row>
    <row r="34" spans="1:16" x14ac:dyDescent="0.25">
      <c r="A34" s="240"/>
      <c r="B34" s="241" t="s">
        <v>636</v>
      </c>
      <c r="C34" s="242">
        <f>SUM(C30:C33)</f>
        <v>4</v>
      </c>
      <c r="D34" s="205">
        <v>1</v>
      </c>
      <c r="E34" s="205"/>
      <c r="F34" s="205">
        <v>100</v>
      </c>
      <c r="G34" s="205">
        <v>10000</v>
      </c>
      <c r="H34" s="205">
        <v>0.01</v>
      </c>
      <c r="I34" s="205">
        <v>1E-4</v>
      </c>
      <c r="J34" s="242"/>
      <c r="K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USAParaguay</v>
      </c>
      <c r="B37" s="158" t="str">
        <f>B1&amp;C1</f>
        <v>D1D2</v>
      </c>
      <c r="C37" s="158">
        <f>IF(Data!Q24="",0,1)</f>
        <v>1</v>
      </c>
      <c r="D37" s="150" t="str">
        <f>B2</f>
        <v>USA</v>
      </c>
      <c r="E37" s="150" t="str">
        <f>C2</f>
        <v>Paraguay</v>
      </c>
      <c r="F37" s="158">
        <f t="shared" ref="F37:F42" si="33">VLOOKUP($B37,Lookup12,2,FALSE)</f>
        <v>4</v>
      </c>
      <c r="G37" s="158">
        <f t="shared" ref="G37:G42" si="34">VLOOKUP($B37,Lookup12,3,FALSE)</f>
        <v>1</v>
      </c>
      <c r="H37" s="158">
        <f t="shared" ref="H37:H42" si="35">IF(C37=0,0,IF(F37&lt;G37,Lpts,IF(F37&gt;G37,Wpts,Dpts)))</f>
        <v>3</v>
      </c>
      <c r="I37" s="158">
        <f t="shared" ref="I37:I42" si="36">IF(C37=0,0,IF(G37&lt;F37,Lpts,IF(G37&gt;F37,Wpts,Dpts)))</f>
        <v>0</v>
      </c>
      <c r="J37" s="158">
        <f t="shared" ref="J37:J42" si="37">VLOOKUP($B37,Lookup12,4,FALSE)</f>
        <v>1</v>
      </c>
      <c r="K37" s="158">
        <f t="shared" ref="K37:K42" si="38">VLOOKUP($B37,Lookup12,5,FALSE)</f>
        <v>5</v>
      </c>
      <c r="L37" s="143"/>
      <c r="M37" s="143"/>
      <c r="N37" s="143"/>
      <c r="O37" s="143"/>
      <c r="P37" s="143"/>
    </row>
    <row r="38" spans="1:16" x14ac:dyDescent="0.25">
      <c r="A38" s="149" t="str">
        <f>D2&amp;E2</f>
        <v>AustraliaTurkiye</v>
      </c>
      <c r="B38" s="158" t="str">
        <f>D1&amp;E1</f>
        <v>D3D4</v>
      </c>
      <c r="C38" s="158">
        <f>IF(Data!Q25="",0,1)</f>
        <v>1</v>
      </c>
      <c r="D38" s="150" t="str">
        <f>D2</f>
        <v>Australia</v>
      </c>
      <c r="E38" s="150" t="str">
        <f>E2</f>
        <v>Turkiye</v>
      </c>
      <c r="F38" s="158">
        <f t="shared" si="33"/>
        <v>2</v>
      </c>
      <c r="G38" s="158">
        <f t="shared" si="34"/>
        <v>0</v>
      </c>
      <c r="H38" s="158">
        <f t="shared" si="35"/>
        <v>3</v>
      </c>
      <c r="I38" s="158">
        <f t="shared" si="36"/>
        <v>0</v>
      </c>
      <c r="J38" s="158">
        <f t="shared" si="37"/>
        <v>0</v>
      </c>
      <c r="K38" s="158">
        <f t="shared" si="38"/>
        <v>1</v>
      </c>
      <c r="L38" s="143"/>
      <c r="M38" s="143"/>
      <c r="N38" s="143"/>
      <c r="O38" s="143"/>
      <c r="P38" s="143"/>
    </row>
    <row r="39" spans="1:16" x14ac:dyDescent="0.25">
      <c r="A39" s="149" t="str">
        <f>B2&amp;D2</f>
        <v>USAAustralia</v>
      </c>
      <c r="B39" s="158" t="str">
        <f>B1&amp;D1</f>
        <v>D1D3</v>
      </c>
      <c r="C39" s="158">
        <f>IF(Data!Q26="",0,1)</f>
        <v>0</v>
      </c>
      <c r="D39" s="150" t="str">
        <f>B2</f>
        <v>USA</v>
      </c>
      <c r="E39" s="150" t="str">
        <f>D2</f>
        <v>Australia</v>
      </c>
      <c r="F39" s="158" t="str">
        <f t="shared" si="33"/>
        <v/>
      </c>
      <c r="G39" s="158" t="str">
        <f t="shared" si="34"/>
        <v/>
      </c>
      <c r="H39" s="158">
        <f t="shared" si="35"/>
        <v>0</v>
      </c>
      <c r="I39" s="158">
        <f t="shared" si="36"/>
        <v>0</v>
      </c>
      <c r="J39" s="158" t="str">
        <f t="shared" si="37"/>
        <v/>
      </c>
      <c r="K39" s="158" t="str">
        <f t="shared" si="38"/>
        <v/>
      </c>
      <c r="L39" s="143"/>
      <c r="M39" s="143"/>
      <c r="N39" s="143"/>
      <c r="O39" s="143"/>
      <c r="P39" s="143"/>
    </row>
    <row r="40" spans="1:16" x14ac:dyDescent="0.25">
      <c r="A40" s="149" t="str">
        <f>E2&amp;C2</f>
        <v>TurkiyeParaguay</v>
      </c>
      <c r="B40" s="158" t="str">
        <f>E1&amp;C1</f>
        <v>D4D2</v>
      </c>
      <c r="C40" s="158">
        <f>IF(Data!Q27="",0,1)</f>
        <v>0</v>
      </c>
      <c r="D40" s="150" t="str">
        <f>E2</f>
        <v>Turkiye</v>
      </c>
      <c r="E40" s="150" t="str">
        <f>C2</f>
        <v>Paraguay</v>
      </c>
      <c r="F40" s="158" t="str">
        <f t="shared" si="33"/>
        <v/>
      </c>
      <c r="G40" s="158" t="str">
        <f t="shared" si="34"/>
        <v/>
      </c>
      <c r="H40" s="158">
        <f t="shared" si="35"/>
        <v>0</v>
      </c>
      <c r="I40" s="158">
        <f t="shared" si="36"/>
        <v>0</v>
      </c>
      <c r="J40" s="158" t="str">
        <f t="shared" si="37"/>
        <v/>
      </c>
      <c r="K40" s="158" t="str">
        <f t="shared" si="38"/>
        <v/>
      </c>
      <c r="L40" s="143"/>
      <c r="M40" s="143"/>
      <c r="N40" s="143"/>
      <c r="O40" s="143"/>
      <c r="P40" s="143"/>
    </row>
    <row r="41" spans="1:16" x14ac:dyDescent="0.25">
      <c r="A41" s="149" t="str">
        <f>C2&amp;D2</f>
        <v>ParaguayAustralia</v>
      </c>
      <c r="B41" s="158" t="str">
        <f>C1&amp;D1</f>
        <v>D2D3</v>
      </c>
      <c r="C41" s="158">
        <f>IF(Data!Q28="",0,1)</f>
        <v>0</v>
      </c>
      <c r="D41" s="150" t="str">
        <f>C2</f>
        <v>Paraguay</v>
      </c>
      <c r="E41" s="150" t="str">
        <f>D2</f>
        <v>Australia</v>
      </c>
      <c r="F41" s="158" t="str">
        <f t="shared" si="33"/>
        <v/>
      </c>
      <c r="G41" s="158" t="str">
        <f t="shared" si="34"/>
        <v/>
      </c>
      <c r="H41" s="158">
        <f t="shared" si="35"/>
        <v>0</v>
      </c>
      <c r="I41" s="158">
        <f t="shared" si="36"/>
        <v>0</v>
      </c>
      <c r="J41" s="158" t="str">
        <f t="shared" si="37"/>
        <v/>
      </c>
      <c r="K41" s="158" t="str">
        <f t="shared" si="38"/>
        <v/>
      </c>
      <c r="L41" s="143"/>
      <c r="M41" s="143"/>
      <c r="N41" s="143"/>
      <c r="O41" s="143"/>
      <c r="P41" s="143"/>
    </row>
    <row r="42" spans="1:16" x14ac:dyDescent="0.25">
      <c r="A42" s="151" t="str">
        <f>E2&amp;B2</f>
        <v>TurkiyeUSA</v>
      </c>
      <c r="B42" s="159" t="str">
        <f>E1&amp;B1</f>
        <v>D4D1</v>
      </c>
      <c r="C42" s="159">
        <f>IF(Data!Q29="",0,1)</f>
        <v>0</v>
      </c>
      <c r="D42" s="152" t="str">
        <f>E2</f>
        <v>Turkiye</v>
      </c>
      <c r="E42" s="152" t="str">
        <f>B2</f>
        <v>USA</v>
      </c>
      <c r="F42" s="159" t="str">
        <f t="shared" si="33"/>
        <v/>
      </c>
      <c r="G42" s="159" t="str">
        <f t="shared" si="34"/>
        <v/>
      </c>
      <c r="H42" s="159">
        <f t="shared" si="35"/>
        <v>0</v>
      </c>
      <c r="I42" s="159">
        <f t="shared" si="36"/>
        <v>0</v>
      </c>
      <c r="J42" s="159" t="str">
        <f t="shared" si="37"/>
        <v/>
      </c>
      <c r="K42" s="159" t="str">
        <f t="shared" si="38"/>
        <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$B45</f>
        <v>USA</v>
      </c>
      <c r="M44" s="154" t="str">
        <f>$B46</f>
        <v>Australia</v>
      </c>
      <c r="N44" s="154" t="str">
        <f>$B47</f>
        <v>Turkiye</v>
      </c>
      <c r="O44" s="154" t="str">
        <f>$B48</f>
        <v>Paraguay</v>
      </c>
      <c r="P44" s="155"/>
    </row>
    <row r="45" spans="1:16" x14ac:dyDescent="0.25">
      <c r="A45" s="156">
        <v>1</v>
      </c>
      <c r="B45" s="156" t="str">
        <f>VLOOKUP($A45,RankingD,2,FALSE)</f>
        <v>USA</v>
      </c>
      <c r="C45" s="157">
        <f>VLOOKUP($B45,Lookup10,3,FALSE)</f>
        <v>1</v>
      </c>
      <c r="D45" s="157">
        <f>VLOOKUP($B45,Lookup10,4,FALSE)</f>
        <v>1</v>
      </c>
      <c r="E45" s="157">
        <f>VLOOKUP($B45,Lookup10,5,FALSE)</f>
        <v>0</v>
      </c>
      <c r="F45" s="157">
        <f>VLOOKUP($B45,Lookup10,6,FALSE)</f>
        <v>0</v>
      </c>
      <c r="G45" s="157">
        <f>VLOOKUP($B45,Lookup10,7,FALSE)</f>
        <v>4</v>
      </c>
      <c r="H45" s="157">
        <f>VLOOKUP($B45,Lookup10,8,FALSE)</f>
        <v>1</v>
      </c>
      <c r="I45" s="157">
        <f>VLOOKUP($B45,Lookup10,9,FALSE)</f>
        <v>3</v>
      </c>
      <c r="J45" s="157">
        <f>VLOOKUP($B45,Lookup10,10,FALSE)</f>
        <v>3</v>
      </c>
      <c r="K45" s="201" t="str">
        <f>B45</f>
        <v>USA</v>
      </c>
      <c r="L45" s="203"/>
      <c r="M45" s="202" t="str">
        <f>IFERROR(VLOOKUP($B45&amp;M$44,A37:G42,6,FALSE)&amp;"-"&amp;VLOOKUP($B45&amp;M$44,A37:G42,7,FALSE),VLOOKUP(M$44&amp;$B45,A37:G42,7,FALSE)&amp;"-"&amp;VLOOKUP(M$44&amp;$B45,A37:G42,6,FALSE))</f>
        <v>-</v>
      </c>
      <c r="N45" s="202" t="str">
        <f>IFERROR(VLOOKUP($B45&amp;N$44,A37:G42,6,FALSE)&amp;"-"&amp;VLOOKUP($B45&amp;N$44,A37:G42,7,FALSE),VLOOKUP(N$44&amp;$B45,A37:G42,7,FALSE)&amp;"-"&amp;VLOOKUP(N$44&amp;$B45,A37:G42,6,FALSE))</f>
        <v>-</v>
      </c>
      <c r="O45" s="202" t="str">
        <f>IFERROR(VLOOKUP($B45&amp;O$44,A37:G42,6,FALSE)&amp;"-"&amp;VLOOKUP($B45&amp;O$44,A37:G42,7,FALSE),VLOOKUP(O$44&amp;$B45,A37:G42,7,FALSE)&amp;"-"&amp;VLOOKUP(O$44&amp;$B45,A37:G42,6,FALSE))</f>
        <v>4-1</v>
      </c>
      <c r="P45" s="155"/>
    </row>
    <row r="46" spans="1:16" x14ac:dyDescent="0.25">
      <c r="A46" s="156">
        <v>2</v>
      </c>
      <c r="B46" s="156" t="str">
        <f>VLOOKUP($A46,RankingD,2,FALSE)</f>
        <v>Australia</v>
      </c>
      <c r="C46" s="157">
        <f>VLOOKUP($B46,Lookup10,3,FALSE)</f>
        <v>1</v>
      </c>
      <c r="D46" s="157">
        <f>VLOOKUP($B46,Lookup10,4,FALSE)</f>
        <v>1</v>
      </c>
      <c r="E46" s="157">
        <f>VLOOKUP($B46,Lookup10,5,FALSE)</f>
        <v>0</v>
      </c>
      <c r="F46" s="157">
        <f>VLOOKUP($B46,Lookup10,6,FALSE)</f>
        <v>0</v>
      </c>
      <c r="G46" s="157">
        <f>VLOOKUP($B46,Lookup10,7,FALSE)</f>
        <v>2</v>
      </c>
      <c r="H46" s="157">
        <f>VLOOKUP($B46,Lookup10,8,FALSE)</f>
        <v>0</v>
      </c>
      <c r="I46" s="157">
        <f>VLOOKUP($B46,Lookup10,9,FALSE)</f>
        <v>2</v>
      </c>
      <c r="J46" s="157">
        <f>VLOOKUP($B46,Lookup10,10,FALSE)</f>
        <v>3</v>
      </c>
      <c r="K46" s="201" t="str">
        <f>B46</f>
        <v>Australia</v>
      </c>
      <c r="L46" s="202" t="str">
        <f>IFERROR(VLOOKUP($B46&amp;L$44,A37:G42,6,FALSE)&amp;"-"&amp;VLOOKUP($B46&amp;L$44,A37:G42,7,FALSE),VLOOKUP(L$44&amp;$B46,A37:G42,7,FALSE)&amp;"-"&amp;VLOOKUP(L$44&amp;$B46,A37:G42,6,FALSE))</f>
        <v>-</v>
      </c>
      <c r="M46" s="203"/>
      <c r="N46" s="202" t="str">
        <f>IFERROR(VLOOKUP($B46&amp;N$44,A37:G42,6,FALSE)&amp;"-"&amp;VLOOKUP($B46&amp;N$44,A37:G42,7,FALSE),VLOOKUP(N$44&amp;$B46,A37:G42,7,FALSE)&amp;"-"&amp;VLOOKUP(N$44&amp;$B46,A37:G42,6,FALSE))</f>
        <v>2-0</v>
      </c>
      <c r="O46" s="202" t="str">
        <f>IFERROR(VLOOKUP($B46&amp;O$44,A37:G42,6,FALSE)&amp;"-"&amp;VLOOKUP($B46&amp;O$44,A37:G42,7,FALSE),VLOOKUP(O$44&amp;$B46,A37:G42,7,FALSE)&amp;"-"&amp;VLOOKUP(O$44&amp;$B46,A37:G42,6,FALSE))</f>
        <v>-</v>
      </c>
      <c r="P46" s="155"/>
    </row>
    <row r="47" spans="1:16" x14ac:dyDescent="0.25">
      <c r="A47" s="156">
        <v>3</v>
      </c>
      <c r="B47" s="156" t="str">
        <f>VLOOKUP($A47,RankingD,2,FALSE)</f>
        <v>Turkiye</v>
      </c>
      <c r="C47" s="157">
        <f>VLOOKUP($B47,Lookup10,3,FALSE)</f>
        <v>1</v>
      </c>
      <c r="D47" s="157">
        <f>VLOOKUP($B47,Lookup10,4,FALSE)</f>
        <v>0</v>
      </c>
      <c r="E47" s="157">
        <f>VLOOKUP($B47,Lookup10,5,FALSE)</f>
        <v>0</v>
      </c>
      <c r="F47" s="157">
        <f>VLOOKUP($B47,Lookup10,6,FALSE)</f>
        <v>1</v>
      </c>
      <c r="G47" s="157">
        <f>VLOOKUP($B47,Lookup10,7,FALSE)</f>
        <v>0</v>
      </c>
      <c r="H47" s="157">
        <f>VLOOKUP($B47,Lookup10,8,FALSE)</f>
        <v>2</v>
      </c>
      <c r="I47" s="157">
        <f>VLOOKUP($B47,Lookup10,9,FALSE)</f>
        <v>-2</v>
      </c>
      <c r="J47" s="157">
        <f>VLOOKUP($B47,Lookup10,10,FALSE)</f>
        <v>0</v>
      </c>
      <c r="K47" s="201" t="str">
        <f>B47</f>
        <v>Turkiye</v>
      </c>
      <c r="L47" s="202" t="str">
        <f>IFERROR(VLOOKUP($B47&amp;L$44,A37:G42,6,FALSE)&amp;"-"&amp;VLOOKUP($B47&amp;L$44,A37:G42,7,FALSE),VLOOKUP(L$44&amp;$B47,A37:G42,7,FALSE)&amp;"-"&amp;VLOOKUP(L$44&amp;$B47,A37:G42,6,FALSE))</f>
        <v>-</v>
      </c>
      <c r="M47" s="202" t="str">
        <f>IFERROR(VLOOKUP($B47&amp;M$44,A37:G42,6,FALSE)&amp;"-"&amp;VLOOKUP($B47&amp;M$44,A37:G42,7,FALSE),VLOOKUP(M$44&amp;$B47,A37:G42,7,FALSE)&amp;"-"&amp;VLOOKUP(M$44&amp;$B47,A37:G42,6,FALSE))</f>
        <v>0-2</v>
      </c>
      <c r="N47" s="203"/>
      <c r="O47" s="202" t="str">
        <f>IFERROR(VLOOKUP($B47&amp;O$44,A37:G42,6,FALSE)&amp;"-"&amp;VLOOKUP($B47&amp;O$44,A37:G42,7,FALSE),VLOOKUP(O$44&amp;$B47,A37:G42,7,FALSE)&amp;"-"&amp;VLOOKUP(O$44&amp;$B47,A37:G42,6,FALSE))</f>
        <v>-</v>
      </c>
      <c r="P47" s="155"/>
    </row>
    <row r="48" spans="1:16" x14ac:dyDescent="0.25">
      <c r="A48" s="156">
        <v>4</v>
      </c>
      <c r="B48" s="156" t="str">
        <f>VLOOKUP($A48,RankingD,2,FALSE)</f>
        <v>Paraguay</v>
      </c>
      <c r="C48" s="157">
        <f>VLOOKUP($B48,Lookup10,3,FALSE)</f>
        <v>1</v>
      </c>
      <c r="D48" s="157">
        <f>VLOOKUP($B48,Lookup10,4,FALSE)</f>
        <v>0</v>
      </c>
      <c r="E48" s="157">
        <f>VLOOKUP($B48,Lookup10,5,FALSE)</f>
        <v>0</v>
      </c>
      <c r="F48" s="157">
        <f>VLOOKUP($B48,Lookup10,6,FALSE)</f>
        <v>1</v>
      </c>
      <c r="G48" s="157">
        <f>VLOOKUP($B48,Lookup10,7,FALSE)</f>
        <v>1</v>
      </c>
      <c r="H48" s="157">
        <f>VLOOKUP($B48,Lookup10,8,FALSE)</f>
        <v>4</v>
      </c>
      <c r="I48" s="157">
        <f>VLOOKUP($B48,Lookup10,9,FALSE)</f>
        <v>-3</v>
      </c>
      <c r="J48" s="157">
        <f>VLOOKUP($B48,Lookup10,10,FALSE)</f>
        <v>0</v>
      </c>
      <c r="K48" s="201" t="str">
        <f>B48</f>
        <v>Paraguay</v>
      </c>
      <c r="L48" s="202" t="str">
        <f>IFERROR(VLOOKUP($B48&amp;L$44,A37:G42,6,FALSE)&amp;"-"&amp;VLOOKUP($B48&amp;L$44,A37:G42,7,FALSE),VLOOKUP(L$44&amp;$B48,A37:G42,7,FALSE)&amp;"-"&amp;VLOOKUP(L$44&amp;$B48,A37:G42,6,FALSE))</f>
        <v>1-4</v>
      </c>
      <c r="M48" s="202" t="str">
        <f>IFERROR(VLOOKUP($B48&amp;M$44,A37:G42,6,FALSE)&amp;"-"&amp;VLOOKUP($B48&amp;M$44,A37:G42,7,FALSE),VLOOKUP(M$44&amp;$B48,A37:G42,7,FALSE)&amp;"-"&amp;VLOOKUP(M$44&amp;$B48,A37:G42,6,FALSE))</f>
        <v>-</v>
      </c>
      <c r="N48" s="202" t="str">
        <f>IFERROR(VLOOKUP($B48&amp;N$44,A37:G42,6,FALSE)&amp;"-"&amp;VLOOKUP($B48&amp;N$44,A37:G42,7,FALSE),VLOOKUP(N$44&amp;$B48,A37:G42,7,FALSE)&amp;"-"&amp;VLOOKUP(N$44&amp;$B48,A37:G42,6,FALSE))</f>
        <v>-</v>
      </c>
      <c r="O48" s="203"/>
      <c r="P48" s="155"/>
    </row>
    <row r="49" spans="1:16" x14ac:dyDescent="0.25">
      <c r="A49" s="143"/>
      <c r="B49" s="143"/>
      <c r="C49" s="461">
        <f>SUM(C45:C48)</f>
        <v>4</v>
      </c>
      <c r="D49" s="143"/>
      <c r="E49" s="143"/>
      <c r="F49" s="143"/>
      <c r="G49" s="143"/>
      <c r="H49" s="143"/>
      <c r="I49" s="143"/>
      <c r="J49" s="143"/>
      <c r="K49" s="143"/>
      <c r="L49" s="143"/>
      <c r="M49" s="143"/>
      <c r="N49" s="143"/>
      <c r="O49" s="143"/>
      <c r="P49" s="143"/>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94E93-9DA2-469F-93AB-92B225F64196}">
  <sheetPr>
    <tabColor rgb="FFC00000"/>
  </sheetPr>
  <dimension ref="A1:Z49"/>
  <sheetViews>
    <sheetView workbookViewId="0">
      <pane ySplit="2" topLeftCell="A16" activePane="bottomLeft" state="frozen"/>
      <selection activeCell="C42" sqref="C42"/>
      <selection pane="bottomLeft" activeCell="C42" sqref="C42"/>
    </sheetView>
  </sheetViews>
  <sheetFormatPr defaultColWidth="16.7109375" defaultRowHeight="15" x14ac:dyDescent="0.25"/>
  <sheetData>
    <row r="1" spans="1:26" x14ac:dyDescent="0.25">
      <c r="A1" s="228" t="s">
        <v>320</v>
      </c>
      <c r="B1" s="216" t="str">
        <f>A2&amp;1</f>
        <v>E1</v>
      </c>
      <c r="C1" s="216" t="str">
        <f>A2&amp;2</f>
        <v>E2</v>
      </c>
      <c r="D1" s="216" t="str">
        <f>A2&amp;3</f>
        <v>E3</v>
      </c>
      <c r="E1" s="216" t="str">
        <f>A2&amp;4</f>
        <v>E4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329</v>
      </c>
      <c r="B2" s="217" t="str">
        <f>VLOOKUP(B1,Lookup08,2,FALSE)</f>
        <v>Germany</v>
      </c>
      <c r="C2" s="217" t="str">
        <f>VLOOKUP(C1,Lookup08,2,FALSE)</f>
        <v>Curaçao</v>
      </c>
      <c r="D2" s="217" t="str">
        <f>VLOOKUP(D1,Lookup08,2,FALSE)</f>
        <v>Cote d'Ivorie</v>
      </c>
      <c r="E2" s="217" t="str">
        <f>VLOOKUP(E1,Lookup08,2,FALSE)</f>
        <v>Ecuador</v>
      </c>
      <c r="F2" s="144"/>
      <c r="G2" s="144"/>
      <c r="H2" s="195"/>
      <c r="I2" s="196" t="str">
        <f>B2</f>
        <v>Germany</v>
      </c>
      <c r="J2" s="196" t="str">
        <f>C2</f>
        <v>Curaçao</v>
      </c>
      <c r="K2" s="196" t="str">
        <f>D2</f>
        <v>Cote d'Ivorie</v>
      </c>
      <c r="L2" s="196" t="str">
        <f>E2</f>
        <v>Ecuador</v>
      </c>
      <c r="M2" s="197" t="s">
        <v>26</v>
      </c>
      <c r="N2" s="195"/>
      <c r="O2" s="196" t="str">
        <f>I2</f>
        <v>Germany</v>
      </c>
      <c r="P2" s="196" t="str">
        <f t="shared" ref="P2:R2" si="0">J2</f>
        <v>Curaçao</v>
      </c>
      <c r="Q2" s="196" t="str">
        <f t="shared" si="0"/>
        <v>Cote d'Ivorie</v>
      </c>
      <c r="R2" s="196" t="str">
        <f t="shared" si="0"/>
        <v>Ecuador</v>
      </c>
      <c r="S2" s="197" t="s">
        <v>26</v>
      </c>
      <c r="T2" s="195"/>
      <c r="U2" s="196" t="str">
        <f>O2</f>
        <v>Germany</v>
      </c>
      <c r="V2" s="196" t="str">
        <f t="shared" ref="V2:X2" si="1">P2</f>
        <v>Curaçao</v>
      </c>
      <c r="W2" s="196" t="str">
        <f t="shared" si="1"/>
        <v>Cote d'Ivorie</v>
      </c>
      <c r="X2" s="196" t="str">
        <f t="shared" si="1"/>
        <v>Ecuador</v>
      </c>
      <c r="Y2" s="197" t="s">
        <v>26</v>
      </c>
    </row>
    <row r="3" spans="1:26" x14ac:dyDescent="0.25">
      <c r="A3" s="144"/>
      <c r="B3" s="144"/>
      <c r="C3" s="144"/>
      <c r="F3" s="144"/>
      <c r="G3" s="144"/>
      <c r="H3" s="195" t="str">
        <f>B2</f>
        <v>Germany</v>
      </c>
      <c r="I3" s="211"/>
      <c r="J3" s="196">
        <f>IF(G10=G11,1,0)</f>
        <v>0</v>
      </c>
      <c r="K3" s="196">
        <f>IF(G10=G12,1,0)</f>
        <v>1</v>
      </c>
      <c r="L3" s="196">
        <f>IF(G10=G13,1,0)</f>
        <v>0</v>
      </c>
      <c r="M3" s="197">
        <f>SUM(I3:L3)</f>
        <v>1</v>
      </c>
      <c r="N3" s="195" t="str">
        <f>H3</f>
        <v>Germany</v>
      </c>
      <c r="O3" s="211"/>
      <c r="P3" s="196">
        <f>IF(M10=M11,1,0)</f>
        <v>0</v>
      </c>
      <c r="Q3" s="196">
        <f>IF(M10=M12,1,0)</f>
        <v>1</v>
      </c>
      <c r="R3" s="196">
        <f>IF(M10=M13,1,0)</f>
        <v>0</v>
      </c>
      <c r="S3" s="197">
        <f>SUM(O3:R3)</f>
        <v>1</v>
      </c>
      <c r="T3" s="195" t="str">
        <f>N3</f>
        <v>Germany</v>
      </c>
      <c r="U3" s="211"/>
      <c r="V3" s="196">
        <f>IF(S10=S11,1,0)</f>
        <v>0</v>
      </c>
      <c r="W3" s="196">
        <f>IF(S10=S12,1,0)</f>
        <v>1</v>
      </c>
      <c r="X3" s="196">
        <f>IF(S10=S13,1,0)</f>
        <v>0</v>
      </c>
      <c r="Y3" s="197">
        <f>SUM(U3:X3)</f>
        <v>1</v>
      </c>
    </row>
    <row r="4" spans="1:26" x14ac:dyDescent="0.25">
      <c r="A4" s="144"/>
      <c r="B4" s="144"/>
      <c r="C4" s="144"/>
      <c r="F4" s="144"/>
      <c r="G4" s="144"/>
      <c r="H4" s="195" t="str">
        <f>C2</f>
        <v>Curaçao</v>
      </c>
      <c r="I4" s="196">
        <f>IF(G11=G10,1,0)</f>
        <v>0</v>
      </c>
      <c r="J4" s="211"/>
      <c r="K4" s="196">
        <f>IF(G11=G12,1,0)</f>
        <v>0</v>
      </c>
      <c r="L4" s="196">
        <f>IF(G11=G13,1,0)</f>
        <v>1</v>
      </c>
      <c r="M4" s="197">
        <f>SUM(I4:L4)</f>
        <v>1</v>
      </c>
      <c r="N4" s="195" t="str">
        <f t="shared" ref="N4:N6" si="2">H4</f>
        <v>Curaçao</v>
      </c>
      <c r="O4" s="196">
        <f>IF(M11=M10,1,0)</f>
        <v>0</v>
      </c>
      <c r="P4" s="211"/>
      <c r="Q4" s="196">
        <f>IF(M11=M12,1,0)</f>
        <v>0</v>
      </c>
      <c r="R4" s="196">
        <f>IF(M11=M13,1,0)</f>
        <v>1</v>
      </c>
      <c r="S4" s="197">
        <f>SUM(O4:R4)</f>
        <v>1</v>
      </c>
      <c r="T4" s="195" t="str">
        <f t="shared" ref="T4:T6" si="3">N4</f>
        <v>Curaçao</v>
      </c>
      <c r="U4" s="196">
        <f>IF(S11=S10,1,0)</f>
        <v>0</v>
      </c>
      <c r="V4" s="211"/>
      <c r="W4" s="196">
        <f>IF(S11=S12,1,0)</f>
        <v>0</v>
      </c>
      <c r="X4" s="196">
        <f>IF(S11=S13,1,0)</f>
        <v>1</v>
      </c>
      <c r="Y4" s="197">
        <f>SUM(U4:X4)</f>
        <v>1</v>
      </c>
    </row>
    <row r="5" spans="1:26" x14ac:dyDescent="0.25">
      <c r="A5" s="144"/>
      <c r="B5" s="144"/>
      <c r="C5" s="144"/>
      <c r="F5" s="144"/>
      <c r="G5" s="144"/>
      <c r="H5" s="195" t="str">
        <f>D2</f>
        <v>Cote d'Ivorie</v>
      </c>
      <c r="I5" s="196">
        <f>IF(G12=G10,1,0)</f>
        <v>1</v>
      </c>
      <c r="J5" s="196">
        <f>IF(G12=G11,1,0)</f>
        <v>0</v>
      </c>
      <c r="K5" s="211"/>
      <c r="L5" s="196">
        <f>IF(G12=G13,1,0)</f>
        <v>0</v>
      </c>
      <c r="M5" s="197">
        <f>SUM(I5:L5)</f>
        <v>1</v>
      </c>
      <c r="N5" s="195" t="str">
        <f t="shared" si="2"/>
        <v>Cote d'Ivorie</v>
      </c>
      <c r="O5" s="196">
        <f>IF(M12=M10,1,0)</f>
        <v>1</v>
      </c>
      <c r="P5" s="196">
        <f>IF(M12=M11,1,0)</f>
        <v>0</v>
      </c>
      <c r="Q5" s="211"/>
      <c r="R5" s="196">
        <f>IF(M12=M13,1,0)</f>
        <v>0</v>
      </c>
      <c r="S5" s="197">
        <f>SUM(O5:R5)</f>
        <v>1</v>
      </c>
      <c r="T5" s="195" t="str">
        <f t="shared" si="3"/>
        <v>Cote d'Ivorie</v>
      </c>
      <c r="U5" s="196">
        <f>IF(S12=S10,1,0)</f>
        <v>1</v>
      </c>
      <c r="V5" s="196">
        <f>IF(S12=S11,1,0)</f>
        <v>0</v>
      </c>
      <c r="W5" s="211"/>
      <c r="X5" s="196">
        <f>IF(S12=S13,1,0)</f>
        <v>0</v>
      </c>
      <c r="Y5" s="197">
        <f>SUM(U5:X5)</f>
        <v>1</v>
      </c>
    </row>
    <row r="6" spans="1:26" x14ac:dyDescent="0.25">
      <c r="A6" s="144"/>
      <c r="B6" s="144"/>
      <c r="C6" s="144"/>
      <c r="F6" s="144"/>
      <c r="G6" s="144"/>
      <c r="H6" s="198" t="str">
        <f>E2</f>
        <v>Ecuador</v>
      </c>
      <c r="I6" s="199">
        <f>IF(G13=G10,1,0)</f>
        <v>0</v>
      </c>
      <c r="J6" s="199">
        <f>IF(G13=G11,1,0)</f>
        <v>1</v>
      </c>
      <c r="K6" s="199">
        <f>IF(G13=G12,1,0)</f>
        <v>0</v>
      </c>
      <c r="L6" s="212"/>
      <c r="M6" s="200">
        <f>SUM(I6:L6)</f>
        <v>1</v>
      </c>
      <c r="N6" s="198" t="str">
        <f t="shared" si="2"/>
        <v>Ecuador</v>
      </c>
      <c r="O6" s="199">
        <f>IF(M13=M10,1,0)</f>
        <v>0</v>
      </c>
      <c r="P6" s="199">
        <f>IF(M13=M11,1,0)</f>
        <v>1</v>
      </c>
      <c r="Q6" s="199">
        <f>IF(M13=M12,1,0)</f>
        <v>0</v>
      </c>
      <c r="R6" s="212"/>
      <c r="S6" s="200">
        <f>SUM(O6:R6)</f>
        <v>1</v>
      </c>
      <c r="T6" s="198" t="str">
        <f t="shared" si="3"/>
        <v>Ecuador</v>
      </c>
      <c r="U6" s="199">
        <f>IF(S13=S10,1,0)</f>
        <v>0</v>
      </c>
      <c r="V6" s="199">
        <f>IF(S13=S11,1,0)</f>
        <v>1</v>
      </c>
      <c r="W6" s="199">
        <f>IF(S13=S12,1,0)</f>
        <v>0</v>
      </c>
      <c r="X6" s="212"/>
      <c r="Y6" s="200">
        <f>SUM(U6:X6)</f>
        <v>1</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Germany</v>
      </c>
      <c r="D9" s="190" t="str">
        <f>C2</f>
        <v>Curaçao</v>
      </c>
      <c r="E9" s="190" t="str">
        <f>D2</f>
        <v>Cote d'Ivorie</v>
      </c>
      <c r="F9" s="190" t="str">
        <f>E2</f>
        <v>Ecuador</v>
      </c>
      <c r="G9" s="191" t="s">
        <v>26</v>
      </c>
      <c r="H9" s="189"/>
      <c r="I9" s="190" t="str">
        <f>C9</f>
        <v>Germany</v>
      </c>
      <c r="J9" s="190" t="str">
        <f t="shared" ref="J9:L9" si="4">D9</f>
        <v>Curaçao</v>
      </c>
      <c r="K9" s="190" t="str">
        <f t="shared" si="4"/>
        <v>Cote d'Ivorie</v>
      </c>
      <c r="L9" s="190" t="str">
        <f t="shared" si="4"/>
        <v>Ecuador</v>
      </c>
      <c r="M9" s="191" t="s">
        <v>26</v>
      </c>
      <c r="N9" s="189"/>
      <c r="O9" s="190" t="str">
        <f>I9</f>
        <v>Germany</v>
      </c>
      <c r="P9" s="190" t="str">
        <f t="shared" ref="P9:R9" si="5">J9</f>
        <v>Curaçao</v>
      </c>
      <c r="Q9" s="190" t="str">
        <f t="shared" si="5"/>
        <v>Cote d'Ivorie</v>
      </c>
      <c r="R9" s="190" t="str">
        <f t="shared" si="5"/>
        <v>Ecuador</v>
      </c>
      <c r="S9" s="191" t="s">
        <v>26</v>
      </c>
      <c r="T9" s="189"/>
      <c r="U9" s="190" t="str">
        <f>O9</f>
        <v>Germany</v>
      </c>
      <c r="V9" s="190" t="str">
        <f t="shared" ref="V9:X9" si="6">P9</f>
        <v>Curaçao</v>
      </c>
      <c r="W9" s="190" t="str">
        <f t="shared" si="6"/>
        <v>Cote d'Ivorie</v>
      </c>
      <c r="X9" s="190" t="str">
        <f t="shared" si="6"/>
        <v>Ecuador</v>
      </c>
      <c r="Y9" s="191" t="s">
        <v>26</v>
      </c>
      <c r="Z9" s="227" t="s">
        <v>309</v>
      </c>
    </row>
    <row r="10" spans="1:26" x14ac:dyDescent="0.25">
      <c r="A10" s="144"/>
      <c r="B10" s="189" t="str">
        <f>B2</f>
        <v>Germany</v>
      </c>
      <c r="C10" s="204"/>
      <c r="D10" s="190">
        <f>H37</f>
        <v>3</v>
      </c>
      <c r="E10" s="190">
        <f>H39</f>
        <v>0</v>
      </c>
      <c r="F10" s="190">
        <f>I42</f>
        <v>0</v>
      </c>
      <c r="G10" s="191">
        <f>SUM(C10:F10)</f>
        <v>3</v>
      </c>
      <c r="H10" s="189" t="str">
        <f>B10</f>
        <v>Germany</v>
      </c>
      <c r="I10" s="218">
        <f>C10+I17/100+I24/10000</f>
        <v>0</v>
      </c>
      <c r="J10" s="219">
        <f t="shared" ref="J10:L10" si="7">D10+J17/100+J24/10000</f>
        <v>3</v>
      </c>
      <c r="K10" s="219">
        <f t="shared" si="7"/>
        <v>0</v>
      </c>
      <c r="L10" s="219">
        <f t="shared" si="7"/>
        <v>0</v>
      </c>
      <c r="M10" s="220">
        <f>SUM(I10:L10)</f>
        <v>3</v>
      </c>
      <c r="N10" s="189" t="str">
        <f>H10</f>
        <v>Germany</v>
      </c>
      <c r="O10" s="218">
        <f>I10+O17/100+O24/10000</f>
        <v>0</v>
      </c>
      <c r="P10" s="219">
        <f t="shared" ref="P10:R13" si="8">J10+P17/100+P24/10000</f>
        <v>3</v>
      </c>
      <c r="Q10" s="219">
        <f t="shared" si="8"/>
        <v>0</v>
      </c>
      <c r="R10" s="219">
        <f t="shared" si="8"/>
        <v>0</v>
      </c>
      <c r="S10" s="220">
        <f>SUM(O10:R10)</f>
        <v>3</v>
      </c>
      <c r="T10" s="189" t="str">
        <f>N10</f>
        <v>Germany</v>
      </c>
      <c r="U10" s="218">
        <f>O10+U17/100+U24/10000</f>
        <v>0</v>
      </c>
      <c r="V10" s="219">
        <f t="shared" ref="V10:X13" si="9">P10+V17/100+V24/10000</f>
        <v>3</v>
      </c>
      <c r="W10" s="219">
        <f t="shared" si="9"/>
        <v>0</v>
      </c>
      <c r="X10" s="219">
        <f t="shared" si="9"/>
        <v>0</v>
      </c>
      <c r="Y10" s="220">
        <f>ROUND(SUM(U10:X10),8)</f>
        <v>3</v>
      </c>
      <c r="Z10" s="224">
        <f>_xlfn.RANK.EQ(Y10,Y$10:Y$13,1)</f>
        <v>3</v>
      </c>
    </row>
    <row r="11" spans="1:26" x14ac:dyDescent="0.25">
      <c r="A11" s="144"/>
      <c r="B11" s="189" t="str">
        <f>C2</f>
        <v>Curaçao</v>
      </c>
      <c r="C11" s="190">
        <f>I37</f>
        <v>0</v>
      </c>
      <c r="D11" s="204"/>
      <c r="E11" s="190">
        <f>H41</f>
        <v>0</v>
      </c>
      <c r="F11" s="190">
        <f>I40</f>
        <v>0</v>
      </c>
      <c r="G11" s="191">
        <f>SUM(C11:F11)</f>
        <v>0</v>
      </c>
      <c r="H11" s="189" t="str">
        <f t="shared" ref="H11:H13" si="10">B11</f>
        <v>Curaçao</v>
      </c>
      <c r="I11" s="219">
        <f t="shared" ref="I11:L13" si="11">C11+I18/100+I25/10000</f>
        <v>0</v>
      </c>
      <c r="J11" s="218">
        <f t="shared" si="11"/>
        <v>0</v>
      </c>
      <c r="K11" s="219">
        <f t="shared" si="11"/>
        <v>0</v>
      </c>
      <c r="L11" s="219">
        <f t="shared" si="11"/>
        <v>0</v>
      </c>
      <c r="M11" s="220">
        <f>SUM(I11:L11)</f>
        <v>0</v>
      </c>
      <c r="N11" s="189" t="str">
        <f t="shared" ref="N11:N13" si="12">H11</f>
        <v>Curaçao</v>
      </c>
      <c r="O11" s="219">
        <f t="shared" ref="O11:O13" si="13">I11+O18/100+O25/10000</f>
        <v>0</v>
      </c>
      <c r="P11" s="218">
        <f t="shared" si="8"/>
        <v>0</v>
      </c>
      <c r="Q11" s="219">
        <f t="shared" si="8"/>
        <v>0</v>
      </c>
      <c r="R11" s="219">
        <f t="shared" si="8"/>
        <v>0</v>
      </c>
      <c r="S11" s="220">
        <f>SUM(O11:R11)</f>
        <v>0</v>
      </c>
      <c r="T11" s="189" t="str">
        <f t="shared" ref="T11:T13" si="14">N11</f>
        <v>Curaçao</v>
      </c>
      <c r="U11" s="219">
        <f t="shared" ref="U11:U13" si="15">O11+U18/100+U25/10000</f>
        <v>0</v>
      </c>
      <c r="V11" s="218">
        <f t="shared" si="9"/>
        <v>0</v>
      </c>
      <c r="W11" s="219">
        <f t="shared" si="9"/>
        <v>0</v>
      </c>
      <c r="X11" s="219">
        <f t="shared" si="9"/>
        <v>0</v>
      </c>
      <c r="Y11" s="220">
        <f t="shared" ref="Y11:Y13" si="16">ROUND(SUM(U11:X11),8)</f>
        <v>0</v>
      </c>
      <c r="Z11" s="224">
        <f t="shared" ref="Z11:Z13" si="17">_xlfn.RANK.EQ(Y11,Y$10:Y$13,1)</f>
        <v>1</v>
      </c>
    </row>
    <row r="12" spans="1:26" x14ac:dyDescent="0.25">
      <c r="A12" s="144"/>
      <c r="B12" s="189" t="str">
        <f>D2</f>
        <v>Cote d'Ivorie</v>
      </c>
      <c r="C12" s="190">
        <f>I39</f>
        <v>0</v>
      </c>
      <c r="D12" s="190">
        <f>I41</f>
        <v>0</v>
      </c>
      <c r="E12" s="204"/>
      <c r="F12" s="190">
        <f>H38</f>
        <v>3</v>
      </c>
      <c r="G12" s="191">
        <f>SUM(C12:F12)</f>
        <v>3</v>
      </c>
      <c r="H12" s="189" t="str">
        <f t="shared" si="10"/>
        <v>Cote d'Ivorie</v>
      </c>
      <c r="I12" s="219">
        <f t="shared" si="11"/>
        <v>0</v>
      </c>
      <c r="J12" s="219">
        <f t="shared" si="11"/>
        <v>0</v>
      </c>
      <c r="K12" s="218">
        <f t="shared" si="11"/>
        <v>0</v>
      </c>
      <c r="L12" s="219">
        <f t="shared" si="11"/>
        <v>3</v>
      </c>
      <c r="M12" s="220">
        <f>SUM(I12:L12)</f>
        <v>3</v>
      </c>
      <c r="N12" s="189" t="str">
        <f t="shared" si="12"/>
        <v>Cote d'Ivorie</v>
      </c>
      <c r="O12" s="219">
        <f t="shared" si="13"/>
        <v>0</v>
      </c>
      <c r="P12" s="219">
        <f t="shared" si="8"/>
        <v>0</v>
      </c>
      <c r="Q12" s="218">
        <f t="shared" si="8"/>
        <v>0</v>
      </c>
      <c r="R12" s="219">
        <f t="shared" si="8"/>
        <v>3</v>
      </c>
      <c r="S12" s="220">
        <f>SUM(O12:R12)</f>
        <v>3</v>
      </c>
      <c r="T12" s="189" t="str">
        <f t="shared" si="14"/>
        <v>Cote d'Ivorie</v>
      </c>
      <c r="U12" s="219">
        <f t="shared" si="15"/>
        <v>0</v>
      </c>
      <c r="V12" s="219">
        <f t="shared" si="9"/>
        <v>0</v>
      </c>
      <c r="W12" s="218">
        <f t="shared" si="9"/>
        <v>0</v>
      </c>
      <c r="X12" s="219">
        <f t="shared" si="9"/>
        <v>3</v>
      </c>
      <c r="Y12" s="220">
        <f t="shared" si="16"/>
        <v>3</v>
      </c>
      <c r="Z12" s="224">
        <f t="shared" si="17"/>
        <v>3</v>
      </c>
    </row>
    <row r="13" spans="1:26" x14ac:dyDescent="0.25">
      <c r="A13" s="144"/>
      <c r="B13" s="192" t="str">
        <f>E2</f>
        <v>Ecuador</v>
      </c>
      <c r="C13" s="193">
        <f>H42</f>
        <v>0</v>
      </c>
      <c r="D13" s="193">
        <f>H40</f>
        <v>0</v>
      </c>
      <c r="E13" s="193">
        <f>I38</f>
        <v>0</v>
      </c>
      <c r="F13" s="205"/>
      <c r="G13" s="194">
        <f>SUM(C13:F13)</f>
        <v>0</v>
      </c>
      <c r="H13" s="192" t="str">
        <f t="shared" si="10"/>
        <v>Ecuador</v>
      </c>
      <c r="I13" s="221">
        <f t="shared" si="11"/>
        <v>0</v>
      </c>
      <c r="J13" s="221">
        <f t="shared" si="11"/>
        <v>0</v>
      </c>
      <c r="K13" s="221">
        <f t="shared" si="11"/>
        <v>0</v>
      </c>
      <c r="L13" s="222">
        <f t="shared" si="11"/>
        <v>0</v>
      </c>
      <c r="M13" s="223">
        <f>SUM(I13:L13)</f>
        <v>0</v>
      </c>
      <c r="N13" s="192" t="str">
        <f t="shared" si="12"/>
        <v>Ecuador</v>
      </c>
      <c r="O13" s="221">
        <f t="shared" si="13"/>
        <v>0</v>
      </c>
      <c r="P13" s="221">
        <f t="shared" si="8"/>
        <v>0</v>
      </c>
      <c r="Q13" s="221">
        <f t="shared" si="8"/>
        <v>0</v>
      </c>
      <c r="R13" s="222">
        <f t="shared" si="8"/>
        <v>0</v>
      </c>
      <c r="S13" s="223">
        <f>SUM(O13:R13)</f>
        <v>0</v>
      </c>
      <c r="T13" s="192" t="str">
        <f t="shared" si="14"/>
        <v>Ecuador</v>
      </c>
      <c r="U13" s="221">
        <f t="shared" si="15"/>
        <v>0</v>
      </c>
      <c r="V13" s="221">
        <f t="shared" si="9"/>
        <v>0</v>
      </c>
      <c r="W13" s="221">
        <f t="shared" si="9"/>
        <v>0</v>
      </c>
      <c r="X13" s="222">
        <f t="shared" si="9"/>
        <v>0</v>
      </c>
      <c r="Y13" s="223">
        <f t="shared" si="16"/>
        <v>0</v>
      </c>
      <c r="Z13" s="225">
        <f t="shared" si="17"/>
        <v>1</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Germany</v>
      </c>
      <c r="D16" s="177" t="str">
        <f>C2</f>
        <v>Curaçao</v>
      </c>
      <c r="E16" s="177" t="str">
        <f>D2</f>
        <v>Cote d'Ivorie</v>
      </c>
      <c r="F16" s="177" t="str">
        <f>E2</f>
        <v>Ecuador</v>
      </c>
      <c r="G16" s="178" t="s">
        <v>26</v>
      </c>
      <c r="H16" s="183"/>
      <c r="I16" s="184" t="str">
        <f>C16</f>
        <v>Germany</v>
      </c>
      <c r="J16" s="184" t="str">
        <f t="shared" ref="J16:L16" si="18">D16</f>
        <v>Curaçao</v>
      </c>
      <c r="K16" s="184" t="str">
        <f t="shared" si="18"/>
        <v>Cote d'Ivorie</v>
      </c>
      <c r="L16" s="184" t="str">
        <f t="shared" si="18"/>
        <v>Ecuador</v>
      </c>
      <c r="M16" s="185" t="s">
        <v>26</v>
      </c>
      <c r="N16" s="183"/>
      <c r="O16" s="184" t="str">
        <f>I16</f>
        <v>Germany</v>
      </c>
      <c r="P16" s="184" t="str">
        <f t="shared" ref="P16:R16" si="19">J16</f>
        <v>Curaçao</v>
      </c>
      <c r="Q16" s="184" t="str">
        <f t="shared" si="19"/>
        <v>Cote d'Ivorie</v>
      </c>
      <c r="R16" s="184" t="str">
        <f t="shared" si="19"/>
        <v>Ecuador</v>
      </c>
      <c r="S16" s="185" t="s">
        <v>26</v>
      </c>
      <c r="T16" s="183"/>
      <c r="U16" s="184" t="str">
        <f>O16</f>
        <v>Germany</v>
      </c>
      <c r="V16" s="184" t="str">
        <f t="shared" ref="V16:X16" si="20">P16</f>
        <v>Curaçao</v>
      </c>
      <c r="W16" s="184" t="str">
        <f t="shared" si="20"/>
        <v>Cote d'Ivorie</v>
      </c>
      <c r="X16" s="184" t="str">
        <f t="shared" si="20"/>
        <v>Ecuador</v>
      </c>
      <c r="Y16" s="185" t="s">
        <v>26</v>
      </c>
    </row>
    <row r="17" spans="1:25" x14ac:dyDescent="0.25">
      <c r="A17" s="144"/>
      <c r="B17" s="176" t="str">
        <f>B2</f>
        <v>Germany</v>
      </c>
      <c r="C17" s="206"/>
      <c r="D17" s="179">
        <f>IFERROR(F37-G37,0)</f>
        <v>6</v>
      </c>
      <c r="E17" s="179">
        <f>IFERROR(F39-G39,0)</f>
        <v>0</v>
      </c>
      <c r="F17" s="179">
        <f>IFERROR(G42-F42,0)</f>
        <v>0</v>
      </c>
      <c r="G17" s="178">
        <f>SUM(C17:F17)</f>
        <v>6</v>
      </c>
      <c r="H17" s="183" t="str">
        <f>B17</f>
        <v>Germany</v>
      </c>
      <c r="I17" s="208"/>
      <c r="J17" s="184">
        <f>D17*J3</f>
        <v>0</v>
      </c>
      <c r="K17" s="184">
        <f>E17*K3</f>
        <v>0</v>
      </c>
      <c r="L17" s="184">
        <f>F17*L3</f>
        <v>0</v>
      </c>
      <c r="M17" s="185">
        <f>SUM(I17:L17)</f>
        <v>0</v>
      </c>
      <c r="N17" s="183" t="str">
        <f>H17</f>
        <v>Germany</v>
      </c>
      <c r="O17" s="208"/>
      <c r="P17" s="184">
        <f>J17*P3</f>
        <v>0</v>
      </c>
      <c r="Q17" s="184">
        <f>K17*Q3</f>
        <v>0</v>
      </c>
      <c r="R17" s="184">
        <f>L17*R3</f>
        <v>0</v>
      </c>
      <c r="S17" s="185">
        <f>SUM(O17:R17)</f>
        <v>0</v>
      </c>
      <c r="T17" s="183" t="str">
        <f>N17</f>
        <v>Germany</v>
      </c>
      <c r="U17" s="208"/>
      <c r="V17" s="184">
        <f>P17*V3</f>
        <v>0</v>
      </c>
      <c r="W17" s="184">
        <f>Q17*W3</f>
        <v>0</v>
      </c>
      <c r="X17" s="184">
        <f>R17*X3</f>
        <v>0</v>
      </c>
      <c r="Y17" s="185">
        <f>SUM(U17:X17)</f>
        <v>0</v>
      </c>
    </row>
    <row r="18" spans="1:25" x14ac:dyDescent="0.25">
      <c r="A18" s="144"/>
      <c r="B18" s="176" t="str">
        <f>C2</f>
        <v>Curaçao</v>
      </c>
      <c r="C18" s="179">
        <f>IFERROR(G37-F37,0)</f>
        <v>-6</v>
      </c>
      <c r="D18" s="206"/>
      <c r="E18" s="179">
        <f>IFERROR(F41-G41,0)</f>
        <v>0</v>
      </c>
      <c r="F18" s="179">
        <f>IFERROR(G40-F40,0)</f>
        <v>0</v>
      </c>
      <c r="G18" s="178">
        <f>SUM(C18:F18)</f>
        <v>-6</v>
      </c>
      <c r="H18" s="183" t="str">
        <f t="shared" ref="H18:H20" si="21">B18</f>
        <v>Curaçao</v>
      </c>
      <c r="I18" s="184">
        <f>C18*I4</f>
        <v>0</v>
      </c>
      <c r="J18" s="208"/>
      <c r="K18" s="184">
        <f>E18*K4</f>
        <v>0</v>
      </c>
      <c r="L18" s="184">
        <f>F18*L4</f>
        <v>0</v>
      </c>
      <c r="M18" s="185">
        <f>SUM(I18:L18)</f>
        <v>0</v>
      </c>
      <c r="N18" s="183" t="str">
        <f t="shared" ref="N18:N20" si="22">H18</f>
        <v>Curaçao</v>
      </c>
      <c r="O18" s="184">
        <f>I18*O4</f>
        <v>0</v>
      </c>
      <c r="P18" s="208"/>
      <c r="Q18" s="184">
        <f>K18*Q4</f>
        <v>0</v>
      </c>
      <c r="R18" s="184">
        <f>L18*R4</f>
        <v>0</v>
      </c>
      <c r="S18" s="185">
        <f>SUM(O18:R18)</f>
        <v>0</v>
      </c>
      <c r="T18" s="183" t="str">
        <f t="shared" ref="T18:T20" si="23">N18</f>
        <v>Curaçao</v>
      </c>
      <c r="U18" s="184">
        <f>O18*U4</f>
        <v>0</v>
      </c>
      <c r="V18" s="208"/>
      <c r="W18" s="184">
        <f>Q18*W4</f>
        <v>0</v>
      </c>
      <c r="X18" s="184">
        <f>R18*X4</f>
        <v>0</v>
      </c>
      <c r="Y18" s="185">
        <f>SUM(U18:X18)</f>
        <v>0</v>
      </c>
    </row>
    <row r="19" spans="1:25" x14ac:dyDescent="0.25">
      <c r="A19" s="144"/>
      <c r="B19" s="176" t="str">
        <f>D2</f>
        <v>Cote d'Ivorie</v>
      </c>
      <c r="C19" s="179">
        <f>IFERROR(G39-F39,0)</f>
        <v>0</v>
      </c>
      <c r="D19" s="179">
        <f>IFERROR(G41-F41,0)</f>
        <v>0</v>
      </c>
      <c r="E19" s="206"/>
      <c r="F19" s="179">
        <f>IFERROR(F38-G38,0)</f>
        <v>1</v>
      </c>
      <c r="G19" s="178">
        <f>SUM(C19:F19)</f>
        <v>1</v>
      </c>
      <c r="H19" s="183" t="str">
        <f t="shared" si="21"/>
        <v>Cote d'Ivorie</v>
      </c>
      <c r="I19" s="184">
        <f>C19*I5</f>
        <v>0</v>
      </c>
      <c r="J19" s="184">
        <f>D19*J5</f>
        <v>0</v>
      </c>
      <c r="K19" s="208"/>
      <c r="L19" s="184">
        <f>F19*L5</f>
        <v>0</v>
      </c>
      <c r="M19" s="185">
        <f>SUM(I19:L19)</f>
        <v>0</v>
      </c>
      <c r="N19" s="183" t="str">
        <f t="shared" si="22"/>
        <v>Cote d'Ivorie</v>
      </c>
      <c r="O19" s="184">
        <f>I19*O5</f>
        <v>0</v>
      </c>
      <c r="P19" s="184">
        <f>J19*P5</f>
        <v>0</v>
      </c>
      <c r="Q19" s="208"/>
      <c r="R19" s="184">
        <f>L19*R5</f>
        <v>0</v>
      </c>
      <c r="S19" s="185">
        <f>SUM(O19:R19)</f>
        <v>0</v>
      </c>
      <c r="T19" s="183" t="str">
        <f t="shared" si="23"/>
        <v>Cote d'Ivorie</v>
      </c>
      <c r="U19" s="184">
        <f>O19*U5</f>
        <v>0</v>
      </c>
      <c r="V19" s="184">
        <f>P19*V5</f>
        <v>0</v>
      </c>
      <c r="W19" s="208"/>
      <c r="X19" s="184">
        <f>R19*X5</f>
        <v>0</v>
      </c>
      <c r="Y19" s="185">
        <f>SUM(U19:X19)</f>
        <v>0</v>
      </c>
    </row>
    <row r="20" spans="1:25" x14ac:dyDescent="0.25">
      <c r="A20" s="144"/>
      <c r="B20" s="180" t="str">
        <f>E2</f>
        <v>Ecuador</v>
      </c>
      <c r="C20" s="181">
        <f>IFERROR(F42-G42,0)</f>
        <v>0</v>
      </c>
      <c r="D20" s="181">
        <f>IFERROR(F40-G40,0)</f>
        <v>0</v>
      </c>
      <c r="E20" s="181">
        <f>IFERROR(G38-F38,0)</f>
        <v>-1</v>
      </c>
      <c r="F20" s="207"/>
      <c r="G20" s="182">
        <f>SUM(C20:F20)</f>
        <v>-1</v>
      </c>
      <c r="H20" s="186" t="str">
        <f t="shared" si="21"/>
        <v>Ecuador</v>
      </c>
      <c r="I20" s="187">
        <f>C20*I6</f>
        <v>0</v>
      </c>
      <c r="J20" s="187">
        <f>D20*J6</f>
        <v>0</v>
      </c>
      <c r="K20" s="187">
        <f>E20*K6</f>
        <v>0</v>
      </c>
      <c r="L20" s="213"/>
      <c r="M20" s="188">
        <f>SUM(I20:L20)</f>
        <v>0</v>
      </c>
      <c r="N20" s="186" t="str">
        <f t="shared" si="22"/>
        <v>Ecuador</v>
      </c>
      <c r="O20" s="187">
        <f>I20*O6</f>
        <v>0</v>
      </c>
      <c r="P20" s="187">
        <f>J20*P6</f>
        <v>0</v>
      </c>
      <c r="Q20" s="187">
        <f>K20*Q6</f>
        <v>0</v>
      </c>
      <c r="R20" s="213"/>
      <c r="S20" s="188">
        <f>SUM(O20:R20)</f>
        <v>0</v>
      </c>
      <c r="T20" s="186" t="str">
        <f t="shared" si="23"/>
        <v>Ecuador</v>
      </c>
      <c r="U20" s="187">
        <f>O20*U6</f>
        <v>0</v>
      </c>
      <c r="V20" s="187">
        <f>P20*V6</f>
        <v>0</v>
      </c>
      <c r="W20" s="187">
        <f>Q20*W6</f>
        <v>0</v>
      </c>
      <c r="X20" s="213"/>
      <c r="Y20" s="188">
        <f>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Germany</v>
      </c>
      <c r="D23" s="164" t="str">
        <f>C2</f>
        <v>Curaçao</v>
      </c>
      <c r="E23" s="164" t="str">
        <f>D2</f>
        <v>Cote d'Ivorie</v>
      </c>
      <c r="F23" s="164" t="str">
        <f>E2</f>
        <v>Ecuador</v>
      </c>
      <c r="G23" s="165" t="s">
        <v>26</v>
      </c>
      <c r="H23" s="169"/>
      <c r="I23" s="170" t="str">
        <f>C23</f>
        <v>Germany</v>
      </c>
      <c r="J23" s="170" t="str">
        <f t="shared" ref="J23:L23" si="24">D23</f>
        <v>Curaçao</v>
      </c>
      <c r="K23" s="170" t="str">
        <f t="shared" si="24"/>
        <v>Cote d'Ivorie</v>
      </c>
      <c r="L23" s="170" t="str">
        <f t="shared" si="24"/>
        <v>Ecuador</v>
      </c>
      <c r="M23" s="171" t="s">
        <v>26</v>
      </c>
      <c r="N23" s="169"/>
      <c r="O23" s="170" t="str">
        <f>I23</f>
        <v>Germany</v>
      </c>
      <c r="P23" s="170" t="str">
        <f t="shared" ref="P23:R23" si="25">J23</f>
        <v>Curaçao</v>
      </c>
      <c r="Q23" s="170" t="str">
        <f t="shared" si="25"/>
        <v>Cote d'Ivorie</v>
      </c>
      <c r="R23" s="170" t="str">
        <f t="shared" si="25"/>
        <v>Ecuador</v>
      </c>
      <c r="S23" s="171" t="s">
        <v>26</v>
      </c>
      <c r="T23" s="169"/>
      <c r="U23" s="170" t="str">
        <f>O23</f>
        <v>Germany</v>
      </c>
      <c r="V23" s="170" t="str">
        <f t="shared" ref="V23:X23" si="26">P23</f>
        <v>Curaçao</v>
      </c>
      <c r="W23" s="170" t="str">
        <f t="shared" si="26"/>
        <v>Cote d'Ivorie</v>
      </c>
      <c r="X23" s="170" t="str">
        <f t="shared" si="26"/>
        <v>Ecuador</v>
      </c>
      <c r="Y23" s="171" t="s">
        <v>26</v>
      </c>
    </row>
    <row r="24" spans="1:25" x14ac:dyDescent="0.25">
      <c r="A24" s="143"/>
      <c r="B24" s="163" t="str">
        <f>B2</f>
        <v>Germany</v>
      </c>
      <c r="C24" s="209"/>
      <c r="D24" s="164">
        <f>IF(F37="",0,F37)</f>
        <v>7</v>
      </c>
      <c r="E24" s="164">
        <f>IF(F39="",0,F39)</f>
        <v>0</v>
      </c>
      <c r="F24" s="164">
        <f>IF(G42="",0,G42)</f>
        <v>0</v>
      </c>
      <c r="G24" s="165">
        <f>SUM(C24:F24)</f>
        <v>7</v>
      </c>
      <c r="H24" s="169" t="str">
        <f>B24</f>
        <v>Germany</v>
      </c>
      <c r="I24" s="214"/>
      <c r="J24" s="170">
        <f>D24*J3</f>
        <v>0</v>
      </c>
      <c r="K24" s="170">
        <f>E24*K3</f>
        <v>0</v>
      </c>
      <c r="L24" s="170">
        <f>F24*L3</f>
        <v>0</v>
      </c>
      <c r="M24" s="171">
        <f>SUM(I24:L24)</f>
        <v>0</v>
      </c>
      <c r="N24" s="169" t="str">
        <f>H24</f>
        <v>Germany</v>
      </c>
      <c r="O24" s="214"/>
      <c r="P24" s="170">
        <f>J24*P3</f>
        <v>0</v>
      </c>
      <c r="Q24" s="170">
        <f>K24*Q3</f>
        <v>0</v>
      </c>
      <c r="R24" s="170">
        <f>L24*R3</f>
        <v>0</v>
      </c>
      <c r="S24" s="171">
        <f>SUM(O24:R24)</f>
        <v>0</v>
      </c>
      <c r="T24" s="169" t="str">
        <f>N24</f>
        <v>Germany</v>
      </c>
      <c r="U24" s="214"/>
      <c r="V24" s="170">
        <f>P24*V3</f>
        <v>0</v>
      </c>
      <c r="W24" s="170">
        <f>Q24*W3</f>
        <v>0</v>
      </c>
      <c r="X24" s="170">
        <f>R24*X3</f>
        <v>0</v>
      </c>
      <c r="Y24" s="171">
        <f>SUM(U24:X24)</f>
        <v>0</v>
      </c>
    </row>
    <row r="25" spans="1:25" x14ac:dyDescent="0.25">
      <c r="A25" s="143"/>
      <c r="B25" s="163" t="str">
        <f>C2</f>
        <v>Curaçao</v>
      </c>
      <c r="C25" s="164">
        <f>IF(G37="",0,G37)</f>
        <v>1</v>
      </c>
      <c r="D25" s="209"/>
      <c r="E25" s="164">
        <f>IF(F41="",0,F41)</f>
        <v>0</v>
      </c>
      <c r="F25" s="164">
        <f>IF(G40="",0,G40)</f>
        <v>0</v>
      </c>
      <c r="G25" s="165">
        <f>SUM(C25:F25)</f>
        <v>1</v>
      </c>
      <c r="H25" s="169" t="str">
        <f t="shared" ref="H25:H27" si="27">B25</f>
        <v>Curaçao</v>
      </c>
      <c r="I25" s="170">
        <f>C25*I4</f>
        <v>0</v>
      </c>
      <c r="J25" s="214"/>
      <c r="K25" s="170">
        <f>E25*K4</f>
        <v>0</v>
      </c>
      <c r="L25" s="170">
        <f>F25*L4</f>
        <v>0</v>
      </c>
      <c r="M25" s="171">
        <f>SUM(I25:L25)</f>
        <v>0</v>
      </c>
      <c r="N25" s="169" t="str">
        <f t="shared" ref="N25:N27" si="28">H25</f>
        <v>Curaçao</v>
      </c>
      <c r="O25" s="170">
        <f>I25*O4</f>
        <v>0</v>
      </c>
      <c r="P25" s="214"/>
      <c r="Q25" s="170">
        <f>K25*Q4</f>
        <v>0</v>
      </c>
      <c r="R25" s="170">
        <f>L25*R4</f>
        <v>0</v>
      </c>
      <c r="S25" s="171">
        <f>SUM(O25:R25)</f>
        <v>0</v>
      </c>
      <c r="T25" s="169" t="str">
        <f t="shared" ref="T25:T27" si="29">N25</f>
        <v>Curaçao</v>
      </c>
      <c r="U25" s="170">
        <f>O25*U4</f>
        <v>0</v>
      </c>
      <c r="V25" s="214"/>
      <c r="W25" s="170">
        <f>Q25*W4</f>
        <v>0</v>
      </c>
      <c r="X25" s="170">
        <f>R25*X4</f>
        <v>0</v>
      </c>
      <c r="Y25" s="171">
        <f>SUM(U25:X25)</f>
        <v>0</v>
      </c>
    </row>
    <row r="26" spans="1:25" x14ac:dyDescent="0.25">
      <c r="A26" s="143"/>
      <c r="B26" s="163" t="str">
        <f>D2</f>
        <v>Cote d'Ivorie</v>
      </c>
      <c r="C26" s="164">
        <f>IF(G39="",0,G39)</f>
        <v>0</v>
      </c>
      <c r="D26" s="164">
        <f>IF(G41="",0,G41)</f>
        <v>0</v>
      </c>
      <c r="E26" s="209"/>
      <c r="F26" s="164">
        <f>IF(F38="",0,F38)</f>
        <v>1</v>
      </c>
      <c r="G26" s="165">
        <f>SUM(C26:F26)</f>
        <v>1</v>
      </c>
      <c r="H26" s="169" t="str">
        <f t="shared" si="27"/>
        <v>Cote d'Ivorie</v>
      </c>
      <c r="I26" s="170">
        <f>C26*I5</f>
        <v>0</v>
      </c>
      <c r="J26" s="170">
        <f>D26*J5</f>
        <v>0</v>
      </c>
      <c r="K26" s="214"/>
      <c r="L26" s="170">
        <f>F26*L5</f>
        <v>0</v>
      </c>
      <c r="M26" s="171">
        <f>SUM(I26:L26)</f>
        <v>0</v>
      </c>
      <c r="N26" s="169" t="str">
        <f t="shared" si="28"/>
        <v>Cote d'Ivorie</v>
      </c>
      <c r="O26" s="170">
        <f>I26*O5</f>
        <v>0</v>
      </c>
      <c r="P26" s="170">
        <f>J26*P5</f>
        <v>0</v>
      </c>
      <c r="Q26" s="214"/>
      <c r="R26" s="170">
        <f>L26*R5</f>
        <v>0</v>
      </c>
      <c r="S26" s="171">
        <f>SUM(O26:R26)</f>
        <v>0</v>
      </c>
      <c r="T26" s="169" t="str">
        <f t="shared" si="29"/>
        <v>Cote d'Ivorie</v>
      </c>
      <c r="U26" s="170">
        <f>O26*U5</f>
        <v>0</v>
      </c>
      <c r="V26" s="170">
        <f>P26*V5</f>
        <v>0</v>
      </c>
      <c r="W26" s="214"/>
      <c r="X26" s="170">
        <f>R26*X5</f>
        <v>0</v>
      </c>
      <c r="Y26" s="171">
        <f>SUM(U26:X26)</f>
        <v>0</v>
      </c>
    </row>
    <row r="27" spans="1:25" x14ac:dyDescent="0.25">
      <c r="A27" s="143"/>
      <c r="B27" s="166" t="str">
        <f>E2</f>
        <v>Ecuador</v>
      </c>
      <c r="C27" s="167">
        <f>IF(F42="",0,F42)</f>
        <v>0</v>
      </c>
      <c r="D27" s="167">
        <f>IF(F40="",0,F40)</f>
        <v>0</v>
      </c>
      <c r="E27" s="167">
        <f>IF(G38="",0,G38)</f>
        <v>0</v>
      </c>
      <c r="F27" s="210"/>
      <c r="G27" s="168">
        <f>SUM(C27:F27)</f>
        <v>0</v>
      </c>
      <c r="H27" s="172" t="str">
        <f t="shared" si="27"/>
        <v>Ecuador</v>
      </c>
      <c r="I27" s="173">
        <f>C27*I6</f>
        <v>0</v>
      </c>
      <c r="J27" s="173">
        <f>D27*J6</f>
        <v>0</v>
      </c>
      <c r="K27" s="173">
        <f>E27*K6</f>
        <v>0</v>
      </c>
      <c r="L27" s="215"/>
      <c r="M27" s="174">
        <f>SUM(I27:L27)</f>
        <v>0</v>
      </c>
      <c r="N27" s="172" t="str">
        <f t="shared" si="28"/>
        <v>Ecuador</v>
      </c>
      <c r="O27" s="173">
        <f>I27*O6</f>
        <v>0</v>
      </c>
      <c r="P27" s="173">
        <f>J27*P6</f>
        <v>0</v>
      </c>
      <c r="Q27" s="173">
        <f>K27*Q6</f>
        <v>0</v>
      </c>
      <c r="R27" s="215"/>
      <c r="S27" s="174">
        <f>SUM(O27:R27)</f>
        <v>0</v>
      </c>
      <c r="T27" s="172" t="str">
        <f t="shared" si="29"/>
        <v>Ecuador</v>
      </c>
      <c r="U27" s="173">
        <f>O27*U6</f>
        <v>0</v>
      </c>
      <c r="V27" s="173">
        <f>P27*V6</f>
        <v>0</v>
      </c>
      <c r="W27" s="173">
        <f>Q27*W6</f>
        <v>0</v>
      </c>
      <c r="X27" s="215"/>
      <c r="Y27" s="174">
        <f>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232" t="s">
        <v>631</v>
      </c>
      <c r="E29" s="232" t="s">
        <v>632</v>
      </c>
      <c r="F29" s="232" t="s">
        <v>633</v>
      </c>
      <c r="G29" s="232" t="s">
        <v>676</v>
      </c>
      <c r="H29" s="232" t="s">
        <v>411</v>
      </c>
      <c r="I29" s="232" t="s">
        <v>661</v>
      </c>
      <c r="J29" s="232" t="s">
        <v>634</v>
      </c>
      <c r="K29" s="233" t="s">
        <v>635</v>
      </c>
    </row>
    <row r="30" spans="1:25" x14ac:dyDescent="0.25">
      <c r="A30" s="234">
        <f>K30</f>
        <v>1</v>
      </c>
      <c r="B30" s="235" t="str">
        <f>B2</f>
        <v>Germany</v>
      </c>
      <c r="C30" s="236">
        <f>VLOOKUP($B30,Lookup10,3,FALSE)</f>
        <v>1</v>
      </c>
      <c r="D30" s="236">
        <f>VLOOKUP($B30,Lookup10,7,FALSE)</f>
        <v>7</v>
      </c>
      <c r="E30" s="236">
        <f>VLOOKUP($B30,Lookup10,8,FALSE)</f>
        <v>1</v>
      </c>
      <c r="F30" s="236">
        <f>VLOOKUP($B30,Lookup10,9,FALSE)</f>
        <v>6</v>
      </c>
      <c r="G30" s="237">
        <f>Z10</f>
        <v>3</v>
      </c>
      <c r="H30" s="236">
        <f>VLOOKUP($B30,Lookup10,11,FALSE)</f>
        <v>0</v>
      </c>
      <c r="I30" s="236">
        <f>VLOOKUP($B30,Lookup11,2,FALSE)</f>
        <v>10</v>
      </c>
      <c r="J30" s="238">
        <f>ROUND(D30*D$34+F30*F$34+G30*G$34-H30*H$34-I30*I$34,8)</f>
        <v>30606.999</v>
      </c>
      <c r="K30" s="239">
        <f>RANK(J30,J$30:J$33,0)</f>
        <v>1</v>
      </c>
    </row>
    <row r="31" spans="1:25" x14ac:dyDescent="0.25">
      <c r="A31" s="234">
        <f t="shared" ref="A31:A33" si="30">K31</f>
        <v>4</v>
      </c>
      <c r="B31" s="235" t="str">
        <f>C2</f>
        <v>Curaçao</v>
      </c>
      <c r="C31" s="236">
        <f>VLOOKUP($B31,Lookup10,3,FALSE)</f>
        <v>1</v>
      </c>
      <c r="D31" s="236">
        <f>VLOOKUP($B31,Lookup10,7,FALSE)</f>
        <v>1</v>
      </c>
      <c r="E31" s="236">
        <f>VLOOKUP($B31,Lookup10,8,FALSE)</f>
        <v>7</v>
      </c>
      <c r="F31" s="236">
        <f>VLOOKUP($B31,Lookup10,9,FALSE)</f>
        <v>-6</v>
      </c>
      <c r="G31" s="237">
        <f t="shared" ref="G31:G33" si="31">Z11</f>
        <v>1</v>
      </c>
      <c r="H31" s="236">
        <f>VLOOKUP($B31,Lookup10,11,FALSE)</f>
        <v>0</v>
      </c>
      <c r="I31" s="236">
        <f>VLOOKUP($B31,Lookup11,2,FALSE)</f>
        <v>46</v>
      </c>
      <c r="J31" s="238">
        <f t="shared" ref="J31:J33" si="32">ROUND(D31*D$34+F31*F$34+G31*G$34-H31*H$34-I31*I$34,8)</f>
        <v>9400.9953999999998</v>
      </c>
      <c r="K31" s="239">
        <f>RANK(J31,J$30:J$33,0)</f>
        <v>4</v>
      </c>
    </row>
    <row r="32" spans="1:25" x14ac:dyDescent="0.25">
      <c r="A32" s="234">
        <f t="shared" si="30"/>
        <v>2</v>
      </c>
      <c r="B32" s="235" t="str">
        <f>D2</f>
        <v>Cote d'Ivorie</v>
      </c>
      <c r="C32" s="236">
        <f>VLOOKUP($B32,Lookup10,3,FALSE)</f>
        <v>1</v>
      </c>
      <c r="D32" s="236">
        <f>VLOOKUP($B32,Lookup10,7,FALSE)</f>
        <v>1</v>
      </c>
      <c r="E32" s="236">
        <f>VLOOKUP($B32,Lookup10,8,FALSE)</f>
        <v>0</v>
      </c>
      <c r="F32" s="236">
        <f>VLOOKUP($B32,Lookup10,9,FALSE)</f>
        <v>1</v>
      </c>
      <c r="G32" s="237">
        <f t="shared" si="31"/>
        <v>3</v>
      </c>
      <c r="H32" s="236">
        <f>VLOOKUP($B32,Lookup10,11,FALSE)</f>
        <v>3</v>
      </c>
      <c r="I32" s="236">
        <f>VLOOKUP($B32,Lookup11,2,FALSE)</f>
        <v>29</v>
      </c>
      <c r="J32" s="238">
        <f t="shared" si="32"/>
        <v>30100.967100000002</v>
      </c>
      <c r="K32" s="239">
        <f>RANK(J32,J$30:J$33,0)</f>
        <v>2</v>
      </c>
    </row>
    <row r="33" spans="1:16" x14ac:dyDescent="0.25">
      <c r="A33" s="234">
        <f t="shared" si="30"/>
        <v>3</v>
      </c>
      <c r="B33" s="235" t="str">
        <f>E2</f>
        <v>Ecuador</v>
      </c>
      <c r="C33" s="236">
        <f>VLOOKUP($B33,Lookup10,3,FALSE)</f>
        <v>1</v>
      </c>
      <c r="D33" s="236">
        <f>VLOOKUP($B33,Lookup10,7,FALSE)</f>
        <v>0</v>
      </c>
      <c r="E33" s="236">
        <f>VLOOKUP($B33,Lookup10,8,FALSE)</f>
        <v>1</v>
      </c>
      <c r="F33" s="236">
        <f>VLOOKUP($B33,Lookup10,9,FALSE)</f>
        <v>-1</v>
      </c>
      <c r="G33" s="237">
        <f t="shared" si="31"/>
        <v>1</v>
      </c>
      <c r="H33" s="236">
        <f>VLOOKUP($B33,Lookup10,11,FALSE)</f>
        <v>1</v>
      </c>
      <c r="I33" s="236">
        <f>VLOOKUP($B33,Lookup11,2,FALSE)</f>
        <v>21</v>
      </c>
      <c r="J33" s="238">
        <f t="shared" si="32"/>
        <v>9899.9879000000001</v>
      </c>
      <c r="K33" s="239">
        <f>RANK(J33,J$30:J$33,0)</f>
        <v>3</v>
      </c>
    </row>
    <row r="34" spans="1:16" x14ac:dyDescent="0.25">
      <c r="A34" s="240"/>
      <c r="B34" s="241" t="s">
        <v>636</v>
      </c>
      <c r="C34" s="242">
        <f>SUM(C30:C33)</f>
        <v>4</v>
      </c>
      <c r="D34" s="205">
        <v>1</v>
      </c>
      <c r="E34" s="205"/>
      <c r="F34" s="205">
        <v>100</v>
      </c>
      <c r="G34" s="205">
        <v>10000</v>
      </c>
      <c r="H34" s="205">
        <v>0.01</v>
      </c>
      <c r="I34" s="205">
        <v>1E-4</v>
      </c>
      <c r="J34" s="242"/>
      <c r="K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GermanyCuraçao</v>
      </c>
      <c r="B37" s="158" t="str">
        <f>B1&amp;C1</f>
        <v>E1E2</v>
      </c>
      <c r="C37" s="158">
        <f>IF(Data!Q31="",0,1)</f>
        <v>1</v>
      </c>
      <c r="D37" s="150" t="str">
        <f>B2</f>
        <v>Germany</v>
      </c>
      <c r="E37" s="150" t="str">
        <f>C2</f>
        <v>Curaçao</v>
      </c>
      <c r="F37" s="158">
        <f t="shared" ref="F37:F42" si="33">VLOOKUP($B37,Lookup12,2,FALSE)</f>
        <v>7</v>
      </c>
      <c r="G37" s="158">
        <f t="shared" ref="G37:G42" si="34">VLOOKUP($B37,Lookup12,3,FALSE)</f>
        <v>1</v>
      </c>
      <c r="H37" s="158">
        <f t="shared" ref="H37:H42" si="35">IF(C37=0,0,IF(F37&lt;G37,Lpts,IF(F37&gt;G37,Wpts,Dpts)))</f>
        <v>3</v>
      </c>
      <c r="I37" s="158">
        <f t="shared" ref="I37:I42" si="36">IF(C37=0,0,IF(G37&lt;F37,Lpts,IF(G37&gt;F37,Wpts,Dpts)))</f>
        <v>0</v>
      </c>
      <c r="J37" s="158">
        <f t="shared" ref="J37:J42" si="37">VLOOKUP($B37,Lookup12,4,FALSE)</f>
        <v>0</v>
      </c>
      <c r="K37" s="158">
        <f t="shared" ref="K37:K42" si="38">VLOOKUP($B37,Lookup12,5,FALSE)</f>
        <v>0</v>
      </c>
      <c r="L37" s="143"/>
      <c r="M37" s="143"/>
      <c r="N37" s="143"/>
      <c r="O37" s="143"/>
      <c r="P37" s="143"/>
    </row>
    <row r="38" spans="1:16" x14ac:dyDescent="0.25">
      <c r="A38" s="149" t="str">
        <f>D2&amp;E2</f>
        <v>Cote d'IvorieEcuador</v>
      </c>
      <c r="B38" s="158" t="str">
        <f>D1&amp;E1</f>
        <v>E3E4</v>
      </c>
      <c r="C38" s="158">
        <f>IF(Data!Q32="",0,1)</f>
        <v>1</v>
      </c>
      <c r="D38" s="150" t="str">
        <f>D2</f>
        <v>Cote d'Ivorie</v>
      </c>
      <c r="E38" s="150" t="str">
        <f>E2</f>
        <v>Ecuador</v>
      </c>
      <c r="F38" s="158">
        <f t="shared" si="33"/>
        <v>1</v>
      </c>
      <c r="G38" s="158">
        <f t="shared" si="34"/>
        <v>0</v>
      </c>
      <c r="H38" s="158">
        <f t="shared" si="35"/>
        <v>3</v>
      </c>
      <c r="I38" s="158">
        <f t="shared" si="36"/>
        <v>0</v>
      </c>
      <c r="J38" s="158">
        <f t="shared" si="37"/>
        <v>3</v>
      </c>
      <c r="K38" s="158">
        <f t="shared" si="38"/>
        <v>1</v>
      </c>
      <c r="L38" s="143"/>
      <c r="M38" s="143"/>
      <c r="N38" s="143"/>
      <c r="O38" s="143"/>
      <c r="P38" s="143"/>
    </row>
    <row r="39" spans="1:16" x14ac:dyDescent="0.25">
      <c r="A39" s="149" t="str">
        <f>B2&amp;D2</f>
        <v>GermanyCote d'Ivorie</v>
      </c>
      <c r="B39" s="158" t="str">
        <f>B1&amp;D1</f>
        <v>E1E3</v>
      </c>
      <c r="C39" s="158">
        <f>IF(Data!Q33="",0,1)</f>
        <v>0</v>
      </c>
      <c r="D39" s="150" t="str">
        <f>B2</f>
        <v>Germany</v>
      </c>
      <c r="E39" s="150" t="str">
        <f>D2</f>
        <v>Cote d'Ivorie</v>
      </c>
      <c r="F39" s="158" t="str">
        <f t="shared" si="33"/>
        <v/>
      </c>
      <c r="G39" s="158" t="str">
        <f t="shared" si="34"/>
        <v/>
      </c>
      <c r="H39" s="158">
        <f t="shared" si="35"/>
        <v>0</v>
      </c>
      <c r="I39" s="158">
        <f t="shared" si="36"/>
        <v>0</v>
      </c>
      <c r="J39" s="158" t="str">
        <f t="shared" si="37"/>
        <v/>
      </c>
      <c r="K39" s="158" t="str">
        <f t="shared" si="38"/>
        <v/>
      </c>
      <c r="L39" s="143"/>
      <c r="M39" s="143"/>
      <c r="N39" s="143"/>
      <c r="O39" s="143"/>
      <c r="P39" s="143"/>
    </row>
    <row r="40" spans="1:16" x14ac:dyDescent="0.25">
      <c r="A40" s="149" t="str">
        <f>E2&amp;C2</f>
        <v>EcuadorCuraçao</v>
      </c>
      <c r="B40" s="158" t="str">
        <f>E1&amp;C1</f>
        <v>E4E2</v>
      </c>
      <c r="C40" s="158">
        <f>IF(Data!Q34="",0,1)</f>
        <v>0</v>
      </c>
      <c r="D40" s="150" t="str">
        <f>E2</f>
        <v>Ecuador</v>
      </c>
      <c r="E40" s="150" t="str">
        <f>C2</f>
        <v>Curaçao</v>
      </c>
      <c r="F40" s="158" t="str">
        <f t="shared" si="33"/>
        <v/>
      </c>
      <c r="G40" s="158" t="str">
        <f t="shared" si="34"/>
        <v/>
      </c>
      <c r="H40" s="158">
        <f t="shared" si="35"/>
        <v>0</v>
      </c>
      <c r="I40" s="158">
        <f t="shared" si="36"/>
        <v>0</v>
      </c>
      <c r="J40" s="158" t="str">
        <f t="shared" si="37"/>
        <v/>
      </c>
      <c r="K40" s="158" t="str">
        <f t="shared" si="38"/>
        <v/>
      </c>
      <c r="L40" s="143"/>
      <c r="M40" s="143"/>
      <c r="N40" s="143"/>
      <c r="O40" s="143"/>
      <c r="P40" s="143"/>
    </row>
    <row r="41" spans="1:16" x14ac:dyDescent="0.25">
      <c r="A41" s="149" t="str">
        <f>C2&amp;D2</f>
        <v>CuraçaoCote d'Ivorie</v>
      </c>
      <c r="B41" s="158" t="str">
        <f>C1&amp;D1</f>
        <v>E2E3</v>
      </c>
      <c r="C41" s="158">
        <f>IF(Data!Q35="",0,1)</f>
        <v>0</v>
      </c>
      <c r="D41" s="150" t="str">
        <f>C2</f>
        <v>Curaçao</v>
      </c>
      <c r="E41" s="150" t="str">
        <f>D2</f>
        <v>Cote d'Ivorie</v>
      </c>
      <c r="F41" s="158" t="str">
        <f t="shared" si="33"/>
        <v/>
      </c>
      <c r="G41" s="158" t="str">
        <f t="shared" si="34"/>
        <v/>
      </c>
      <c r="H41" s="158">
        <f t="shared" si="35"/>
        <v>0</v>
      </c>
      <c r="I41" s="158">
        <f t="shared" si="36"/>
        <v>0</v>
      </c>
      <c r="J41" s="158" t="str">
        <f t="shared" si="37"/>
        <v/>
      </c>
      <c r="K41" s="158" t="str">
        <f t="shared" si="38"/>
        <v/>
      </c>
      <c r="L41" s="143"/>
      <c r="M41" s="143"/>
      <c r="N41" s="143"/>
      <c r="O41" s="143"/>
      <c r="P41" s="143"/>
    </row>
    <row r="42" spans="1:16" x14ac:dyDescent="0.25">
      <c r="A42" s="151" t="str">
        <f>E2&amp;B2</f>
        <v>EcuadorGermany</v>
      </c>
      <c r="B42" s="159" t="str">
        <f>E1&amp;B1</f>
        <v>E4E1</v>
      </c>
      <c r="C42" s="159">
        <f>IF(Data!Q36="",0,1)</f>
        <v>0</v>
      </c>
      <c r="D42" s="152" t="str">
        <f>E2</f>
        <v>Ecuador</v>
      </c>
      <c r="E42" s="152" t="str">
        <f>B2</f>
        <v>Germany</v>
      </c>
      <c r="F42" s="159" t="str">
        <f t="shared" si="33"/>
        <v/>
      </c>
      <c r="G42" s="159" t="str">
        <f t="shared" si="34"/>
        <v/>
      </c>
      <c r="H42" s="159">
        <f t="shared" si="35"/>
        <v>0</v>
      </c>
      <c r="I42" s="159">
        <f t="shared" si="36"/>
        <v>0</v>
      </c>
      <c r="J42" s="159" t="str">
        <f t="shared" si="37"/>
        <v/>
      </c>
      <c r="K42" s="159" t="str">
        <f t="shared" si="38"/>
        <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$B45</f>
        <v>Germany</v>
      </c>
      <c r="M44" s="154" t="str">
        <f>$B46</f>
        <v>Cote d'Ivorie</v>
      </c>
      <c r="N44" s="154" t="str">
        <f>$B47</f>
        <v>Ecuador</v>
      </c>
      <c r="O44" s="154" t="str">
        <f>$B48</f>
        <v>Curaçao</v>
      </c>
      <c r="P44" s="155"/>
    </row>
    <row r="45" spans="1:16" x14ac:dyDescent="0.25">
      <c r="A45" s="156">
        <v>1</v>
      </c>
      <c r="B45" s="156" t="str">
        <f>VLOOKUP($A45,RankingE,2,FALSE)</f>
        <v>Germany</v>
      </c>
      <c r="C45" s="157">
        <f>VLOOKUP($B45,Lookup10,3,FALSE)</f>
        <v>1</v>
      </c>
      <c r="D45" s="157">
        <f>VLOOKUP($B45,Lookup10,4,FALSE)</f>
        <v>1</v>
      </c>
      <c r="E45" s="157">
        <f>VLOOKUP($B45,Lookup10,5,FALSE)</f>
        <v>0</v>
      </c>
      <c r="F45" s="157">
        <f>VLOOKUP($B45,Lookup10,6,FALSE)</f>
        <v>0</v>
      </c>
      <c r="G45" s="157">
        <f>VLOOKUP($B45,Lookup10,7,FALSE)</f>
        <v>7</v>
      </c>
      <c r="H45" s="157">
        <f>VLOOKUP($B45,Lookup10,8,FALSE)</f>
        <v>1</v>
      </c>
      <c r="I45" s="157">
        <f>VLOOKUP($B45,Lookup10,9,FALSE)</f>
        <v>6</v>
      </c>
      <c r="J45" s="157">
        <f>VLOOKUP($B45,Lookup10,10,FALSE)</f>
        <v>3</v>
      </c>
      <c r="K45" s="201" t="str">
        <f>B45</f>
        <v>Germany</v>
      </c>
      <c r="L45" s="203"/>
      <c r="M45" s="202" t="str">
        <f>IFERROR(VLOOKUP($B45&amp;M$44,A37:G42,6,FALSE)&amp;"-"&amp;VLOOKUP($B45&amp;M$44,A37:G42,7,FALSE),VLOOKUP(M$44&amp;$B45,A37:G42,7,FALSE)&amp;"-"&amp;VLOOKUP(M$44&amp;$B45,A37:G42,6,FALSE))</f>
        <v>-</v>
      </c>
      <c r="N45" s="202" t="str">
        <f>IFERROR(VLOOKUP($B45&amp;N$44,A37:G42,6,FALSE)&amp;"-"&amp;VLOOKUP($B45&amp;N$44,A37:G42,7,FALSE),VLOOKUP(N$44&amp;$B45,A37:G42,7,FALSE)&amp;"-"&amp;VLOOKUP(N$44&amp;$B45,A37:G42,6,FALSE))</f>
        <v>-</v>
      </c>
      <c r="O45" s="202" t="str">
        <f>IFERROR(VLOOKUP($B45&amp;O$44,A37:G42,6,FALSE)&amp;"-"&amp;VLOOKUP($B45&amp;O$44,A37:G42,7,FALSE),VLOOKUP(O$44&amp;$B45,A37:G42,7,FALSE)&amp;"-"&amp;VLOOKUP(O$44&amp;$B45,A37:G42,6,FALSE))</f>
        <v>7-1</v>
      </c>
      <c r="P45" s="155"/>
    </row>
    <row r="46" spans="1:16" x14ac:dyDescent="0.25">
      <c r="A46" s="156">
        <v>2</v>
      </c>
      <c r="B46" s="156" t="str">
        <f>VLOOKUP($A46,RankingE,2,FALSE)</f>
        <v>Cote d'Ivorie</v>
      </c>
      <c r="C46" s="157">
        <f>VLOOKUP($B46,Lookup10,3,FALSE)</f>
        <v>1</v>
      </c>
      <c r="D46" s="157">
        <f>VLOOKUP($B46,Lookup10,4,FALSE)</f>
        <v>1</v>
      </c>
      <c r="E46" s="157">
        <f>VLOOKUP($B46,Lookup10,5,FALSE)</f>
        <v>0</v>
      </c>
      <c r="F46" s="157">
        <f>VLOOKUP($B46,Lookup10,6,FALSE)</f>
        <v>0</v>
      </c>
      <c r="G46" s="157">
        <f>VLOOKUP($B46,Lookup10,7,FALSE)</f>
        <v>1</v>
      </c>
      <c r="H46" s="157">
        <f>VLOOKUP($B46,Lookup10,8,FALSE)</f>
        <v>0</v>
      </c>
      <c r="I46" s="157">
        <f>VLOOKUP($B46,Lookup10,9,FALSE)</f>
        <v>1</v>
      </c>
      <c r="J46" s="157">
        <f>VLOOKUP($B46,Lookup10,10,FALSE)</f>
        <v>3</v>
      </c>
      <c r="K46" s="201" t="str">
        <f>B46</f>
        <v>Cote d'Ivorie</v>
      </c>
      <c r="L46" s="202" t="str">
        <f>IFERROR(VLOOKUP($B46&amp;L$44,A37:G42,6,FALSE)&amp;"-"&amp;VLOOKUP($B46&amp;L$44,A37:G42,7,FALSE),VLOOKUP(L$44&amp;$B46,A37:G42,7,FALSE)&amp;"-"&amp;VLOOKUP(L$44&amp;$B46,A37:G42,6,FALSE))</f>
        <v>-</v>
      </c>
      <c r="M46" s="203"/>
      <c r="N46" s="202" t="str">
        <f>IFERROR(VLOOKUP($B46&amp;N$44,A37:G42,6,FALSE)&amp;"-"&amp;VLOOKUP($B46&amp;N$44,A37:G42,7,FALSE),VLOOKUP(N$44&amp;$B46,A37:G42,7,FALSE)&amp;"-"&amp;VLOOKUP(N$44&amp;$B46,A37:G42,6,FALSE))</f>
        <v>1-0</v>
      </c>
      <c r="O46" s="202" t="str">
        <f>IFERROR(VLOOKUP($B46&amp;O$44,A37:G42,6,FALSE)&amp;"-"&amp;VLOOKUP($B46&amp;O$44,A37:G42,7,FALSE),VLOOKUP(O$44&amp;$B46,A37:G42,7,FALSE)&amp;"-"&amp;VLOOKUP(O$44&amp;$B46,A37:G42,6,FALSE))</f>
        <v>-</v>
      </c>
      <c r="P46" s="155"/>
    </row>
    <row r="47" spans="1:16" x14ac:dyDescent="0.25">
      <c r="A47" s="156">
        <v>3</v>
      </c>
      <c r="B47" s="156" t="str">
        <f>VLOOKUP($A47,RankingE,2,FALSE)</f>
        <v>Ecuador</v>
      </c>
      <c r="C47" s="157">
        <f>VLOOKUP($B47,Lookup10,3,FALSE)</f>
        <v>1</v>
      </c>
      <c r="D47" s="157">
        <f>VLOOKUP($B47,Lookup10,4,FALSE)</f>
        <v>0</v>
      </c>
      <c r="E47" s="157">
        <f>VLOOKUP($B47,Lookup10,5,FALSE)</f>
        <v>0</v>
      </c>
      <c r="F47" s="157">
        <f>VLOOKUP($B47,Lookup10,6,FALSE)</f>
        <v>1</v>
      </c>
      <c r="G47" s="157">
        <f>VLOOKUP($B47,Lookup10,7,FALSE)</f>
        <v>0</v>
      </c>
      <c r="H47" s="157">
        <f>VLOOKUP($B47,Lookup10,8,FALSE)</f>
        <v>1</v>
      </c>
      <c r="I47" s="157">
        <f>VLOOKUP($B47,Lookup10,9,FALSE)</f>
        <v>-1</v>
      </c>
      <c r="J47" s="157">
        <f>VLOOKUP($B47,Lookup10,10,FALSE)</f>
        <v>0</v>
      </c>
      <c r="K47" s="201" t="str">
        <f>B47</f>
        <v>Ecuador</v>
      </c>
      <c r="L47" s="202" t="str">
        <f>IFERROR(VLOOKUP($B47&amp;L$44,A37:G42,6,FALSE)&amp;"-"&amp;VLOOKUP($B47&amp;L$44,A37:G42,7,FALSE),VLOOKUP(L$44&amp;$B47,A37:G42,7,FALSE)&amp;"-"&amp;VLOOKUP(L$44&amp;$B47,A37:G42,6,FALSE))</f>
        <v>-</v>
      </c>
      <c r="M47" s="202" t="str">
        <f>IFERROR(VLOOKUP($B47&amp;M$44,A37:G42,6,FALSE)&amp;"-"&amp;VLOOKUP($B47&amp;M$44,A37:G42,7,FALSE),VLOOKUP(M$44&amp;$B47,A37:G42,7,FALSE)&amp;"-"&amp;VLOOKUP(M$44&amp;$B47,A37:G42,6,FALSE))</f>
        <v>0-1</v>
      </c>
      <c r="N47" s="203"/>
      <c r="O47" s="202" t="str">
        <f>IFERROR(VLOOKUP($B47&amp;O$44,A37:G42,6,FALSE)&amp;"-"&amp;VLOOKUP($B47&amp;O$44,A37:G42,7,FALSE),VLOOKUP(O$44&amp;$B47,A37:G42,7,FALSE)&amp;"-"&amp;VLOOKUP(O$44&amp;$B47,A37:G42,6,FALSE))</f>
        <v>-</v>
      </c>
      <c r="P47" s="155"/>
    </row>
    <row r="48" spans="1:16" x14ac:dyDescent="0.25">
      <c r="A48" s="156">
        <v>4</v>
      </c>
      <c r="B48" s="156" t="str">
        <f>VLOOKUP($A48,RankingE,2,FALSE)</f>
        <v>Curaçao</v>
      </c>
      <c r="C48" s="157">
        <f>VLOOKUP($B48,Lookup10,3,FALSE)</f>
        <v>1</v>
      </c>
      <c r="D48" s="157">
        <f>VLOOKUP($B48,Lookup10,4,FALSE)</f>
        <v>0</v>
      </c>
      <c r="E48" s="157">
        <f>VLOOKUP($B48,Lookup10,5,FALSE)</f>
        <v>0</v>
      </c>
      <c r="F48" s="157">
        <f>VLOOKUP($B48,Lookup10,6,FALSE)</f>
        <v>1</v>
      </c>
      <c r="G48" s="157">
        <f>VLOOKUP($B48,Lookup10,7,FALSE)</f>
        <v>1</v>
      </c>
      <c r="H48" s="157">
        <f>VLOOKUP($B48,Lookup10,8,FALSE)</f>
        <v>7</v>
      </c>
      <c r="I48" s="157">
        <f>VLOOKUP($B48,Lookup10,9,FALSE)</f>
        <v>-6</v>
      </c>
      <c r="J48" s="157">
        <f>VLOOKUP($B48,Lookup10,10,FALSE)</f>
        <v>0</v>
      </c>
      <c r="K48" s="201" t="str">
        <f>B48</f>
        <v>Curaçao</v>
      </c>
      <c r="L48" s="202" t="str">
        <f>IFERROR(VLOOKUP($B48&amp;L$44,A37:G42,6,FALSE)&amp;"-"&amp;VLOOKUP($B48&amp;L$44,A37:G42,7,FALSE),VLOOKUP(L$44&amp;$B48,A37:G42,7,FALSE)&amp;"-"&amp;VLOOKUP(L$44&amp;$B48,A37:G42,6,FALSE))</f>
        <v>1-7</v>
      </c>
      <c r="M48" s="202" t="str">
        <f>IFERROR(VLOOKUP($B48&amp;M$44,A37:G42,6,FALSE)&amp;"-"&amp;VLOOKUP($B48&amp;M$44,A37:G42,7,FALSE),VLOOKUP(M$44&amp;$B48,A37:G42,7,FALSE)&amp;"-"&amp;VLOOKUP(M$44&amp;$B48,A37:G42,6,FALSE))</f>
        <v>-</v>
      </c>
      <c r="N48" s="202" t="str">
        <f>IFERROR(VLOOKUP($B48&amp;N$44,A37:G42,6,FALSE)&amp;"-"&amp;VLOOKUP($B48&amp;N$44,A37:G42,7,FALSE),VLOOKUP(N$44&amp;$B48,A37:G42,7,FALSE)&amp;"-"&amp;VLOOKUP(N$44&amp;$B48,A37:G42,6,FALSE))</f>
        <v>-</v>
      </c>
      <c r="O48" s="203"/>
      <c r="P48" s="155"/>
    </row>
    <row r="49" spans="1:16" x14ac:dyDescent="0.25">
      <c r="A49" s="143"/>
      <c r="B49" s="143"/>
      <c r="C49" s="461">
        <f>SUM(C45:C48)</f>
        <v>4</v>
      </c>
      <c r="D49" s="143"/>
      <c r="E49" s="143"/>
      <c r="F49" s="143"/>
      <c r="G49" s="143"/>
      <c r="H49" s="143"/>
      <c r="I49" s="143"/>
      <c r="J49" s="143"/>
      <c r="K49" s="143"/>
      <c r="L49" s="143"/>
      <c r="M49" s="143"/>
      <c r="N49" s="143"/>
      <c r="O49" s="143"/>
      <c r="P49" s="143"/>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A9D5F-CBA6-45F0-8A0B-5B1055812F3B}">
  <sheetPr>
    <tabColor rgb="FFC00000"/>
  </sheetPr>
  <dimension ref="A1:Z49"/>
  <sheetViews>
    <sheetView workbookViewId="0">
      <pane ySplit="2" topLeftCell="A15" activePane="bottomLeft" state="frozen"/>
      <selection activeCell="C42" sqref="C42"/>
      <selection pane="bottomLeft" activeCell="C42" sqref="C42"/>
    </sheetView>
  </sheetViews>
  <sheetFormatPr defaultColWidth="16.7109375" defaultRowHeight="15" x14ac:dyDescent="0.25"/>
  <sheetData>
    <row r="1" spans="1:26" x14ac:dyDescent="0.25">
      <c r="A1" s="228" t="s">
        <v>320</v>
      </c>
      <c r="B1" s="216" t="str">
        <f>A2&amp;1</f>
        <v>F1</v>
      </c>
      <c r="C1" s="216" t="str">
        <f>A2&amp;2</f>
        <v>F2</v>
      </c>
      <c r="D1" s="216" t="str">
        <f>A2&amp;3</f>
        <v>F3</v>
      </c>
      <c r="E1" s="216" t="str">
        <f>A2&amp;4</f>
        <v>F4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307</v>
      </c>
      <c r="B2" s="217" t="str">
        <f>VLOOKUP(B1,Lookup08,2,FALSE)</f>
        <v>Netherlands</v>
      </c>
      <c r="C2" s="217" t="str">
        <f>VLOOKUP(C1,Lookup08,2,FALSE)</f>
        <v>Japan</v>
      </c>
      <c r="D2" s="217" t="str">
        <f>VLOOKUP(D1,Lookup08,2,FALSE)</f>
        <v>Sweden</v>
      </c>
      <c r="E2" s="217" t="str">
        <f>VLOOKUP(E1,Lookup08,2,FALSE)</f>
        <v>Tunisia</v>
      </c>
      <c r="F2" s="144"/>
      <c r="G2" s="144"/>
      <c r="H2" s="195"/>
      <c r="I2" s="196" t="str">
        <f>B2</f>
        <v>Netherlands</v>
      </c>
      <c r="J2" s="196" t="str">
        <f>C2</f>
        <v>Japan</v>
      </c>
      <c r="K2" s="196" t="str">
        <f>D2</f>
        <v>Sweden</v>
      </c>
      <c r="L2" s="196" t="str">
        <f>E2</f>
        <v>Tunisia</v>
      </c>
      <c r="M2" s="197" t="s">
        <v>26</v>
      </c>
      <c r="N2" s="195"/>
      <c r="O2" s="196" t="str">
        <f>I2</f>
        <v>Netherlands</v>
      </c>
      <c r="P2" s="196" t="str">
        <f t="shared" ref="P2:R2" si="0">J2</f>
        <v>Japan</v>
      </c>
      <c r="Q2" s="196" t="str">
        <f t="shared" si="0"/>
        <v>Sweden</v>
      </c>
      <c r="R2" s="196" t="str">
        <f t="shared" si="0"/>
        <v>Tunisia</v>
      </c>
      <c r="S2" s="197" t="s">
        <v>26</v>
      </c>
      <c r="T2" s="195"/>
      <c r="U2" s="196" t="str">
        <f>O2</f>
        <v>Netherlands</v>
      </c>
      <c r="V2" s="196" t="str">
        <f t="shared" ref="V2:X2" si="1">P2</f>
        <v>Japan</v>
      </c>
      <c r="W2" s="196" t="str">
        <f t="shared" si="1"/>
        <v>Sweden</v>
      </c>
      <c r="X2" s="196" t="str">
        <f t="shared" si="1"/>
        <v>Tunisia</v>
      </c>
      <c r="Y2" s="197" t="s">
        <v>26</v>
      </c>
    </row>
    <row r="3" spans="1:26" x14ac:dyDescent="0.25">
      <c r="A3" s="144"/>
      <c r="B3" s="144"/>
      <c r="C3" s="144"/>
      <c r="F3" s="144"/>
      <c r="G3" s="144"/>
      <c r="H3" s="195" t="str">
        <f>B2</f>
        <v>Netherlands</v>
      </c>
      <c r="I3" s="211"/>
      <c r="J3" s="196">
        <f>IF(G10=G11,1,0)</f>
        <v>1</v>
      </c>
      <c r="K3" s="196">
        <f>IF(G10=G12,1,0)</f>
        <v>0</v>
      </c>
      <c r="L3" s="196">
        <f>IF(G10=G13,1,0)</f>
        <v>0</v>
      </c>
      <c r="M3" s="197">
        <f>SUM(I3:L3)</f>
        <v>1</v>
      </c>
      <c r="N3" s="195" t="str">
        <f>H3</f>
        <v>Netherlands</v>
      </c>
      <c r="O3" s="211"/>
      <c r="P3" s="196">
        <f>IF(M10=M11,1,0)</f>
        <v>1</v>
      </c>
      <c r="Q3" s="196">
        <f>IF(M10=M12,1,0)</f>
        <v>0</v>
      </c>
      <c r="R3" s="196">
        <f>IF(M10=M13,1,0)</f>
        <v>0</v>
      </c>
      <c r="S3" s="197">
        <f>SUM(O3:R3)</f>
        <v>1</v>
      </c>
      <c r="T3" s="195" t="str">
        <f>N3</f>
        <v>Netherlands</v>
      </c>
      <c r="U3" s="211"/>
      <c r="V3" s="196">
        <f>IF(S10=S11,1,0)</f>
        <v>1</v>
      </c>
      <c r="W3" s="196">
        <f>IF(S10=S12,1,0)</f>
        <v>0</v>
      </c>
      <c r="X3" s="196">
        <f>IF(S10=S13,1,0)</f>
        <v>0</v>
      </c>
      <c r="Y3" s="197">
        <f>SUM(U3:X3)</f>
        <v>1</v>
      </c>
    </row>
    <row r="4" spans="1:26" x14ac:dyDescent="0.25">
      <c r="A4" s="144"/>
      <c r="B4" s="144"/>
      <c r="C4" s="144"/>
      <c r="F4" s="144"/>
      <c r="G4" s="144"/>
      <c r="H4" s="195" t="str">
        <f>C2</f>
        <v>Japan</v>
      </c>
      <c r="I4" s="196">
        <f>IF(G11=G10,1,0)</f>
        <v>1</v>
      </c>
      <c r="J4" s="211"/>
      <c r="K4" s="196">
        <f>IF(G11=G12,1,0)</f>
        <v>0</v>
      </c>
      <c r="L4" s="196">
        <f>IF(G11=G13,1,0)</f>
        <v>0</v>
      </c>
      <c r="M4" s="197">
        <f>SUM(I4:L4)</f>
        <v>1</v>
      </c>
      <c r="N4" s="195" t="str">
        <f t="shared" ref="N4:N6" si="2">H4</f>
        <v>Japan</v>
      </c>
      <c r="O4" s="196">
        <f>IF(M11=M10,1,0)</f>
        <v>1</v>
      </c>
      <c r="P4" s="211"/>
      <c r="Q4" s="196">
        <f>IF(M11=M12,1,0)</f>
        <v>0</v>
      </c>
      <c r="R4" s="196">
        <f>IF(M11=M13,1,0)</f>
        <v>0</v>
      </c>
      <c r="S4" s="197">
        <f>SUM(O4:R4)</f>
        <v>1</v>
      </c>
      <c r="T4" s="195" t="str">
        <f t="shared" ref="T4:T6" si="3">N4</f>
        <v>Japan</v>
      </c>
      <c r="U4" s="196">
        <f>IF(S11=S10,1,0)</f>
        <v>1</v>
      </c>
      <c r="V4" s="211"/>
      <c r="W4" s="196">
        <f>IF(S11=S12,1,0)</f>
        <v>0</v>
      </c>
      <c r="X4" s="196">
        <f>IF(S11=S13,1,0)</f>
        <v>0</v>
      </c>
      <c r="Y4" s="197">
        <f>SUM(U4:X4)</f>
        <v>1</v>
      </c>
    </row>
    <row r="5" spans="1:26" x14ac:dyDescent="0.25">
      <c r="A5" s="144"/>
      <c r="B5" s="144"/>
      <c r="C5" s="144"/>
      <c r="F5" s="144"/>
      <c r="G5" s="144"/>
      <c r="H5" s="195" t="str">
        <f>D2</f>
        <v>Sweden</v>
      </c>
      <c r="I5" s="196">
        <f>IF(G12=G10,1,0)</f>
        <v>0</v>
      </c>
      <c r="J5" s="196">
        <f>IF(G12=G11,1,0)</f>
        <v>0</v>
      </c>
      <c r="K5" s="211"/>
      <c r="L5" s="196">
        <f>IF(G12=G13,1,0)</f>
        <v>0</v>
      </c>
      <c r="M5" s="197">
        <f>SUM(I5:L5)</f>
        <v>0</v>
      </c>
      <c r="N5" s="195" t="str">
        <f t="shared" si="2"/>
        <v>Sweden</v>
      </c>
      <c r="O5" s="196">
        <f>IF(M12=M10,1,0)</f>
        <v>0</v>
      </c>
      <c r="P5" s="196">
        <f>IF(M12=M11,1,0)</f>
        <v>0</v>
      </c>
      <c r="Q5" s="211"/>
      <c r="R5" s="196">
        <f>IF(M12=M13,1,0)</f>
        <v>0</v>
      </c>
      <c r="S5" s="197">
        <f>SUM(O5:R5)</f>
        <v>0</v>
      </c>
      <c r="T5" s="195" t="str">
        <f t="shared" si="3"/>
        <v>Sweden</v>
      </c>
      <c r="U5" s="196">
        <f>IF(S12=S10,1,0)</f>
        <v>0</v>
      </c>
      <c r="V5" s="196">
        <f>IF(S12=S11,1,0)</f>
        <v>0</v>
      </c>
      <c r="W5" s="211"/>
      <c r="X5" s="196">
        <f>IF(S12=S13,1,0)</f>
        <v>0</v>
      </c>
      <c r="Y5" s="197">
        <f>SUM(U5:X5)</f>
        <v>0</v>
      </c>
    </row>
    <row r="6" spans="1:26" x14ac:dyDescent="0.25">
      <c r="A6" s="144"/>
      <c r="B6" s="144"/>
      <c r="C6" s="144"/>
      <c r="F6" s="144"/>
      <c r="G6" s="144"/>
      <c r="H6" s="198" t="str">
        <f>E2</f>
        <v>Tunisia</v>
      </c>
      <c r="I6" s="199">
        <f>IF(G13=G10,1,0)</f>
        <v>0</v>
      </c>
      <c r="J6" s="199">
        <f>IF(G13=G11,1,0)</f>
        <v>0</v>
      </c>
      <c r="K6" s="199">
        <f>IF(G13=G12,1,0)</f>
        <v>0</v>
      </c>
      <c r="L6" s="212"/>
      <c r="M6" s="200">
        <f>SUM(I6:L6)</f>
        <v>0</v>
      </c>
      <c r="N6" s="198" t="str">
        <f t="shared" si="2"/>
        <v>Tunisia</v>
      </c>
      <c r="O6" s="199">
        <f>IF(M13=M10,1,0)</f>
        <v>0</v>
      </c>
      <c r="P6" s="199">
        <f>IF(M13=M11,1,0)</f>
        <v>0</v>
      </c>
      <c r="Q6" s="199">
        <f>IF(M13=M12,1,0)</f>
        <v>0</v>
      </c>
      <c r="R6" s="212"/>
      <c r="S6" s="200">
        <f>SUM(O6:R6)</f>
        <v>0</v>
      </c>
      <c r="T6" s="198" t="str">
        <f t="shared" si="3"/>
        <v>Tunisia</v>
      </c>
      <c r="U6" s="199">
        <f>IF(S13=S10,1,0)</f>
        <v>0</v>
      </c>
      <c r="V6" s="199">
        <f>IF(S13=S11,1,0)</f>
        <v>0</v>
      </c>
      <c r="W6" s="199">
        <f>IF(S13=S12,1,0)</f>
        <v>0</v>
      </c>
      <c r="X6" s="212"/>
      <c r="Y6" s="200">
        <f>SUM(U6:X6)</f>
        <v>0</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Netherlands</v>
      </c>
      <c r="D9" s="190" t="str">
        <f>C2</f>
        <v>Japan</v>
      </c>
      <c r="E9" s="190" t="str">
        <f>D2</f>
        <v>Sweden</v>
      </c>
      <c r="F9" s="190" t="str">
        <f>E2</f>
        <v>Tunisia</v>
      </c>
      <c r="G9" s="191" t="s">
        <v>26</v>
      </c>
      <c r="H9" s="189"/>
      <c r="I9" s="190" t="str">
        <f>C9</f>
        <v>Netherlands</v>
      </c>
      <c r="J9" s="190" t="str">
        <f t="shared" ref="J9:L9" si="4">D9</f>
        <v>Japan</v>
      </c>
      <c r="K9" s="190" t="str">
        <f t="shared" si="4"/>
        <v>Sweden</v>
      </c>
      <c r="L9" s="190" t="str">
        <f t="shared" si="4"/>
        <v>Tunisia</v>
      </c>
      <c r="M9" s="191" t="s">
        <v>26</v>
      </c>
      <c r="N9" s="189"/>
      <c r="O9" s="190" t="str">
        <f>I9</f>
        <v>Netherlands</v>
      </c>
      <c r="P9" s="190" t="str">
        <f t="shared" ref="P9:R9" si="5">J9</f>
        <v>Japan</v>
      </c>
      <c r="Q9" s="190" t="str">
        <f t="shared" si="5"/>
        <v>Sweden</v>
      </c>
      <c r="R9" s="190" t="str">
        <f t="shared" si="5"/>
        <v>Tunisia</v>
      </c>
      <c r="S9" s="191" t="s">
        <v>26</v>
      </c>
      <c r="T9" s="189"/>
      <c r="U9" s="190" t="str">
        <f>O9</f>
        <v>Netherlands</v>
      </c>
      <c r="V9" s="190" t="str">
        <f t="shared" ref="V9:X9" si="6">P9</f>
        <v>Japan</v>
      </c>
      <c r="W9" s="190" t="str">
        <f t="shared" si="6"/>
        <v>Sweden</v>
      </c>
      <c r="X9" s="190" t="str">
        <f t="shared" si="6"/>
        <v>Tunisia</v>
      </c>
      <c r="Y9" s="191" t="s">
        <v>26</v>
      </c>
      <c r="Z9" s="227" t="s">
        <v>309</v>
      </c>
    </row>
    <row r="10" spans="1:26" x14ac:dyDescent="0.25">
      <c r="A10" s="144"/>
      <c r="B10" s="189" t="str">
        <f>B2</f>
        <v>Netherlands</v>
      </c>
      <c r="C10" s="204"/>
      <c r="D10" s="190">
        <f>H37</f>
        <v>1</v>
      </c>
      <c r="E10" s="190">
        <f>H39</f>
        <v>0</v>
      </c>
      <c r="F10" s="190">
        <f>I42</f>
        <v>0</v>
      </c>
      <c r="G10" s="191">
        <f>SUM(C10:F10)</f>
        <v>1</v>
      </c>
      <c r="H10" s="189" t="str">
        <f>B10</f>
        <v>Netherlands</v>
      </c>
      <c r="I10" s="218">
        <f>C10+I17/100+I24/10000</f>
        <v>0</v>
      </c>
      <c r="J10" s="219">
        <f t="shared" ref="J10:L10" si="7">D10+J17/100+J24/10000</f>
        <v>1.0002</v>
      </c>
      <c r="K10" s="219">
        <f t="shared" si="7"/>
        <v>0</v>
      </c>
      <c r="L10" s="219">
        <f t="shared" si="7"/>
        <v>0</v>
      </c>
      <c r="M10" s="220">
        <f>SUM(I10:L10)</f>
        <v>1.0002</v>
      </c>
      <c r="N10" s="189" t="str">
        <f>H10</f>
        <v>Netherlands</v>
      </c>
      <c r="O10" s="218">
        <f>I10+O17/100+O24/10000</f>
        <v>0</v>
      </c>
      <c r="P10" s="219">
        <f t="shared" ref="P10:R13" si="8">J10+P17/100+P24/10000</f>
        <v>1.0004</v>
      </c>
      <c r="Q10" s="219">
        <f t="shared" si="8"/>
        <v>0</v>
      </c>
      <c r="R10" s="219">
        <f t="shared" si="8"/>
        <v>0</v>
      </c>
      <c r="S10" s="220">
        <f>SUM(O10:R10)</f>
        <v>1.0004</v>
      </c>
      <c r="T10" s="189" t="str">
        <f>N10</f>
        <v>Netherlands</v>
      </c>
      <c r="U10" s="218">
        <f>O10+U17/100+U24/10000</f>
        <v>0</v>
      </c>
      <c r="V10" s="219">
        <f t="shared" ref="V10:X13" si="9">P10+V17/100+V24/10000</f>
        <v>1.0005999999999999</v>
      </c>
      <c r="W10" s="219">
        <f t="shared" si="9"/>
        <v>0</v>
      </c>
      <c r="X10" s="219">
        <f t="shared" si="9"/>
        <v>0</v>
      </c>
      <c r="Y10" s="220">
        <f>ROUND(SUM(U10:X10),8)</f>
        <v>1.0005999999999999</v>
      </c>
      <c r="Z10" s="224">
        <f>_xlfn.RANK.EQ(Y10,Y$10:Y$13,1)</f>
        <v>2</v>
      </c>
    </row>
    <row r="11" spans="1:26" x14ac:dyDescent="0.25">
      <c r="A11" s="144"/>
      <c r="B11" s="189" t="str">
        <f>C2</f>
        <v>Japan</v>
      </c>
      <c r="C11" s="190">
        <f>I37</f>
        <v>1</v>
      </c>
      <c r="D11" s="204"/>
      <c r="E11" s="190">
        <f>H41</f>
        <v>0</v>
      </c>
      <c r="F11" s="190">
        <f>I40</f>
        <v>0</v>
      </c>
      <c r="G11" s="191">
        <f>SUM(C11:F11)</f>
        <v>1</v>
      </c>
      <c r="H11" s="189" t="str">
        <f t="shared" ref="H11:H13" si="10">B11</f>
        <v>Japan</v>
      </c>
      <c r="I11" s="219">
        <f t="shared" ref="I11:L13" si="11">C11+I18/100+I25/10000</f>
        <v>1.0002</v>
      </c>
      <c r="J11" s="218">
        <f t="shared" si="11"/>
        <v>0</v>
      </c>
      <c r="K11" s="219">
        <f t="shared" si="11"/>
        <v>0</v>
      </c>
      <c r="L11" s="219">
        <f t="shared" si="11"/>
        <v>0</v>
      </c>
      <c r="M11" s="220">
        <f>SUM(I11:L11)</f>
        <v>1.0002</v>
      </c>
      <c r="N11" s="189" t="str">
        <f t="shared" ref="N11:N13" si="12">H11</f>
        <v>Japan</v>
      </c>
      <c r="O11" s="219">
        <f t="shared" ref="O11:O13" si="13">I11+O18/100+O25/10000</f>
        <v>1.0004</v>
      </c>
      <c r="P11" s="218">
        <f t="shared" si="8"/>
        <v>0</v>
      </c>
      <c r="Q11" s="219">
        <f t="shared" si="8"/>
        <v>0</v>
      </c>
      <c r="R11" s="219">
        <f t="shared" si="8"/>
        <v>0</v>
      </c>
      <c r="S11" s="220">
        <f>SUM(O11:R11)</f>
        <v>1.0004</v>
      </c>
      <c r="T11" s="189" t="str">
        <f t="shared" ref="T11:T13" si="14">N11</f>
        <v>Japan</v>
      </c>
      <c r="U11" s="219">
        <f t="shared" ref="U11:U13" si="15">O11+U18/100+U25/10000</f>
        <v>1.0005999999999999</v>
      </c>
      <c r="V11" s="218">
        <f t="shared" si="9"/>
        <v>0</v>
      </c>
      <c r="W11" s="219">
        <f t="shared" si="9"/>
        <v>0</v>
      </c>
      <c r="X11" s="219">
        <f t="shared" si="9"/>
        <v>0</v>
      </c>
      <c r="Y11" s="220">
        <f t="shared" ref="Y11:Y13" si="16">ROUND(SUM(U11:X11),8)</f>
        <v>1.0005999999999999</v>
      </c>
      <c r="Z11" s="224">
        <f t="shared" ref="Z11:Z13" si="17">_xlfn.RANK.EQ(Y11,Y$10:Y$13,1)</f>
        <v>2</v>
      </c>
    </row>
    <row r="12" spans="1:26" x14ac:dyDescent="0.25">
      <c r="A12" s="144"/>
      <c r="B12" s="189" t="str">
        <f>D2</f>
        <v>Sweden</v>
      </c>
      <c r="C12" s="190">
        <f>I39</f>
        <v>0</v>
      </c>
      <c r="D12" s="190">
        <f>I41</f>
        <v>0</v>
      </c>
      <c r="E12" s="204"/>
      <c r="F12" s="190">
        <f>H38</f>
        <v>3</v>
      </c>
      <c r="G12" s="191">
        <f>SUM(C12:F12)</f>
        <v>3</v>
      </c>
      <c r="H12" s="189" t="str">
        <f t="shared" si="10"/>
        <v>Sweden</v>
      </c>
      <c r="I12" s="219">
        <f t="shared" si="11"/>
        <v>0</v>
      </c>
      <c r="J12" s="219">
        <f t="shared" si="11"/>
        <v>0</v>
      </c>
      <c r="K12" s="218">
        <f t="shared" si="11"/>
        <v>0</v>
      </c>
      <c r="L12" s="219">
        <f t="shared" si="11"/>
        <v>3</v>
      </c>
      <c r="M12" s="220">
        <f>SUM(I12:L12)</f>
        <v>3</v>
      </c>
      <c r="N12" s="189" t="str">
        <f t="shared" si="12"/>
        <v>Sweden</v>
      </c>
      <c r="O12" s="219">
        <f t="shared" si="13"/>
        <v>0</v>
      </c>
      <c r="P12" s="219">
        <f t="shared" si="8"/>
        <v>0</v>
      </c>
      <c r="Q12" s="218">
        <f t="shared" si="8"/>
        <v>0</v>
      </c>
      <c r="R12" s="219">
        <f t="shared" si="8"/>
        <v>3</v>
      </c>
      <c r="S12" s="220">
        <f>SUM(O12:R12)</f>
        <v>3</v>
      </c>
      <c r="T12" s="189" t="str">
        <f t="shared" si="14"/>
        <v>Sweden</v>
      </c>
      <c r="U12" s="219">
        <f t="shared" si="15"/>
        <v>0</v>
      </c>
      <c r="V12" s="219">
        <f t="shared" si="9"/>
        <v>0</v>
      </c>
      <c r="W12" s="218">
        <f t="shared" si="9"/>
        <v>0</v>
      </c>
      <c r="X12" s="219">
        <f t="shared" si="9"/>
        <v>3</v>
      </c>
      <c r="Y12" s="220">
        <f t="shared" si="16"/>
        <v>3</v>
      </c>
      <c r="Z12" s="224">
        <f t="shared" si="17"/>
        <v>4</v>
      </c>
    </row>
    <row r="13" spans="1:26" x14ac:dyDescent="0.25">
      <c r="A13" s="144"/>
      <c r="B13" s="192" t="str">
        <f>E2</f>
        <v>Tunisia</v>
      </c>
      <c r="C13" s="193">
        <f>H42</f>
        <v>0</v>
      </c>
      <c r="D13" s="193">
        <f>H40</f>
        <v>0</v>
      </c>
      <c r="E13" s="193">
        <f>I38</f>
        <v>0</v>
      </c>
      <c r="F13" s="205"/>
      <c r="G13" s="194">
        <f>SUM(C13:F13)</f>
        <v>0</v>
      </c>
      <c r="H13" s="192" t="str">
        <f t="shared" si="10"/>
        <v>Tunisia</v>
      </c>
      <c r="I13" s="221">
        <f t="shared" si="11"/>
        <v>0</v>
      </c>
      <c r="J13" s="221">
        <f t="shared" si="11"/>
        <v>0</v>
      </c>
      <c r="K13" s="221">
        <f t="shared" si="11"/>
        <v>0</v>
      </c>
      <c r="L13" s="222">
        <f t="shared" si="11"/>
        <v>0</v>
      </c>
      <c r="M13" s="223">
        <f>SUM(I13:L13)</f>
        <v>0</v>
      </c>
      <c r="N13" s="192" t="str">
        <f t="shared" si="12"/>
        <v>Tunisia</v>
      </c>
      <c r="O13" s="221">
        <f t="shared" si="13"/>
        <v>0</v>
      </c>
      <c r="P13" s="221">
        <f t="shared" si="8"/>
        <v>0</v>
      </c>
      <c r="Q13" s="221">
        <f t="shared" si="8"/>
        <v>0</v>
      </c>
      <c r="R13" s="222">
        <f t="shared" si="8"/>
        <v>0</v>
      </c>
      <c r="S13" s="223">
        <f>SUM(O13:R13)</f>
        <v>0</v>
      </c>
      <c r="T13" s="192" t="str">
        <f t="shared" si="14"/>
        <v>Tunisia</v>
      </c>
      <c r="U13" s="221">
        <f t="shared" si="15"/>
        <v>0</v>
      </c>
      <c r="V13" s="221">
        <f t="shared" si="9"/>
        <v>0</v>
      </c>
      <c r="W13" s="221">
        <f t="shared" si="9"/>
        <v>0</v>
      </c>
      <c r="X13" s="222">
        <f t="shared" si="9"/>
        <v>0</v>
      </c>
      <c r="Y13" s="223">
        <f t="shared" si="16"/>
        <v>0</v>
      </c>
      <c r="Z13" s="225">
        <f t="shared" si="17"/>
        <v>1</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Netherlands</v>
      </c>
      <c r="D16" s="177" t="str">
        <f>C2</f>
        <v>Japan</v>
      </c>
      <c r="E16" s="177" t="str">
        <f>D2</f>
        <v>Sweden</v>
      </c>
      <c r="F16" s="177" t="str">
        <f>E2</f>
        <v>Tunisia</v>
      </c>
      <c r="G16" s="178" t="s">
        <v>26</v>
      </c>
      <c r="H16" s="183"/>
      <c r="I16" s="184" t="str">
        <f>C16</f>
        <v>Netherlands</v>
      </c>
      <c r="J16" s="184" t="str">
        <f t="shared" ref="J16:L16" si="18">D16</f>
        <v>Japan</v>
      </c>
      <c r="K16" s="184" t="str">
        <f t="shared" si="18"/>
        <v>Sweden</v>
      </c>
      <c r="L16" s="184" t="str">
        <f t="shared" si="18"/>
        <v>Tunisia</v>
      </c>
      <c r="M16" s="185" t="s">
        <v>26</v>
      </c>
      <c r="N16" s="183"/>
      <c r="O16" s="184" t="str">
        <f>I16</f>
        <v>Netherlands</v>
      </c>
      <c r="P16" s="184" t="str">
        <f t="shared" ref="P16:R16" si="19">J16</f>
        <v>Japan</v>
      </c>
      <c r="Q16" s="184" t="str">
        <f t="shared" si="19"/>
        <v>Sweden</v>
      </c>
      <c r="R16" s="184" t="str">
        <f t="shared" si="19"/>
        <v>Tunisia</v>
      </c>
      <c r="S16" s="185" t="s">
        <v>26</v>
      </c>
      <c r="T16" s="183"/>
      <c r="U16" s="184" t="str">
        <f>O16</f>
        <v>Netherlands</v>
      </c>
      <c r="V16" s="184" t="str">
        <f t="shared" ref="V16:X16" si="20">P16</f>
        <v>Japan</v>
      </c>
      <c r="W16" s="184" t="str">
        <f t="shared" si="20"/>
        <v>Sweden</v>
      </c>
      <c r="X16" s="184" t="str">
        <f t="shared" si="20"/>
        <v>Tunisia</v>
      </c>
      <c r="Y16" s="185" t="s">
        <v>26</v>
      </c>
    </row>
    <row r="17" spans="1:25" x14ac:dyDescent="0.25">
      <c r="A17" s="144"/>
      <c r="B17" s="176" t="str">
        <f>B2</f>
        <v>Netherlands</v>
      </c>
      <c r="C17" s="206"/>
      <c r="D17" s="179">
        <f>IFERROR(F37-G37,0)</f>
        <v>0</v>
      </c>
      <c r="E17" s="179">
        <f>IFERROR(F39-G39,0)</f>
        <v>0</v>
      </c>
      <c r="F17" s="179">
        <f>IFERROR(G42-F42,0)</f>
        <v>0</v>
      </c>
      <c r="G17" s="178">
        <f>SUM(C17:F17)</f>
        <v>0</v>
      </c>
      <c r="H17" s="183" t="str">
        <f>B17</f>
        <v>Netherlands</v>
      </c>
      <c r="I17" s="208"/>
      <c r="J17" s="184">
        <f>D17*J3</f>
        <v>0</v>
      </c>
      <c r="K17" s="184">
        <f>E17*K3</f>
        <v>0</v>
      </c>
      <c r="L17" s="184">
        <f>F17*L3</f>
        <v>0</v>
      </c>
      <c r="M17" s="185">
        <f>SUM(I17:L17)</f>
        <v>0</v>
      </c>
      <c r="N17" s="183" t="str">
        <f>H17</f>
        <v>Netherlands</v>
      </c>
      <c r="O17" s="208"/>
      <c r="P17" s="184">
        <f>J17*P3</f>
        <v>0</v>
      </c>
      <c r="Q17" s="184">
        <f>K17*Q3</f>
        <v>0</v>
      </c>
      <c r="R17" s="184">
        <f>L17*R3</f>
        <v>0</v>
      </c>
      <c r="S17" s="185">
        <f>SUM(O17:R17)</f>
        <v>0</v>
      </c>
      <c r="T17" s="183" t="str">
        <f>N17</f>
        <v>Netherlands</v>
      </c>
      <c r="U17" s="208"/>
      <c r="V17" s="184">
        <f>P17*V3</f>
        <v>0</v>
      </c>
      <c r="W17" s="184">
        <f>Q17*W3</f>
        <v>0</v>
      </c>
      <c r="X17" s="184">
        <f>R17*X3</f>
        <v>0</v>
      </c>
      <c r="Y17" s="185">
        <f>SUM(U17:X17)</f>
        <v>0</v>
      </c>
    </row>
    <row r="18" spans="1:25" x14ac:dyDescent="0.25">
      <c r="A18" s="144"/>
      <c r="B18" s="176" t="str">
        <f>C2</f>
        <v>Japan</v>
      </c>
      <c r="C18" s="179">
        <f>IFERROR(G37-F37,0)</f>
        <v>0</v>
      </c>
      <c r="D18" s="206"/>
      <c r="E18" s="179">
        <f>IFERROR(F41-G41,0)</f>
        <v>0</v>
      </c>
      <c r="F18" s="179">
        <f>IFERROR(G40-F40,0)</f>
        <v>0</v>
      </c>
      <c r="G18" s="178">
        <f>SUM(C18:F18)</f>
        <v>0</v>
      </c>
      <c r="H18" s="183" t="str">
        <f t="shared" ref="H18:H20" si="21">B18</f>
        <v>Japan</v>
      </c>
      <c r="I18" s="184">
        <f>C18*I4</f>
        <v>0</v>
      </c>
      <c r="J18" s="208"/>
      <c r="K18" s="184">
        <f>E18*K4</f>
        <v>0</v>
      </c>
      <c r="L18" s="184">
        <f>F18*L4</f>
        <v>0</v>
      </c>
      <c r="M18" s="185">
        <f>SUM(I18:L18)</f>
        <v>0</v>
      </c>
      <c r="N18" s="183" t="str">
        <f t="shared" ref="N18:N20" si="22">H18</f>
        <v>Japan</v>
      </c>
      <c r="O18" s="184">
        <f>I18*O4</f>
        <v>0</v>
      </c>
      <c r="P18" s="208"/>
      <c r="Q18" s="184">
        <f>K18*Q4</f>
        <v>0</v>
      </c>
      <c r="R18" s="184">
        <f>L18*R4</f>
        <v>0</v>
      </c>
      <c r="S18" s="185">
        <f>SUM(O18:R18)</f>
        <v>0</v>
      </c>
      <c r="T18" s="183" t="str">
        <f t="shared" ref="T18:T20" si="23">N18</f>
        <v>Japan</v>
      </c>
      <c r="U18" s="184">
        <f>O18*U4</f>
        <v>0</v>
      </c>
      <c r="V18" s="208"/>
      <c r="W18" s="184">
        <f>Q18*W4</f>
        <v>0</v>
      </c>
      <c r="X18" s="184">
        <f>R18*X4</f>
        <v>0</v>
      </c>
      <c r="Y18" s="185">
        <f>SUM(U18:X18)</f>
        <v>0</v>
      </c>
    </row>
    <row r="19" spans="1:25" x14ac:dyDescent="0.25">
      <c r="A19" s="144"/>
      <c r="B19" s="176" t="str">
        <f>D2</f>
        <v>Sweden</v>
      </c>
      <c r="C19" s="179">
        <f>IFERROR(G39-F39,0)</f>
        <v>0</v>
      </c>
      <c r="D19" s="179">
        <f>IFERROR(G41-F41,0)</f>
        <v>0</v>
      </c>
      <c r="E19" s="206"/>
      <c r="F19" s="179">
        <f>IFERROR(F38-G38,0)</f>
        <v>4</v>
      </c>
      <c r="G19" s="178">
        <f>SUM(C19:F19)</f>
        <v>4</v>
      </c>
      <c r="H19" s="183" t="str">
        <f t="shared" si="21"/>
        <v>Sweden</v>
      </c>
      <c r="I19" s="184">
        <f>C19*I5</f>
        <v>0</v>
      </c>
      <c r="J19" s="184">
        <f>D19*J5</f>
        <v>0</v>
      </c>
      <c r="K19" s="208"/>
      <c r="L19" s="184">
        <f>F19*L5</f>
        <v>0</v>
      </c>
      <c r="M19" s="185">
        <f>SUM(I19:L19)</f>
        <v>0</v>
      </c>
      <c r="N19" s="183" t="str">
        <f t="shared" si="22"/>
        <v>Sweden</v>
      </c>
      <c r="O19" s="184">
        <f>I19*O5</f>
        <v>0</v>
      </c>
      <c r="P19" s="184">
        <f>J19*P5</f>
        <v>0</v>
      </c>
      <c r="Q19" s="208"/>
      <c r="R19" s="184">
        <f>L19*R5</f>
        <v>0</v>
      </c>
      <c r="S19" s="185">
        <f>SUM(O19:R19)</f>
        <v>0</v>
      </c>
      <c r="T19" s="183" t="str">
        <f t="shared" si="23"/>
        <v>Sweden</v>
      </c>
      <c r="U19" s="184">
        <f>O19*U5</f>
        <v>0</v>
      </c>
      <c r="V19" s="184">
        <f>P19*V5</f>
        <v>0</v>
      </c>
      <c r="W19" s="208"/>
      <c r="X19" s="184">
        <f>R19*X5</f>
        <v>0</v>
      </c>
      <c r="Y19" s="185">
        <f>SUM(U19:X19)</f>
        <v>0</v>
      </c>
    </row>
    <row r="20" spans="1:25" x14ac:dyDescent="0.25">
      <c r="A20" s="144"/>
      <c r="B20" s="180" t="str">
        <f>E2</f>
        <v>Tunisia</v>
      </c>
      <c r="C20" s="181">
        <f>IFERROR(F42-G42,0)</f>
        <v>0</v>
      </c>
      <c r="D20" s="181">
        <f>IFERROR(F40-G40,0)</f>
        <v>0</v>
      </c>
      <c r="E20" s="181">
        <f>IFERROR(G38-F38,0)</f>
        <v>-4</v>
      </c>
      <c r="F20" s="207"/>
      <c r="G20" s="182">
        <f>SUM(C20:F20)</f>
        <v>-4</v>
      </c>
      <c r="H20" s="186" t="str">
        <f t="shared" si="21"/>
        <v>Tunisia</v>
      </c>
      <c r="I20" s="187">
        <f>C20*I6</f>
        <v>0</v>
      </c>
      <c r="J20" s="187">
        <f>D20*J6</f>
        <v>0</v>
      </c>
      <c r="K20" s="187">
        <f>E20*K6</f>
        <v>0</v>
      </c>
      <c r="L20" s="213"/>
      <c r="M20" s="188">
        <f>SUM(I20:L20)</f>
        <v>0</v>
      </c>
      <c r="N20" s="186" t="str">
        <f t="shared" si="22"/>
        <v>Tunisia</v>
      </c>
      <c r="O20" s="187">
        <f>I20*O6</f>
        <v>0</v>
      </c>
      <c r="P20" s="187">
        <f>J20*P6</f>
        <v>0</v>
      </c>
      <c r="Q20" s="187">
        <f>K20*Q6</f>
        <v>0</v>
      </c>
      <c r="R20" s="213"/>
      <c r="S20" s="188">
        <f>SUM(O20:R20)</f>
        <v>0</v>
      </c>
      <c r="T20" s="186" t="str">
        <f t="shared" si="23"/>
        <v>Tunisia</v>
      </c>
      <c r="U20" s="187">
        <f>O20*U6</f>
        <v>0</v>
      </c>
      <c r="V20" s="187">
        <f>P20*V6</f>
        <v>0</v>
      </c>
      <c r="W20" s="187">
        <f>Q20*W6</f>
        <v>0</v>
      </c>
      <c r="X20" s="213"/>
      <c r="Y20" s="188">
        <f>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Netherlands</v>
      </c>
      <c r="D23" s="164" t="str">
        <f>C2</f>
        <v>Japan</v>
      </c>
      <c r="E23" s="164" t="str">
        <f>D2</f>
        <v>Sweden</v>
      </c>
      <c r="F23" s="164" t="str">
        <f>E2</f>
        <v>Tunisia</v>
      </c>
      <c r="G23" s="165" t="s">
        <v>26</v>
      </c>
      <c r="H23" s="169"/>
      <c r="I23" s="170" t="str">
        <f>C23</f>
        <v>Netherlands</v>
      </c>
      <c r="J23" s="170" t="str">
        <f t="shared" ref="J23:L23" si="24">D23</f>
        <v>Japan</v>
      </c>
      <c r="K23" s="170" t="str">
        <f t="shared" si="24"/>
        <v>Sweden</v>
      </c>
      <c r="L23" s="170" t="str">
        <f t="shared" si="24"/>
        <v>Tunisia</v>
      </c>
      <c r="M23" s="171" t="s">
        <v>26</v>
      </c>
      <c r="N23" s="169"/>
      <c r="O23" s="170" t="str">
        <f>I23</f>
        <v>Netherlands</v>
      </c>
      <c r="P23" s="170" t="str">
        <f t="shared" ref="P23:R23" si="25">J23</f>
        <v>Japan</v>
      </c>
      <c r="Q23" s="170" t="str">
        <f t="shared" si="25"/>
        <v>Sweden</v>
      </c>
      <c r="R23" s="170" t="str">
        <f t="shared" si="25"/>
        <v>Tunisia</v>
      </c>
      <c r="S23" s="171" t="s">
        <v>26</v>
      </c>
      <c r="T23" s="169"/>
      <c r="U23" s="170" t="str">
        <f>O23</f>
        <v>Netherlands</v>
      </c>
      <c r="V23" s="170" t="str">
        <f t="shared" ref="V23:X23" si="26">P23</f>
        <v>Japan</v>
      </c>
      <c r="W23" s="170" t="str">
        <f t="shared" si="26"/>
        <v>Sweden</v>
      </c>
      <c r="X23" s="170" t="str">
        <f t="shared" si="26"/>
        <v>Tunisia</v>
      </c>
      <c r="Y23" s="171" t="s">
        <v>26</v>
      </c>
    </row>
    <row r="24" spans="1:25" x14ac:dyDescent="0.25">
      <c r="A24" s="143"/>
      <c r="B24" s="163" t="str">
        <f>B2</f>
        <v>Netherlands</v>
      </c>
      <c r="C24" s="209"/>
      <c r="D24" s="164">
        <f>IF(F37="",0,F37)</f>
        <v>2</v>
      </c>
      <c r="E24" s="164">
        <f>IF(F39="",0,F39)</f>
        <v>0</v>
      </c>
      <c r="F24" s="164">
        <f>IF(G42="",0,G42)</f>
        <v>0</v>
      </c>
      <c r="G24" s="165">
        <f>SUM(C24:F24)</f>
        <v>2</v>
      </c>
      <c r="H24" s="169" t="str">
        <f>B24</f>
        <v>Netherlands</v>
      </c>
      <c r="I24" s="214"/>
      <c r="J24" s="170">
        <f>D24*J3</f>
        <v>2</v>
      </c>
      <c r="K24" s="170">
        <f>E24*K3</f>
        <v>0</v>
      </c>
      <c r="L24" s="170">
        <f>F24*L3</f>
        <v>0</v>
      </c>
      <c r="M24" s="171">
        <f>SUM(I24:L24)</f>
        <v>2</v>
      </c>
      <c r="N24" s="169" t="str">
        <f>H24</f>
        <v>Netherlands</v>
      </c>
      <c r="O24" s="214"/>
      <c r="P24" s="170">
        <f>J24*P3</f>
        <v>2</v>
      </c>
      <c r="Q24" s="170">
        <f>K24*Q3</f>
        <v>0</v>
      </c>
      <c r="R24" s="170">
        <f>L24*R3</f>
        <v>0</v>
      </c>
      <c r="S24" s="171">
        <f>SUM(O24:R24)</f>
        <v>2</v>
      </c>
      <c r="T24" s="169" t="str">
        <f>N24</f>
        <v>Netherlands</v>
      </c>
      <c r="U24" s="214"/>
      <c r="V24" s="170">
        <f>P24*V3</f>
        <v>2</v>
      </c>
      <c r="W24" s="170">
        <f>Q24*W3</f>
        <v>0</v>
      </c>
      <c r="X24" s="170">
        <f>R24*X3</f>
        <v>0</v>
      </c>
      <c r="Y24" s="171">
        <f>SUM(U24:X24)</f>
        <v>2</v>
      </c>
    </row>
    <row r="25" spans="1:25" x14ac:dyDescent="0.25">
      <c r="A25" s="143"/>
      <c r="B25" s="163" t="str">
        <f>C2</f>
        <v>Japan</v>
      </c>
      <c r="C25" s="164">
        <f>IF(G37="",0,G37)</f>
        <v>2</v>
      </c>
      <c r="D25" s="209"/>
      <c r="E25" s="164">
        <f>IF(F41="",0,F41)</f>
        <v>0</v>
      </c>
      <c r="F25" s="164">
        <f>IF(G40="",0,G40)</f>
        <v>0</v>
      </c>
      <c r="G25" s="165">
        <f>SUM(C25:F25)</f>
        <v>2</v>
      </c>
      <c r="H25" s="169" t="str">
        <f t="shared" ref="H25:H27" si="27">B25</f>
        <v>Japan</v>
      </c>
      <c r="I25" s="170">
        <f>C25*I4</f>
        <v>2</v>
      </c>
      <c r="J25" s="214"/>
      <c r="K25" s="170">
        <f>E25*K4</f>
        <v>0</v>
      </c>
      <c r="L25" s="170">
        <f>F25*L4</f>
        <v>0</v>
      </c>
      <c r="M25" s="171">
        <f>SUM(I25:L25)</f>
        <v>2</v>
      </c>
      <c r="N25" s="169" t="str">
        <f t="shared" ref="N25:N27" si="28">H25</f>
        <v>Japan</v>
      </c>
      <c r="O25" s="170">
        <f>I25*O4</f>
        <v>2</v>
      </c>
      <c r="P25" s="214"/>
      <c r="Q25" s="170">
        <f>K25*Q4</f>
        <v>0</v>
      </c>
      <c r="R25" s="170">
        <f>L25*R4</f>
        <v>0</v>
      </c>
      <c r="S25" s="171">
        <f>SUM(O25:R25)</f>
        <v>2</v>
      </c>
      <c r="T25" s="169" t="str">
        <f t="shared" ref="T25:T27" si="29">N25</f>
        <v>Japan</v>
      </c>
      <c r="U25" s="170">
        <f>O25*U4</f>
        <v>2</v>
      </c>
      <c r="V25" s="214"/>
      <c r="W25" s="170">
        <f>Q25*W4</f>
        <v>0</v>
      </c>
      <c r="X25" s="170">
        <f>R25*X4</f>
        <v>0</v>
      </c>
      <c r="Y25" s="171">
        <f>SUM(U25:X25)</f>
        <v>2</v>
      </c>
    </row>
    <row r="26" spans="1:25" x14ac:dyDescent="0.25">
      <c r="A26" s="143"/>
      <c r="B26" s="163" t="str">
        <f>D2</f>
        <v>Sweden</v>
      </c>
      <c r="C26" s="164">
        <f>IF(G39="",0,G39)</f>
        <v>0</v>
      </c>
      <c r="D26" s="164">
        <f>IF(G41="",0,G41)</f>
        <v>0</v>
      </c>
      <c r="E26" s="209"/>
      <c r="F26" s="164">
        <f>IF(F38="",0,F38)</f>
        <v>5</v>
      </c>
      <c r="G26" s="165">
        <f>SUM(C26:F26)</f>
        <v>5</v>
      </c>
      <c r="H26" s="169" t="str">
        <f t="shared" si="27"/>
        <v>Sweden</v>
      </c>
      <c r="I26" s="170">
        <f>C26*I5</f>
        <v>0</v>
      </c>
      <c r="J26" s="170">
        <f>D26*J5</f>
        <v>0</v>
      </c>
      <c r="K26" s="214"/>
      <c r="L26" s="170">
        <f>F26*L5</f>
        <v>0</v>
      </c>
      <c r="M26" s="171">
        <f>SUM(I26:L26)</f>
        <v>0</v>
      </c>
      <c r="N26" s="169" t="str">
        <f t="shared" si="28"/>
        <v>Sweden</v>
      </c>
      <c r="O26" s="170">
        <f>I26*O5</f>
        <v>0</v>
      </c>
      <c r="P26" s="170">
        <f>J26*P5</f>
        <v>0</v>
      </c>
      <c r="Q26" s="214"/>
      <c r="R26" s="170">
        <f>L26*R5</f>
        <v>0</v>
      </c>
      <c r="S26" s="171">
        <f>SUM(O26:R26)</f>
        <v>0</v>
      </c>
      <c r="T26" s="169" t="str">
        <f t="shared" si="29"/>
        <v>Sweden</v>
      </c>
      <c r="U26" s="170">
        <f>O26*U5</f>
        <v>0</v>
      </c>
      <c r="V26" s="170">
        <f>P26*V5</f>
        <v>0</v>
      </c>
      <c r="W26" s="214"/>
      <c r="X26" s="170">
        <f>R26*X5</f>
        <v>0</v>
      </c>
      <c r="Y26" s="171">
        <f>SUM(U26:X26)</f>
        <v>0</v>
      </c>
    </row>
    <row r="27" spans="1:25" x14ac:dyDescent="0.25">
      <c r="A27" s="143"/>
      <c r="B27" s="166" t="str">
        <f>E2</f>
        <v>Tunisia</v>
      </c>
      <c r="C27" s="167">
        <f>IF(F42="",0,F42)</f>
        <v>0</v>
      </c>
      <c r="D27" s="167">
        <f>IF(F40="",0,F40)</f>
        <v>0</v>
      </c>
      <c r="E27" s="167">
        <f>IF(G38="",0,G38)</f>
        <v>1</v>
      </c>
      <c r="F27" s="210"/>
      <c r="G27" s="168">
        <f>SUM(C27:F27)</f>
        <v>1</v>
      </c>
      <c r="H27" s="172" t="str">
        <f t="shared" si="27"/>
        <v>Tunisia</v>
      </c>
      <c r="I27" s="173">
        <f>C27*I6</f>
        <v>0</v>
      </c>
      <c r="J27" s="173">
        <f>D27*J6</f>
        <v>0</v>
      </c>
      <c r="K27" s="173">
        <f>E27*K6</f>
        <v>0</v>
      </c>
      <c r="L27" s="215"/>
      <c r="M27" s="174">
        <f>SUM(I27:L27)</f>
        <v>0</v>
      </c>
      <c r="N27" s="172" t="str">
        <f t="shared" si="28"/>
        <v>Tunisia</v>
      </c>
      <c r="O27" s="173">
        <f>I27*O6</f>
        <v>0</v>
      </c>
      <c r="P27" s="173">
        <f>J27*P6</f>
        <v>0</v>
      </c>
      <c r="Q27" s="173">
        <f>K27*Q6</f>
        <v>0</v>
      </c>
      <c r="R27" s="215"/>
      <c r="S27" s="174">
        <f>SUM(O27:R27)</f>
        <v>0</v>
      </c>
      <c r="T27" s="172" t="str">
        <f t="shared" si="29"/>
        <v>Tunisia</v>
      </c>
      <c r="U27" s="173">
        <f>O27*U6</f>
        <v>0</v>
      </c>
      <c r="V27" s="173">
        <f>P27*V6</f>
        <v>0</v>
      </c>
      <c r="W27" s="173">
        <f>Q27*W6</f>
        <v>0</v>
      </c>
      <c r="X27" s="215"/>
      <c r="Y27" s="174">
        <f>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232" t="s">
        <v>631</v>
      </c>
      <c r="E29" s="232" t="s">
        <v>632</v>
      </c>
      <c r="F29" s="232" t="s">
        <v>633</v>
      </c>
      <c r="G29" s="232" t="s">
        <v>676</v>
      </c>
      <c r="H29" s="232" t="s">
        <v>411</v>
      </c>
      <c r="I29" s="232" t="s">
        <v>661</v>
      </c>
      <c r="J29" s="232" t="s">
        <v>634</v>
      </c>
      <c r="K29" s="233" t="s">
        <v>635</v>
      </c>
    </row>
    <row r="30" spans="1:25" x14ac:dyDescent="0.25">
      <c r="A30" s="234">
        <f>K30</f>
        <v>3</v>
      </c>
      <c r="B30" s="235" t="str">
        <f>B2</f>
        <v>Netherlands</v>
      </c>
      <c r="C30" s="236">
        <f>VLOOKUP($B30,Lookup10,3,FALSE)</f>
        <v>1</v>
      </c>
      <c r="D30" s="236">
        <f>VLOOKUP($B30,Lookup10,7,FALSE)</f>
        <v>2</v>
      </c>
      <c r="E30" s="236">
        <f>VLOOKUP($B30,Lookup10,8,FALSE)</f>
        <v>2</v>
      </c>
      <c r="F30" s="236">
        <f>VLOOKUP($B30,Lookup10,9,FALSE)</f>
        <v>0</v>
      </c>
      <c r="G30" s="237">
        <f>Z10</f>
        <v>2</v>
      </c>
      <c r="H30" s="236">
        <f>VLOOKUP($B30,Lookup10,11,FALSE)</f>
        <v>3</v>
      </c>
      <c r="I30" s="236">
        <f>VLOOKUP($B30,Lookup11,2,FALSE)</f>
        <v>8</v>
      </c>
      <c r="J30" s="238">
        <f>ROUND(D30*D$34+F30*F$34+G30*G$34-H30*H$34-I30*I$34,8)</f>
        <v>20001.9692</v>
      </c>
      <c r="K30" s="239">
        <f>RANK(J30,J$30:J$33,0)</f>
        <v>3</v>
      </c>
    </row>
    <row r="31" spans="1:25" x14ac:dyDescent="0.25">
      <c r="A31" s="234">
        <f t="shared" ref="A31:A33" si="30">K31</f>
        <v>2</v>
      </c>
      <c r="B31" s="235" t="str">
        <f>C2</f>
        <v>Japan</v>
      </c>
      <c r="C31" s="236">
        <f>VLOOKUP($B31,Lookup10,3,FALSE)</f>
        <v>1</v>
      </c>
      <c r="D31" s="236">
        <f>VLOOKUP($B31,Lookup10,7,FALSE)</f>
        <v>2</v>
      </c>
      <c r="E31" s="236">
        <f>VLOOKUP($B31,Lookup10,8,FALSE)</f>
        <v>2</v>
      </c>
      <c r="F31" s="236">
        <f>VLOOKUP($B31,Lookup10,9,FALSE)</f>
        <v>0</v>
      </c>
      <c r="G31" s="237">
        <f t="shared" ref="G31:G33" si="31">Z11</f>
        <v>2</v>
      </c>
      <c r="H31" s="236">
        <f>VLOOKUP($B31,Lookup10,11,FALSE)</f>
        <v>0</v>
      </c>
      <c r="I31" s="236">
        <f>VLOOKUP($B31,Lookup11,2,FALSE)</f>
        <v>17</v>
      </c>
      <c r="J31" s="238">
        <f t="shared" ref="J31:J33" si="32">ROUND(D31*D$34+F31*F$34+G31*G$34-H31*H$34-I31*I$34,8)</f>
        <v>20001.998299999999</v>
      </c>
      <c r="K31" s="239">
        <f>RANK(J31,J$30:J$33,0)</f>
        <v>2</v>
      </c>
    </row>
    <row r="32" spans="1:25" x14ac:dyDescent="0.25">
      <c r="A32" s="234">
        <f t="shared" si="30"/>
        <v>1</v>
      </c>
      <c r="B32" s="235" t="str">
        <f>D2</f>
        <v>Sweden</v>
      </c>
      <c r="C32" s="236">
        <f>VLOOKUP($B32,Lookup10,3,FALSE)</f>
        <v>1</v>
      </c>
      <c r="D32" s="236">
        <f>VLOOKUP($B32,Lookup10,7,FALSE)</f>
        <v>5</v>
      </c>
      <c r="E32" s="236">
        <f>VLOOKUP($B32,Lookup10,8,FALSE)</f>
        <v>1</v>
      </c>
      <c r="F32" s="236">
        <f>VLOOKUP($B32,Lookup10,9,FALSE)</f>
        <v>4</v>
      </c>
      <c r="G32" s="237">
        <f t="shared" si="31"/>
        <v>4</v>
      </c>
      <c r="H32" s="236">
        <f>VLOOKUP($B32,Lookup10,11,FALSE)</f>
        <v>0</v>
      </c>
      <c r="I32" s="236">
        <f>VLOOKUP($B32,Lookup11,2,FALSE)</f>
        <v>31</v>
      </c>
      <c r="J32" s="238">
        <f t="shared" si="32"/>
        <v>40404.996899999998</v>
      </c>
      <c r="K32" s="239">
        <f>RANK(J32,J$30:J$33,0)</f>
        <v>1</v>
      </c>
    </row>
    <row r="33" spans="1:16" x14ac:dyDescent="0.25">
      <c r="A33" s="234">
        <f t="shared" si="30"/>
        <v>4</v>
      </c>
      <c r="B33" s="235" t="str">
        <f>E2</f>
        <v>Tunisia</v>
      </c>
      <c r="C33" s="236">
        <f>VLOOKUP($B33,Lookup10,3,FALSE)</f>
        <v>1</v>
      </c>
      <c r="D33" s="236">
        <f>VLOOKUP($B33,Lookup10,7,FALSE)</f>
        <v>1</v>
      </c>
      <c r="E33" s="236">
        <f>VLOOKUP($B33,Lookup10,8,FALSE)</f>
        <v>5</v>
      </c>
      <c r="F33" s="236">
        <f>VLOOKUP($B33,Lookup10,9,FALSE)</f>
        <v>-4</v>
      </c>
      <c r="G33" s="237">
        <f t="shared" si="31"/>
        <v>1</v>
      </c>
      <c r="H33" s="236">
        <f>VLOOKUP($B33,Lookup10,11,FALSE)</f>
        <v>1</v>
      </c>
      <c r="I33" s="236">
        <f>VLOOKUP($B33,Lookup11,2,FALSE)</f>
        <v>35</v>
      </c>
      <c r="J33" s="238">
        <f t="shared" si="32"/>
        <v>9600.9865000000009</v>
      </c>
      <c r="K33" s="239">
        <f>RANK(J33,J$30:J$33,0)</f>
        <v>4</v>
      </c>
    </row>
    <row r="34" spans="1:16" x14ac:dyDescent="0.25">
      <c r="A34" s="240"/>
      <c r="B34" s="241" t="s">
        <v>636</v>
      </c>
      <c r="C34" s="242">
        <f>SUM(C30:C33)</f>
        <v>4</v>
      </c>
      <c r="D34" s="205">
        <v>1</v>
      </c>
      <c r="E34" s="205"/>
      <c r="F34" s="205">
        <v>100</v>
      </c>
      <c r="G34" s="205">
        <v>10000</v>
      </c>
      <c r="H34" s="205">
        <v>0.01</v>
      </c>
      <c r="I34" s="205">
        <v>1E-4</v>
      </c>
      <c r="J34" s="242"/>
      <c r="K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NetherlandsJapan</v>
      </c>
      <c r="B37" s="158" t="str">
        <f>B1&amp;C1</f>
        <v>F1F2</v>
      </c>
      <c r="C37" s="158">
        <f>IF(Data!Q38="",0,1)</f>
        <v>1</v>
      </c>
      <c r="D37" s="150" t="str">
        <f>B2</f>
        <v>Netherlands</v>
      </c>
      <c r="E37" s="150" t="str">
        <f>C2</f>
        <v>Japan</v>
      </c>
      <c r="F37" s="158">
        <f t="shared" ref="F37:F42" si="33">VLOOKUP($B37,Lookup12,2,FALSE)</f>
        <v>2</v>
      </c>
      <c r="G37" s="158">
        <f t="shared" ref="G37:G42" si="34">VLOOKUP($B37,Lookup12,3,FALSE)</f>
        <v>2</v>
      </c>
      <c r="H37" s="158">
        <f t="shared" ref="H37:H42" si="35">IF(C37=0,0,IF(F37&lt;G37,Lpts,IF(F37&gt;G37,Wpts,Dpts)))</f>
        <v>1</v>
      </c>
      <c r="I37" s="158">
        <f t="shared" ref="I37:I42" si="36">IF(C37=0,0,IF(G37&lt;F37,Lpts,IF(G37&gt;F37,Wpts,Dpts)))</f>
        <v>1</v>
      </c>
      <c r="J37" s="158">
        <f t="shared" ref="J37:J42" si="37">VLOOKUP($B37,Lookup12,4,FALSE)</f>
        <v>3</v>
      </c>
      <c r="K37" s="158">
        <f t="shared" ref="K37:K42" si="38">VLOOKUP($B37,Lookup12,5,FALSE)</f>
        <v>0</v>
      </c>
      <c r="L37" s="143"/>
      <c r="M37" s="143"/>
      <c r="N37" s="143"/>
      <c r="O37" s="143"/>
      <c r="P37" s="143"/>
    </row>
    <row r="38" spans="1:16" x14ac:dyDescent="0.25">
      <c r="A38" s="149" t="str">
        <f>D2&amp;E2</f>
        <v>SwedenTunisia</v>
      </c>
      <c r="B38" s="158" t="str">
        <f>D1&amp;E1</f>
        <v>F3F4</v>
      </c>
      <c r="C38" s="158">
        <f>IF(Data!Q39="",0,1)</f>
        <v>1</v>
      </c>
      <c r="D38" s="150" t="str">
        <f>D2</f>
        <v>Sweden</v>
      </c>
      <c r="E38" s="150" t="str">
        <f>E2</f>
        <v>Tunisia</v>
      </c>
      <c r="F38" s="158">
        <f t="shared" si="33"/>
        <v>5</v>
      </c>
      <c r="G38" s="158">
        <f t="shared" si="34"/>
        <v>1</v>
      </c>
      <c r="H38" s="158">
        <f t="shared" si="35"/>
        <v>3</v>
      </c>
      <c r="I38" s="158">
        <f t="shared" si="36"/>
        <v>0</v>
      </c>
      <c r="J38" s="158">
        <f t="shared" si="37"/>
        <v>0</v>
      </c>
      <c r="K38" s="158">
        <f t="shared" si="38"/>
        <v>1</v>
      </c>
      <c r="L38" s="143"/>
      <c r="M38" s="143"/>
      <c r="N38" s="143"/>
      <c r="O38" s="143"/>
      <c r="P38" s="143"/>
    </row>
    <row r="39" spans="1:16" x14ac:dyDescent="0.25">
      <c r="A39" s="149" t="str">
        <f>B2&amp;D2</f>
        <v>NetherlandsSweden</v>
      </c>
      <c r="B39" s="158" t="str">
        <f>B1&amp;D1</f>
        <v>F1F3</v>
      </c>
      <c r="C39" s="158">
        <f>IF(Data!Q40="",0,1)</f>
        <v>0</v>
      </c>
      <c r="D39" s="150" t="str">
        <f>B2</f>
        <v>Netherlands</v>
      </c>
      <c r="E39" s="150" t="str">
        <f>D2</f>
        <v>Sweden</v>
      </c>
      <c r="F39" s="158" t="str">
        <f t="shared" si="33"/>
        <v/>
      </c>
      <c r="G39" s="158" t="str">
        <f t="shared" si="34"/>
        <v/>
      </c>
      <c r="H39" s="158">
        <f t="shared" si="35"/>
        <v>0</v>
      </c>
      <c r="I39" s="158">
        <f t="shared" si="36"/>
        <v>0</v>
      </c>
      <c r="J39" s="158" t="str">
        <f t="shared" si="37"/>
        <v/>
      </c>
      <c r="K39" s="158" t="str">
        <f t="shared" si="38"/>
        <v/>
      </c>
      <c r="L39" s="143"/>
      <c r="M39" s="143"/>
      <c r="N39" s="143"/>
      <c r="O39" s="143"/>
      <c r="P39" s="143"/>
    </row>
    <row r="40" spans="1:16" x14ac:dyDescent="0.25">
      <c r="A40" s="149" t="str">
        <f>E2&amp;C2</f>
        <v>TunisiaJapan</v>
      </c>
      <c r="B40" s="158" t="str">
        <f>E1&amp;C1</f>
        <v>F4F2</v>
      </c>
      <c r="C40" s="158">
        <f>IF(Data!Q41="",0,1)</f>
        <v>0</v>
      </c>
      <c r="D40" s="150" t="str">
        <f>E2</f>
        <v>Tunisia</v>
      </c>
      <c r="E40" s="150" t="str">
        <f>C2</f>
        <v>Japan</v>
      </c>
      <c r="F40" s="158" t="str">
        <f t="shared" si="33"/>
        <v/>
      </c>
      <c r="G40" s="158" t="str">
        <f t="shared" si="34"/>
        <v/>
      </c>
      <c r="H40" s="158">
        <f t="shared" si="35"/>
        <v>0</v>
      </c>
      <c r="I40" s="158">
        <f t="shared" si="36"/>
        <v>0</v>
      </c>
      <c r="J40" s="158" t="str">
        <f t="shared" si="37"/>
        <v/>
      </c>
      <c r="K40" s="158" t="str">
        <f t="shared" si="38"/>
        <v/>
      </c>
      <c r="L40" s="143"/>
      <c r="M40" s="143"/>
      <c r="N40" s="143"/>
      <c r="O40" s="143"/>
      <c r="P40" s="143"/>
    </row>
    <row r="41" spans="1:16" x14ac:dyDescent="0.25">
      <c r="A41" s="149" t="str">
        <f>C2&amp;D2</f>
        <v>JapanSweden</v>
      </c>
      <c r="B41" s="158" t="str">
        <f>C1&amp;D1</f>
        <v>F2F3</v>
      </c>
      <c r="C41" s="158">
        <f>IF(Data!Q42="",0,1)</f>
        <v>0</v>
      </c>
      <c r="D41" s="150" t="str">
        <f>C2</f>
        <v>Japan</v>
      </c>
      <c r="E41" s="150" t="str">
        <f>D2</f>
        <v>Sweden</v>
      </c>
      <c r="F41" s="158" t="str">
        <f t="shared" si="33"/>
        <v/>
      </c>
      <c r="G41" s="158" t="str">
        <f t="shared" si="34"/>
        <v/>
      </c>
      <c r="H41" s="158">
        <f t="shared" si="35"/>
        <v>0</v>
      </c>
      <c r="I41" s="158">
        <f t="shared" si="36"/>
        <v>0</v>
      </c>
      <c r="J41" s="158" t="str">
        <f t="shared" si="37"/>
        <v/>
      </c>
      <c r="K41" s="158" t="str">
        <f t="shared" si="38"/>
        <v/>
      </c>
      <c r="L41" s="143"/>
      <c r="M41" s="143"/>
      <c r="N41" s="143"/>
      <c r="O41" s="143"/>
      <c r="P41" s="143"/>
    </row>
    <row r="42" spans="1:16" x14ac:dyDescent="0.25">
      <c r="A42" s="151" t="str">
        <f>E2&amp;B2</f>
        <v>TunisiaNetherlands</v>
      </c>
      <c r="B42" s="159" t="str">
        <f>E1&amp;B1</f>
        <v>F4F1</v>
      </c>
      <c r="C42" s="159">
        <f>IF(Data!Q43="",0,1)</f>
        <v>0</v>
      </c>
      <c r="D42" s="152" t="str">
        <f>E2</f>
        <v>Tunisia</v>
      </c>
      <c r="E42" s="152" t="str">
        <f>B2</f>
        <v>Netherlands</v>
      </c>
      <c r="F42" s="159" t="str">
        <f t="shared" si="33"/>
        <v/>
      </c>
      <c r="G42" s="159" t="str">
        <f t="shared" si="34"/>
        <v/>
      </c>
      <c r="H42" s="159">
        <f t="shared" si="35"/>
        <v>0</v>
      </c>
      <c r="I42" s="159">
        <f t="shared" si="36"/>
        <v>0</v>
      </c>
      <c r="J42" s="159" t="str">
        <f t="shared" si="37"/>
        <v/>
      </c>
      <c r="K42" s="159" t="str">
        <f t="shared" si="38"/>
        <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$B45</f>
        <v>Sweden</v>
      </c>
      <c r="M44" s="154" t="str">
        <f>$B46</f>
        <v>Japan</v>
      </c>
      <c r="N44" s="154" t="str">
        <f>$B47</f>
        <v>Netherlands</v>
      </c>
      <c r="O44" s="154" t="str">
        <f>$B48</f>
        <v>Tunisia</v>
      </c>
      <c r="P44" s="155"/>
    </row>
    <row r="45" spans="1:16" x14ac:dyDescent="0.25">
      <c r="A45" s="156">
        <v>1</v>
      </c>
      <c r="B45" s="156" t="str">
        <f>VLOOKUP($A45,RankingF,2,FALSE)</f>
        <v>Sweden</v>
      </c>
      <c r="C45" s="157">
        <f>VLOOKUP($B45,Lookup10,3,FALSE)</f>
        <v>1</v>
      </c>
      <c r="D45" s="157">
        <f>VLOOKUP($B45,Lookup10,4,FALSE)</f>
        <v>1</v>
      </c>
      <c r="E45" s="157">
        <f>VLOOKUP($B45,Lookup10,5,FALSE)</f>
        <v>0</v>
      </c>
      <c r="F45" s="157">
        <f>VLOOKUP($B45,Lookup10,6,FALSE)</f>
        <v>0</v>
      </c>
      <c r="G45" s="157">
        <f>VLOOKUP($B45,Lookup10,7,FALSE)</f>
        <v>5</v>
      </c>
      <c r="H45" s="157">
        <f>VLOOKUP($B45,Lookup10,8,FALSE)</f>
        <v>1</v>
      </c>
      <c r="I45" s="157">
        <f>VLOOKUP($B45,Lookup10,9,FALSE)</f>
        <v>4</v>
      </c>
      <c r="J45" s="157">
        <f>VLOOKUP($B45,Lookup10,10,FALSE)</f>
        <v>3</v>
      </c>
      <c r="K45" s="201" t="str">
        <f>B45</f>
        <v>Sweden</v>
      </c>
      <c r="L45" s="203"/>
      <c r="M45" s="202" t="str">
        <f>IFERROR(VLOOKUP($B45&amp;M$44,A37:G42,6,FALSE)&amp;"-"&amp;VLOOKUP($B45&amp;M$44,A37:G42,7,FALSE),VLOOKUP(M$44&amp;$B45,A37:G42,7,FALSE)&amp;"-"&amp;VLOOKUP(M$44&amp;$B45,A37:G42,6,FALSE))</f>
        <v>-</v>
      </c>
      <c r="N45" s="202" t="str">
        <f>IFERROR(VLOOKUP($B45&amp;N$44,A37:G42,6,FALSE)&amp;"-"&amp;VLOOKUP($B45&amp;N$44,A37:G42,7,FALSE),VLOOKUP(N$44&amp;$B45,A37:G42,7,FALSE)&amp;"-"&amp;VLOOKUP(N$44&amp;$B45,A37:G42,6,FALSE))</f>
        <v>-</v>
      </c>
      <c r="O45" s="202" t="str">
        <f>IFERROR(VLOOKUP($B45&amp;O$44,A37:G42,6,FALSE)&amp;"-"&amp;VLOOKUP($B45&amp;O$44,A37:G42,7,FALSE),VLOOKUP(O$44&amp;$B45,A37:G42,7,FALSE)&amp;"-"&amp;VLOOKUP(O$44&amp;$B45,A37:G42,6,FALSE))</f>
        <v>5-1</v>
      </c>
      <c r="P45" s="155"/>
    </row>
    <row r="46" spans="1:16" x14ac:dyDescent="0.25">
      <c r="A46" s="156">
        <v>2</v>
      </c>
      <c r="B46" s="156" t="str">
        <f>VLOOKUP($A46,RankingF,2,FALSE)</f>
        <v>Japan</v>
      </c>
      <c r="C46" s="157">
        <f>VLOOKUP($B46,Lookup10,3,FALSE)</f>
        <v>1</v>
      </c>
      <c r="D46" s="157">
        <f>VLOOKUP($B46,Lookup10,4,FALSE)</f>
        <v>0</v>
      </c>
      <c r="E46" s="157">
        <f>VLOOKUP($B46,Lookup10,5,FALSE)</f>
        <v>1</v>
      </c>
      <c r="F46" s="157">
        <f>VLOOKUP($B46,Lookup10,6,FALSE)</f>
        <v>0</v>
      </c>
      <c r="G46" s="157">
        <f>VLOOKUP($B46,Lookup10,7,FALSE)</f>
        <v>2</v>
      </c>
      <c r="H46" s="157">
        <f>VLOOKUP($B46,Lookup10,8,FALSE)</f>
        <v>2</v>
      </c>
      <c r="I46" s="157">
        <f>VLOOKUP($B46,Lookup10,9,FALSE)</f>
        <v>0</v>
      </c>
      <c r="J46" s="157">
        <f>VLOOKUP($B46,Lookup10,10,FALSE)</f>
        <v>1</v>
      </c>
      <c r="K46" s="201" t="str">
        <f>B46</f>
        <v>Japan</v>
      </c>
      <c r="L46" s="202" t="str">
        <f>IFERROR(VLOOKUP($B46&amp;L$44,A37:G42,6,FALSE)&amp;"-"&amp;VLOOKUP($B46&amp;L$44,A37:G42,7,FALSE),VLOOKUP(L$44&amp;$B46,A37:G42,7,FALSE)&amp;"-"&amp;VLOOKUP(L$44&amp;$B46,A37:G42,6,FALSE))</f>
        <v>-</v>
      </c>
      <c r="M46" s="203"/>
      <c r="N46" s="202" t="str">
        <f>IFERROR(VLOOKUP($B46&amp;N$44,A37:G42,6,FALSE)&amp;"-"&amp;VLOOKUP($B46&amp;N$44,A37:G42,7,FALSE),VLOOKUP(N$44&amp;$B46,A37:G42,7,FALSE)&amp;"-"&amp;VLOOKUP(N$44&amp;$B46,A37:G42,6,FALSE))</f>
        <v>2-2</v>
      </c>
      <c r="O46" s="202" t="str">
        <f>IFERROR(VLOOKUP($B46&amp;O$44,A37:G42,6,FALSE)&amp;"-"&amp;VLOOKUP($B46&amp;O$44,A37:G42,7,FALSE),VLOOKUP(O$44&amp;$B46,A37:G42,7,FALSE)&amp;"-"&amp;VLOOKUP(O$44&amp;$B46,A37:G42,6,FALSE))</f>
        <v>-</v>
      </c>
      <c r="P46" s="155"/>
    </row>
    <row r="47" spans="1:16" x14ac:dyDescent="0.25">
      <c r="A47" s="156">
        <v>3</v>
      </c>
      <c r="B47" s="156" t="str">
        <f>VLOOKUP($A47,RankingF,2,FALSE)</f>
        <v>Netherlands</v>
      </c>
      <c r="C47" s="157">
        <f>VLOOKUP($B47,Lookup10,3,FALSE)</f>
        <v>1</v>
      </c>
      <c r="D47" s="157">
        <f>VLOOKUP($B47,Lookup10,4,FALSE)</f>
        <v>0</v>
      </c>
      <c r="E47" s="157">
        <f>VLOOKUP($B47,Lookup10,5,FALSE)</f>
        <v>1</v>
      </c>
      <c r="F47" s="157">
        <f>VLOOKUP($B47,Lookup10,6,FALSE)</f>
        <v>0</v>
      </c>
      <c r="G47" s="157">
        <f>VLOOKUP($B47,Lookup10,7,FALSE)</f>
        <v>2</v>
      </c>
      <c r="H47" s="157">
        <f>VLOOKUP($B47,Lookup10,8,FALSE)</f>
        <v>2</v>
      </c>
      <c r="I47" s="157">
        <f>VLOOKUP($B47,Lookup10,9,FALSE)</f>
        <v>0</v>
      </c>
      <c r="J47" s="157">
        <f>VLOOKUP($B47,Lookup10,10,FALSE)</f>
        <v>1</v>
      </c>
      <c r="K47" s="201" t="str">
        <f>B47</f>
        <v>Netherlands</v>
      </c>
      <c r="L47" s="202" t="str">
        <f>IFERROR(VLOOKUP($B47&amp;L$44,A37:G42,6,FALSE)&amp;"-"&amp;VLOOKUP($B47&amp;L$44,A37:G42,7,FALSE),VLOOKUP(L$44&amp;$B47,A37:G42,7,FALSE)&amp;"-"&amp;VLOOKUP(L$44&amp;$B47,A37:G42,6,FALSE))</f>
        <v>-</v>
      </c>
      <c r="M47" s="202" t="str">
        <f>IFERROR(VLOOKUP($B47&amp;M$44,A37:G42,6,FALSE)&amp;"-"&amp;VLOOKUP($B47&amp;M$44,A37:G42,7,FALSE),VLOOKUP(M$44&amp;$B47,A37:G42,7,FALSE)&amp;"-"&amp;VLOOKUP(M$44&amp;$B47,A37:G42,6,FALSE))</f>
        <v>2-2</v>
      </c>
      <c r="N47" s="203"/>
      <c r="O47" s="202" t="str">
        <f>IFERROR(VLOOKUP($B47&amp;O$44,A37:G42,6,FALSE)&amp;"-"&amp;VLOOKUP($B47&amp;O$44,A37:G42,7,FALSE),VLOOKUP(O$44&amp;$B47,A37:G42,7,FALSE)&amp;"-"&amp;VLOOKUP(O$44&amp;$B47,A37:G42,6,FALSE))</f>
        <v>-</v>
      </c>
      <c r="P47" s="155"/>
    </row>
    <row r="48" spans="1:16" x14ac:dyDescent="0.25">
      <c r="A48" s="156">
        <v>4</v>
      </c>
      <c r="B48" s="156" t="str">
        <f>VLOOKUP($A48,RankingF,2,FALSE)</f>
        <v>Tunisia</v>
      </c>
      <c r="C48" s="157">
        <f>VLOOKUP($B48,Lookup10,3,FALSE)</f>
        <v>1</v>
      </c>
      <c r="D48" s="157">
        <f>VLOOKUP($B48,Lookup10,4,FALSE)</f>
        <v>0</v>
      </c>
      <c r="E48" s="157">
        <f>VLOOKUP($B48,Lookup10,5,FALSE)</f>
        <v>0</v>
      </c>
      <c r="F48" s="157">
        <f>VLOOKUP($B48,Lookup10,6,FALSE)</f>
        <v>1</v>
      </c>
      <c r="G48" s="157">
        <f>VLOOKUP($B48,Lookup10,7,FALSE)</f>
        <v>1</v>
      </c>
      <c r="H48" s="157">
        <f>VLOOKUP($B48,Lookup10,8,FALSE)</f>
        <v>5</v>
      </c>
      <c r="I48" s="157">
        <f>VLOOKUP($B48,Lookup10,9,FALSE)</f>
        <v>-4</v>
      </c>
      <c r="J48" s="157">
        <f>VLOOKUP($B48,Lookup10,10,FALSE)</f>
        <v>0</v>
      </c>
      <c r="K48" s="201" t="str">
        <f>B48</f>
        <v>Tunisia</v>
      </c>
      <c r="L48" s="202" t="str">
        <f>IFERROR(VLOOKUP($B48&amp;L$44,A37:G42,6,FALSE)&amp;"-"&amp;VLOOKUP($B48&amp;L$44,A37:G42,7,FALSE),VLOOKUP(L$44&amp;$B48,A37:G42,7,FALSE)&amp;"-"&amp;VLOOKUP(L$44&amp;$B48,A37:G42,6,FALSE))</f>
        <v>1-5</v>
      </c>
      <c r="M48" s="202" t="str">
        <f>IFERROR(VLOOKUP($B48&amp;M$44,A37:G42,6,FALSE)&amp;"-"&amp;VLOOKUP($B48&amp;M$44,A37:G42,7,FALSE),VLOOKUP(M$44&amp;$B48,A37:G42,7,FALSE)&amp;"-"&amp;VLOOKUP(M$44&amp;$B48,A37:G42,6,FALSE))</f>
        <v>-</v>
      </c>
      <c r="N48" s="202" t="str">
        <f>IFERROR(VLOOKUP($B48&amp;N$44,A37:G42,6,FALSE)&amp;"-"&amp;VLOOKUP($B48&amp;N$44,A37:G42,7,FALSE),VLOOKUP(N$44&amp;$B48,A37:G42,7,FALSE)&amp;"-"&amp;VLOOKUP(N$44&amp;$B48,A37:G42,6,FALSE))</f>
        <v>-</v>
      </c>
      <c r="O48" s="203"/>
      <c r="P48" s="155"/>
    </row>
    <row r="49" spans="1:16" x14ac:dyDescent="0.25">
      <c r="A49" s="143"/>
      <c r="B49" s="143"/>
      <c r="C49" s="461">
        <f>SUM(C45:C48)</f>
        <v>4</v>
      </c>
      <c r="D49" s="143"/>
      <c r="E49" s="143"/>
      <c r="F49" s="143"/>
      <c r="G49" s="143"/>
      <c r="H49" s="143"/>
      <c r="I49" s="143"/>
      <c r="J49" s="143"/>
      <c r="K49" s="143"/>
      <c r="L49" s="143"/>
      <c r="M49" s="143"/>
      <c r="N49" s="143"/>
      <c r="O49" s="143"/>
      <c r="P49" s="143"/>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7C0BD-5722-47BA-9463-0BC129E61A78}">
  <sheetPr>
    <tabColor rgb="FF7030A0"/>
  </sheetPr>
  <dimension ref="A1:Z49"/>
  <sheetViews>
    <sheetView workbookViewId="0">
      <pane ySplit="2" topLeftCell="A20" activePane="bottomLeft" state="frozen"/>
      <selection activeCell="C49" sqref="C49"/>
      <selection pane="bottomLeft" activeCell="C42" sqref="C42"/>
    </sheetView>
  </sheetViews>
  <sheetFormatPr defaultColWidth="16.7109375" defaultRowHeight="15" x14ac:dyDescent="0.25"/>
  <cols>
    <col min="1" max="1" width="16.7109375" customWidth="1"/>
  </cols>
  <sheetData>
    <row r="1" spans="1:26" x14ac:dyDescent="0.25">
      <c r="A1" s="228" t="s">
        <v>320</v>
      </c>
      <c r="B1" s="216" t="str">
        <f>A2&amp;1</f>
        <v>B1</v>
      </c>
      <c r="C1" s="216" t="str">
        <f>A2&amp;2</f>
        <v>B2</v>
      </c>
      <c r="D1" s="216" t="str">
        <f>A2&amp;3</f>
        <v>B3</v>
      </c>
      <c r="E1" s="216" t="str">
        <f>A2&amp;4</f>
        <v>B4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326</v>
      </c>
      <c r="B2" s="217" t="str">
        <f>VLOOKUP(B1,Lookup08,2,FALSE)</f>
        <v>Canada</v>
      </c>
      <c r="C2" s="217" t="str">
        <f>VLOOKUP(C1,Lookup08,2,FALSE)</f>
        <v>Bosnia-Herzegovina</v>
      </c>
      <c r="D2" s="217" t="str">
        <f>VLOOKUP(D1,Lookup08,2,FALSE)</f>
        <v>Qatar</v>
      </c>
      <c r="E2" s="217" t="str">
        <f>VLOOKUP(E1,Lookup08,2,FALSE)</f>
        <v>Switzerland</v>
      </c>
      <c r="F2" s="144"/>
      <c r="G2" s="144"/>
      <c r="H2" s="195"/>
      <c r="I2" s="196" t="str">
        <f>B2</f>
        <v>Canada</v>
      </c>
      <c r="J2" s="196" t="str">
        <f>C2</f>
        <v>Bosnia-Herzegovina</v>
      </c>
      <c r="K2" s="196" t="str">
        <f>D2</f>
        <v>Qatar</v>
      </c>
      <c r="L2" s="196" t="str">
        <f>E2</f>
        <v>Switzerland</v>
      </c>
      <c r="M2" s="197" t="s">
        <v>26</v>
      </c>
      <c r="N2" s="195"/>
      <c r="O2" s="196" t="str">
        <f>I2</f>
        <v>Canada</v>
      </c>
      <c r="P2" s="196" t="str">
        <f t="shared" ref="P2:R2" si="0">J2</f>
        <v>Bosnia-Herzegovina</v>
      </c>
      <c r="Q2" s="196" t="str">
        <f t="shared" si="0"/>
        <v>Qatar</v>
      </c>
      <c r="R2" s="196" t="str">
        <f t="shared" si="0"/>
        <v>Switzerland</v>
      </c>
      <c r="S2" s="197" t="s">
        <v>26</v>
      </c>
      <c r="T2" s="195"/>
      <c r="U2" s="196" t="str">
        <f>O2</f>
        <v>Canada</v>
      </c>
      <c r="V2" s="196" t="str">
        <f t="shared" ref="V2:X2" si="1">P2</f>
        <v>Bosnia-Herzegovina</v>
      </c>
      <c r="W2" s="196" t="str">
        <f t="shared" si="1"/>
        <v>Qatar</v>
      </c>
      <c r="X2" s="196" t="str">
        <f t="shared" si="1"/>
        <v>Switzerland</v>
      </c>
      <c r="Y2" s="197" t="s">
        <v>26</v>
      </c>
    </row>
    <row r="3" spans="1:26" x14ac:dyDescent="0.25">
      <c r="A3" s="144"/>
      <c r="B3" s="144"/>
      <c r="C3" s="144"/>
      <c r="F3" s="144"/>
      <c r="G3" s="144"/>
      <c r="H3" s="195" t="str">
        <f>B2</f>
        <v>Canada</v>
      </c>
      <c r="I3" s="211"/>
      <c r="J3" s="196">
        <f ca="1">IF(G10=G11,1,0)</f>
        <v>0</v>
      </c>
      <c r="K3" s="196">
        <f ca="1">IF(G10=G12,1,0)</f>
        <v>0</v>
      </c>
      <c r="L3" s="196">
        <f ca="1">IF(G10=G13,1,0)</f>
        <v>0</v>
      </c>
      <c r="M3" s="197">
        <f ca="1">SUM(I3:L3)</f>
        <v>0</v>
      </c>
      <c r="N3" s="195" t="str">
        <f>H3</f>
        <v>Canada</v>
      </c>
      <c r="O3" s="211"/>
      <c r="P3" s="196">
        <f ca="1">IF(M10=M11,1,0)</f>
        <v>0</v>
      </c>
      <c r="Q3" s="196">
        <f ca="1">IF(M10=M12,1,0)</f>
        <v>0</v>
      </c>
      <c r="R3" s="196">
        <f ca="1">IF(M10=M13,1,0)</f>
        <v>0</v>
      </c>
      <c r="S3" s="197">
        <f ca="1">SUM(O3:R3)</f>
        <v>0</v>
      </c>
      <c r="T3" s="195" t="str">
        <f>N3</f>
        <v>Canada</v>
      </c>
      <c r="U3" s="211"/>
      <c r="V3" s="196">
        <f ca="1">IF(S10=S11,1,0)</f>
        <v>0</v>
      </c>
      <c r="W3" s="196">
        <f ca="1">IF(S10=S12,1,0)</f>
        <v>0</v>
      </c>
      <c r="X3" s="196">
        <f ca="1">IF(S10=S13,1,0)</f>
        <v>0</v>
      </c>
      <c r="Y3" s="197">
        <f ca="1">SUM(U3:X3)</f>
        <v>0</v>
      </c>
    </row>
    <row r="4" spans="1:26" x14ac:dyDescent="0.25">
      <c r="A4" s="144"/>
      <c r="B4" s="144"/>
      <c r="C4" s="144"/>
      <c r="F4" s="144"/>
      <c r="G4" s="144"/>
      <c r="H4" s="195" t="str">
        <f>C2</f>
        <v>Bosnia-Herzegovina</v>
      </c>
      <c r="I4" s="196">
        <f ca="1">IF(G11=G10,1,0)</f>
        <v>0</v>
      </c>
      <c r="J4" s="211"/>
      <c r="K4" s="196">
        <f ca="1">IF(G11=G12,1,0)</f>
        <v>1</v>
      </c>
      <c r="L4" s="196">
        <f ca="1">IF(G11=G13,1,0)</f>
        <v>0</v>
      </c>
      <c r="M4" s="197">
        <f ca="1">SUM(I4:L4)</f>
        <v>1</v>
      </c>
      <c r="N4" s="195" t="str">
        <f t="shared" ref="N4:N6" si="2">H4</f>
        <v>Bosnia-Herzegovina</v>
      </c>
      <c r="O4" s="196">
        <f ca="1">IF(M11=M10,1,0)</f>
        <v>0</v>
      </c>
      <c r="P4" s="211"/>
      <c r="Q4" s="196">
        <f ca="1">IF(M11=M12,1,0)</f>
        <v>1</v>
      </c>
      <c r="R4" s="196">
        <f ca="1">IF(M11=M13,1,0)</f>
        <v>0</v>
      </c>
      <c r="S4" s="197">
        <f ca="1">SUM(O4:R4)</f>
        <v>1</v>
      </c>
      <c r="T4" s="195" t="str">
        <f t="shared" ref="T4:T6" si="3">N4</f>
        <v>Bosnia-Herzegovina</v>
      </c>
      <c r="U4" s="196">
        <f ca="1">IF(S11=S10,1,0)</f>
        <v>0</v>
      </c>
      <c r="V4" s="211"/>
      <c r="W4" s="196">
        <f ca="1">IF(S11=S12,1,0)</f>
        <v>1</v>
      </c>
      <c r="X4" s="196">
        <f ca="1">IF(S11=S13,1,0)</f>
        <v>0</v>
      </c>
      <c r="Y4" s="197">
        <f ca="1">SUM(U4:X4)</f>
        <v>1</v>
      </c>
    </row>
    <row r="5" spans="1:26" x14ac:dyDescent="0.25">
      <c r="A5" s="144"/>
      <c r="B5" s="144"/>
      <c r="C5" s="144"/>
      <c r="F5" s="144"/>
      <c r="G5" s="144"/>
      <c r="H5" s="195" t="str">
        <f>D2</f>
        <v>Qatar</v>
      </c>
      <c r="I5" s="196">
        <f ca="1">IF(G12=G10,1,0)</f>
        <v>0</v>
      </c>
      <c r="J5" s="196">
        <f ca="1">IF(G12=G11,1,0)</f>
        <v>1</v>
      </c>
      <c r="K5" s="211"/>
      <c r="L5" s="196">
        <f ca="1">IF(G12=G13,1,0)</f>
        <v>0</v>
      </c>
      <c r="M5" s="197">
        <f ca="1">SUM(I5:L5)</f>
        <v>1</v>
      </c>
      <c r="N5" s="195" t="str">
        <f t="shared" si="2"/>
        <v>Qatar</v>
      </c>
      <c r="O5" s="196">
        <f ca="1">IF(M12=M10,1,0)</f>
        <v>0</v>
      </c>
      <c r="P5" s="196">
        <f ca="1">IF(M12=M11,1,0)</f>
        <v>1</v>
      </c>
      <c r="Q5" s="211"/>
      <c r="R5" s="196">
        <f ca="1">IF(M12=M13,1,0)</f>
        <v>0</v>
      </c>
      <c r="S5" s="197">
        <f ca="1">SUM(O5:R5)</f>
        <v>1</v>
      </c>
      <c r="T5" s="195" t="str">
        <f t="shared" si="3"/>
        <v>Qatar</v>
      </c>
      <c r="U5" s="196">
        <f ca="1">IF(S12=S10,1,0)</f>
        <v>0</v>
      </c>
      <c r="V5" s="196">
        <f ca="1">IF(S12=S11,1,0)</f>
        <v>1</v>
      </c>
      <c r="W5" s="211"/>
      <c r="X5" s="196">
        <f ca="1">IF(S12=S13,1,0)</f>
        <v>0</v>
      </c>
      <c r="Y5" s="197">
        <f ca="1">SUM(U5:X5)</f>
        <v>1</v>
      </c>
    </row>
    <row r="6" spans="1:26" x14ac:dyDescent="0.25">
      <c r="A6" s="144"/>
      <c r="B6" s="144"/>
      <c r="C6" s="144"/>
      <c r="F6" s="144"/>
      <c r="G6" s="144"/>
      <c r="H6" s="198" t="str">
        <f>E2</f>
        <v>Switzerland</v>
      </c>
      <c r="I6" s="199">
        <f ca="1">IF(G13=G10,1,0)</f>
        <v>0</v>
      </c>
      <c r="J6" s="199">
        <f ca="1">IF(G13=G11,1,0)</f>
        <v>0</v>
      </c>
      <c r="K6" s="199">
        <f ca="1">IF(G13=G12,1,0)</f>
        <v>0</v>
      </c>
      <c r="L6" s="212"/>
      <c r="M6" s="200">
        <f ca="1">SUM(I6:L6)</f>
        <v>0</v>
      </c>
      <c r="N6" s="198" t="str">
        <f t="shared" si="2"/>
        <v>Switzerland</v>
      </c>
      <c r="O6" s="199">
        <f ca="1">IF(M13=M10,1,0)</f>
        <v>0</v>
      </c>
      <c r="P6" s="199">
        <f ca="1">IF(M13=M11,1,0)</f>
        <v>0</v>
      </c>
      <c r="Q6" s="199">
        <f ca="1">IF(M13=M12,1,0)</f>
        <v>0</v>
      </c>
      <c r="R6" s="212"/>
      <c r="S6" s="200">
        <f ca="1">SUM(O6:R6)</f>
        <v>0</v>
      </c>
      <c r="T6" s="198" t="str">
        <f t="shared" si="3"/>
        <v>Switzerland</v>
      </c>
      <c r="U6" s="199">
        <f ca="1">IF(S13=S10,1,0)</f>
        <v>0</v>
      </c>
      <c r="V6" s="199">
        <f ca="1">IF(S13=S11,1,0)</f>
        <v>0</v>
      </c>
      <c r="W6" s="199">
        <f ca="1">IF(S13=S12,1,0)</f>
        <v>0</v>
      </c>
      <c r="X6" s="212"/>
      <c r="Y6" s="200">
        <f ca="1">SUM(U6:X6)</f>
        <v>0</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Canada</v>
      </c>
      <c r="D9" s="190" t="str">
        <f>C2</f>
        <v>Bosnia-Herzegovina</v>
      </c>
      <c r="E9" s="190" t="str">
        <f>D2</f>
        <v>Qatar</v>
      </c>
      <c r="F9" s="190" t="str">
        <f>E2</f>
        <v>Switzerland</v>
      </c>
      <c r="G9" s="191" t="s">
        <v>26</v>
      </c>
      <c r="H9" s="189"/>
      <c r="I9" s="190" t="str">
        <f>C9</f>
        <v>Canada</v>
      </c>
      <c r="J9" s="190" t="str">
        <f t="shared" ref="J9:L9" si="4">D9</f>
        <v>Bosnia-Herzegovina</v>
      </c>
      <c r="K9" s="190" t="str">
        <f t="shared" si="4"/>
        <v>Qatar</v>
      </c>
      <c r="L9" s="190" t="str">
        <f t="shared" si="4"/>
        <v>Switzerland</v>
      </c>
      <c r="M9" s="191" t="s">
        <v>26</v>
      </c>
      <c r="N9" s="189"/>
      <c r="O9" s="190" t="str">
        <f>I9</f>
        <v>Canada</v>
      </c>
      <c r="P9" s="190" t="str">
        <f t="shared" ref="P9:R9" si="5">J9</f>
        <v>Bosnia-Herzegovina</v>
      </c>
      <c r="Q9" s="190" t="str">
        <f t="shared" si="5"/>
        <v>Qatar</v>
      </c>
      <c r="R9" s="190" t="str">
        <f t="shared" si="5"/>
        <v>Switzerland</v>
      </c>
      <c r="S9" s="191" t="s">
        <v>26</v>
      </c>
      <c r="T9" s="189"/>
      <c r="U9" s="190" t="str">
        <f>O9</f>
        <v>Canada</v>
      </c>
      <c r="V9" s="190" t="str">
        <f t="shared" ref="V9:X9" si="6">P9</f>
        <v>Bosnia-Herzegovina</v>
      </c>
      <c r="W9" s="190" t="str">
        <f t="shared" si="6"/>
        <v>Qatar</v>
      </c>
      <c r="X9" s="190" t="str">
        <f t="shared" si="6"/>
        <v>Switzerland</v>
      </c>
      <c r="Y9" s="191" t="s">
        <v>26</v>
      </c>
      <c r="Z9" s="227" t="s">
        <v>309</v>
      </c>
    </row>
    <row r="10" spans="1:26" x14ac:dyDescent="0.25">
      <c r="A10" s="144"/>
      <c r="B10" s="189" t="str">
        <f>B2</f>
        <v>Canada</v>
      </c>
      <c r="C10" s="204"/>
      <c r="D10" s="190">
        <f>H37</f>
        <v>1</v>
      </c>
      <c r="E10" s="190">
        <f ca="1">H39</f>
        <v>3</v>
      </c>
      <c r="F10" s="190">
        <f ca="1">I42</f>
        <v>0</v>
      </c>
      <c r="G10" s="191">
        <f ca="1">SUM(C10:F10)</f>
        <v>4</v>
      </c>
      <c r="H10" s="189" t="str">
        <f>B10</f>
        <v>Canada</v>
      </c>
      <c r="I10" s="218">
        <f>C10+I17/100+I24/10000</f>
        <v>0</v>
      </c>
      <c r="J10" s="219">
        <f t="shared" ref="J10:L10" ca="1" si="7">D10+J17/100+J24/10000</f>
        <v>1</v>
      </c>
      <c r="K10" s="219">
        <f t="shared" ca="1" si="7"/>
        <v>3</v>
      </c>
      <c r="L10" s="219">
        <f t="shared" ca="1" si="7"/>
        <v>0</v>
      </c>
      <c r="M10" s="220">
        <f ca="1">SUM(I10:L10)</f>
        <v>4</v>
      </c>
      <c r="N10" s="189" t="str">
        <f>H10</f>
        <v>Canada</v>
      </c>
      <c r="O10" s="218">
        <f>I10+O17/100+O24/10000</f>
        <v>0</v>
      </c>
      <c r="P10" s="219">
        <f t="shared" ref="P10:R13" ca="1" si="8">J10+P17/100+P24/10000</f>
        <v>1</v>
      </c>
      <c r="Q10" s="219">
        <f t="shared" ca="1" si="8"/>
        <v>3</v>
      </c>
      <c r="R10" s="219">
        <f t="shared" ca="1" si="8"/>
        <v>0</v>
      </c>
      <c r="S10" s="220">
        <f ca="1">SUM(O10:R10)</f>
        <v>4</v>
      </c>
      <c r="T10" s="189" t="str">
        <f>N10</f>
        <v>Canada</v>
      </c>
      <c r="U10" s="218">
        <f>O10+U17/100+U24/10000</f>
        <v>0</v>
      </c>
      <c r="V10" s="219">
        <f t="shared" ref="V10:X13" ca="1" si="9">P10+V17/100+V24/10000</f>
        <v>1</v>
      </c>
      <c r="W10" s="219">
        <f t="shared" ca="1" si="9"/>
        <v>3</v>
      </c>
      <c r="X10" s="219">
        <f t="shared" ca="1" si="9"/>
        <v>0</v>
      </c>
      <c r="Y10" s="220">
        <f ca="1">ROUND(SUM(U10:X10),8)</f>
        <v>4</v>
      </c>
      <c r="Z10" s="224">
        <f ca="1">_xlfn.RANK.EQ(Y10,Y$10:Y$13,1)</f>
        <v>3</v>
      </c>
    </row>
    <row r="11" spans="1:26" x14ac:dyDescent="0.25">
      <c r="A11" s="144"/>
      <c r="B11" s="189" t="str">
        <f>C2</f>
        <v>Bosnia-Herzegovina</v>
      </c>
      <c r="C11" s="190">
        <f>I37</f>
        <v>1</v>
      </c>
      <c r="D11" s="204"/>
      <c r="E11" s="190">
        <f ca="1">H41</f>
        <v>1</v>
      </c>
      <c r="F11" s="190">
        <f ca="1">I40</f>
        <v>0</v>
      </c>
      <c r="G11" s="191">
        <f ca="1">SUM(C11:F11)</f>
        <v>2</v>
      </c>
      <c r="H11" s="189" t="str">
        <f t="shared" ref="H11:H13" si="10">B11</f>
        <v>Bosnia-Herzegovina</v>
      </c>
      <c r="I11" s="219">
        <f t="shared" ref="I11:L13" ca="1" si="11">C11+I18/100+I25/10000</f>
        <v>1</v>
      </c>
      <c r="J11" s="218">
        <f t="shared" si="11"/>
        <v>0</v>
      </c>
      <c r="K11" s="219">
        <f t="shared" ca="1" si="11"/>
        <v>1</v>
      </c>
      <c r="L11" s="219">
        <f t="shared" ca="1" si="11"/>
        <v>0</v>
      </c>
      <c r="M11" s="220">
        <f ca="1">SUM(I11:L11)</f>
        <v>2</v>
      </c>
      <c r="N11" s="189" t="str">
        <f t="shared" ref="N11:N13" si="12">H11</f>
        <v>Bosnia-Herzegovina</v>
      </c>
      <c r="O11" s="219">
        <f t="shared" ref="O11:O13" ca="1" si="13">I11+O18/100+O25/10000</f>
        <v>1</v>
      </c>
      <c r="P11" s="218">
        <f t="shared" si="8"/>
        <v>0</v>
      </c>
      <c r="Q11" s="219">
        <f t="shared" ca="1" si="8"/>
        <v>1</v>
      </c>
      <c r="R11" s="219">
        <f t="shared" ca="1" si="8"/>
        <v>0</v>
      </c>
      <c r="S11" s="220">
        <f ca="1">SUM(O11:R11)</f>
        <v>2</v>
      </c>
      <c r="T11" s="189" t="str">
        <f t="shared" ref="T11:T13" si="14">N11</f>
        <v>Bosnia-Herzegovina</v>
      </c>
      <c r="U11" s="219">
        <f t="shared" ref="U11:U13" ca="1" si="15">O11+U18/100+U25/10000</f>
        <v>1</v>
      </c>
      <c r="V11" s="218">
        <f t="shared" si="9"/>
        <v>0</v>
      </c>
      <c r="W11" s="219">
        <f t="shared" ca="1" si="9"/>
        <v>1</v>
      </c>
      <c r="X11" s="219">
        <f t="shared" ca="1" si="9"/>
        <v>0</v>
      </c>
      <c r="Y11" s="220">
        <f t="shared" ref="Y11:Y13" ca="1" si="16">ROUND(SUM(U11:X11),8)</f>
        <v>2</v>
      </c>
      <c r="Z11" s="224">
        <f t="shared" ref="Z11:Z13" ca="1" si="17">_xlfn.RANK.EQ(Y11,Y$10:Y$13,1)</f>
        <v>1</v>
      </c>
    </row>
    <row r="12" spans="1:26" x14ac:dyDescent="0.25">
      <c r="A12" s="144"/>
      <c r="B12" s="189" t="str">
        <f>D2</f>
        <v>Qatar</v>
      </c>
      <c r="C12" s="190">
        <f ca="1">I39</f>
        <v>0</v>
      </c>
      <c r="D12" s="190">
        <f ca="1">I41</f>
        <v>1</v>
      </c>
      <c r="E12" s="204"/>
      <c r="F12" s="190">
        <f>H38</f>
        <v>1</v>
      </c>
      <c r="G12" s="191">
        <f ca="1">SUM(C12:F12)</f>
        <v>2</v>
      </c>
      <c r="H12" s="189" t="str">
        <f t="shared" si="10"/>
        <v>Qatar</v>
      </c>
      <c r="I12" s="219">
        <f t="shared" ca="1" si="11"/>
        <v>0</v>
      </c>
      <c r="J12" s="219">
        <f t="shared" ca="1" si="11"/>
        <v>1</v>
      </c>
      <c r="K12" s="218">
        <f t="shared" si="11"/>
        <v>0</v>
      </c>
      <c r="L12" s="219">
        <f t="shared" ca="1" si="11"/>
        <v>1</v>
      </c>
      <c r="M12" s="220">
        <f ca="1">SUM(I12:L12)</f>
        <v>2</v>
      </c>
      <c r="N12" s="189" t="str">
        <f t="shared" si="12"/>
        <v>Qatar</v>
      </c>
      <c r="O12" s="219">
        <f t="shared" ca="1" si="13"/>
        <v>0</v>
      </c>
      <c r="P12" s="219">
        <f t="shared" ca="1" si="8"/>
        <v>1</v>
      </c>
      <c r="Q12" s="218">
        <f t="shared" si="8"/>
        <v>0</v>
      </c>
      <c r="R12" s="219">
        <f t="shared" ca="1" si="8"/>
        <v>1</v>
      </c>
      <c r="S12" s="220">
        <f ca="1">SUM(O12:R12)</f>
        <v>2</v>
      </c>
      <c r="T12" s="189" t="str">
        <f t="shared" si="14"/>
        <v>Qatar</v>
      </c>
      <c r="U12" s="219">
        <f t="shared" ca="1" si="15"/>
        <v>0</v>
      </c>
      <c r="V12" s="219">
        <f t="shared" ca="1" si="9"/>
        <v>1</v>
      </c>
      <c r="W12" s="218">
        <f t="shared" si="9"/>
        <v>0</v>
      </c>
      <c r="X12" s="219">
        <f t="shared" ca="1" si="9"/>
        <v>1</v>
      </c>
      <c r="Y12" s="220">
        <f t="shared" ca="1" si="16"/>
        <v>2</v>
      </c>
      <c r="Z12" s="224">
        <f t="shared" ca="1" si="17"/>
        <v>1</v>
      </c>
    </row>
    <row r="13" spans="1:26" x14ac:dyDescent="0.25">
      <c r="A13" s="144"/>
      <c r="B13" s="192" t="str">
        <f>E2</f>
        <v>Switzerland</v>
      </c>
      <c r="C13" s="193">
        <f ca="1">H42</f>
        <v>3</v>
      </c>
      <c r="D13" s="193">
        <f ca="1">H40</f>
        <v>3</v>
      </c>
      <c r="E13" s="193">
        <f>I38</f>
        <v>1</v>
      </c>
      <c r="F13" s="205"/>
      <c r="G13" s="194">
        <f ca="1">SUM(C13:F13)</f>
        <v>7</v>
      </c>
      <c r="H13" s="192" t="str">
        <f t="shared" si="10"/>
        <v>Switzerland</v>
      </c>
      <c r="I13" s="221">
        <f t="shared" ca="1" si="11"/>
        <v>3</v>
      </c>
      <c r="J13" s="221">
        <f t="shared" ca="1" si="11"/>
        <v>3</v>
      </c>
      <c r="K13" s="221">
        <f t="shared" ca="1" si="11"/>
        <v>1</v>
      </c>
      <c r="L13" s="222">
        <f t="shared" si="11"/>
        <v>0</v>
      </c>
      <c r="M13" s="223">
        <f ca="1">SUM(I13:L13)</f>
        <v>7</v>
      </c>
      <c r="N13" s="192" t="str">
        <f t="shared" si="12"/>
        <v>Switzerland</v>
      </c>
      <c r="O13" s="221">
        <f t="shared" ca="1" si="13"/>
        <v>3</v>
      </c>
      <c r="P13" s="221">
        <f t="shared" ca="1" si="8"/>
        <v>3</v>
      </c>
      <c r="Q13" s="221">
        <f t="shared" ca="1" si="8"/>
        <v>1</v>
      </c>
      <c r="R13" s="222">
        <f t="shared" si="8"/>
        <v>0</v>
      </c>
      <c r="S13" s="223">
        <f ca="1">SUM(O13:R13)</f>
        <v>7</v>
      </c>
      <c r="T13" s="192" t="str">
        <f t="shared" si="14"/>
        <v>Switzerland</v>
      </c>
      <c r="U13" s="221">
        <f t="shared" ca="1" si="15"/>
        <v>3</v>
      </c>
      <c r="V13" s="221">
        <f t="shared" ca="1" si="9"/>
        <v>3</v>
      </c>
      <c r="W13" s="221">
        <f t="shared" ca="1" si="9"/>
        <v>1</v>
      </c>
      <c r="X13" s="222">
        <f t="shared" si="9"/>
        <v>0</v>
      </c>
      <c r="Y13" s="223">
        <f t="shared" ca="1" si="16"/>
        <v>7</v>
      </c>
      <c r="Z13" s="225">
        <f t="shared" ca="1" si="17"/>
        <v>4</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Canada</v>
      </c>
      <c r="D16" s="177" t="str">
        <f>C2</f>
        <v>Bosnia-Herzegovina</v>
      </c>
      <c r="E16" s="177" t="str">
        <f>D2</f>
        <v>Qatar</v>
      </c>
      <c r="F16" s="177" t="str">
        <f>E2</f>
        <v>Switzerland</v>
      </c>
      <c r="G16" s="178" t="s">
        <v>26</v>
      </c>
      <c r="H16" s="183"/>
      <c r="I16" s="184" t="str">
        <f>C16</f>
        <v>Canada</v>
      </c>
      <c r="J16" s="184" t="str">
        <f t="shared" ref="J16:L16" si="18">D16</f>
        <v>Bosnia-Herzegovina</v>
      </c>
      <c r="K16" s="184" t="str">
        <f t="shared" si="18"/>
        <v>Qatar</v>
      </c>
      <c r="L16" s="184" t="str">
        <f t="shared" si="18"/>
        <v>Switzerland</v>
      </c>
      <c r="M16" s="185" t="s">
        <v>26</v>
      </c>
      <c r="N16" s="183"/>
      <c r="O16" s="184" t="str">
        <f>I16</f>
        <v>Canada</v>
      </c>
      <c r="P16" s="184" t="str">
        <f t="shared" ref="P16:R16" si="19">J16</f>
        <v>Bosnia-Herzegovina</v>
      </c>
      <c r="Q16" s="184" t="str">
        <f t="shared" si="19"/>
        <v>Qatar</v>
      </c>
      <c r="R16" s="184" t="str">
        <f t="shared" si="19"/>
        <v>Switzerland</v>
      </c>
      <c r="S16" s="185" t="s">
        <v>26</v>
      </c>
      <c r="T16" s="183"/>
      <c r="U16" s="184" t="str">
        <f>O16</f>
        <v>Canada</v>
      </c>
      <c r="V16" s="184" t="str">
        <f t="shared" ref="V16:X16" si="20">P16</f>
        <v>Bosnia-Herzegovina</v>
      </c>
      <c r="W16" s="184" t="str">
        <f t="shared" si="20"/>
        <v>Qatar</v>
      </c>
      <c r="X16" s="184" t="str">
        <f t="shared" si="20"/>
        <v>Switzerland</v>
      </c>
      <c r="Y16" s="185" t="s">
        <v>26</v>
      </c>
    </row>
    <row r="17" spans="1:25" x14ac:dyDescent="0.25">
      <c r="A17" s="144"/>
      <c r="B17" s="176" t="str">
        <f>B2</f>
        <v>Canada</v>
      </c>
      <c r="C17" s="206"/>
      <c r="D17" s="179">
        <f>IFERROR(F37-G37,0)</f>
        <v>0</v>
      </c>
      <c r="E17" s="179">
        <f ca="1">IFERROR(F39-G39,0)</f>
        <v>1</v>
      </c>
      <c r="F17" s="179">
        <f ca="1">IFERROR(G42-F42,0)</f>
        <v>-1</v>
      </c>
      <c r="G17" s="178">
        <f ca="1">SUM(C17:F17)</f>
        <v>0</v>
      </c>
      <c r="H17" s="183" t="str">
        <f>B17</f>
        <v>Canada</v>
      </c>
      <c r="I17" s="208"/>
      <c r="J17" s="184">
        <f ca="1">D17*J3</f>
        <v>0</v>
      </c>
      <c r="K17" s="184">
        <f ca="1">E17*K3</f>
        <v>0</v>
      </c>
      <c r="L17" s="184">
        <f ca="1">F17*L3</f>
        <v>0</v>
      </c>
      <c r="M17" s="185">
        <f ca="1">SUM(I17:L17)</f>
        <v>0</v>
      </c>
      <c r="N17" s="183" t="str">
        <f>H17</f>
        <v>Canada</v>
      </c>
      <c r="O17" s="208"/>
      <c r="P17" s="184">
        <f ca="1">J17*P3</f>
        <v>0</v>
      </c>
      <c r="Q17" s="184">
        <f ca="1">K17*Q3</f>
        <v>0</v>
      </c>
      <c r="R17" s="184">
        <f ca="1">L17*R3</f>
        <v>0</v>
      </c>
      <c r="S17" s="185">
        <f ca="1">SUM(O17:R17)</f>
        <v>0</v>
      </c>
      <c r="T17" s="183" t="str">
        <f>N17</f>
        <v>Canada</v>
      </c>
      <c r="U17" s="208"/>
      <c r="V17" s="184">
        <f ca="1">P17*V3</f>
        <v>0</v>
      </c>
      <c r="W17" s="184">
        <f ca="1">Q17*W3</f>
        <v>0</v>
      </c>
      <c r="X17" s="184">
        <f ca="1">R17*X3</f>
        <v>0</v>
      </c>
      <c r="Y17" s="185">
        <f ca="1">SUM(U17:X17)</f>
        <v>0</v>
      </c>
    </row>
    <row r="18" spans="1:25" x14ac:dyDescent="0.25">
      <c r="A18" s="144"/>
      <c r="B18" s="176" t="str">
        <f>C2</f>
        <v>Bosnia-Herzegovina</v>
      </c>
      <c r="C18" s="179">
        <f>IFERROR(G37-F37,0)</f>
        <v>0</v>
      </c>
      <c r="D18" s="206"/>
      <c r="E18" s="179">
        <f ca="1">IFERROR(F41-G41,0)</f>
        <v>0</v>
      </c>
      <c r="F18" s="179">
        <f ca="1">IFERROR(G40-F40,0)</f>
        <v>-1</v>
      </c>
      <c r="G18" s="178">
        <f ca="1">SUM(C18:F18)</f>
        <v>-1</v>
      </c>
      <c r="H18" s="183" t="str">
        <f t="shared" ref="H18:H20" si="21">B18</f>
        <v>Bosnia-Herzegovina</v>
      </c>
      <c r="I18" s="184">
        <f ca="1">C18*I4</f>
        <v>0</v>
      </c>
      <c r="J18" s="208"/>
      <c r="K18" s="184">
        <f ca="1">E18*K4</f>
        <v>0</v>
      </c>
      <c r="L18" s="184">
        <f ca="1">F18*L4</f>
        <v>0</v>
      </c>
      <c r="M18" s="185">
        <f ca="1">SUM(I18:L18)</f>
        <v>0</v>
      </c>
      <c r="N18" s="183" t="str">
        <f t="shared" ref="N18:N20" si="22">H18</f>
        <v>Bosnia-Herzegovina</v>
      </c>
      <c r="O18" s="184">
        <f ca="1">I18*O4</f>
        <v>0</v>
      </c>
      <c r="P18" s="208"/>
      <c r="Q18" s="184">
        <f ca="1">K18*Q4</f>
        <v>0</v>
      </c>
      <c r="R18" s="184">
        <f ca="1">L18*R4</f>
        <v>0</v>
      </c>
      <c r="S18" s="185">
        <f ca="1">SUM(O18:R18)</f>
        <v>0</v>
      </c>
      <c r="T18" s="183" t="str">
        <f t="shared" ref="T18:T20" si="23">N18</f>
        <v>Bosnia-Herzegovina</v>
      </c>
      <c r="U18" s="184">
        <f ca="1">O18*U4</f>
        <v>0</v>
      </c>
      <c r="V18" s="208"/>
      <c r="W18" s="184">
        <f ca="1">Q18*W4</f>
        <v>0</v>
      </c>
      <c r="X18" s="184">
        <f ca="1">R18*X4</f>
        <v>0</v>
      </c>
      <c r="Y18" s="185">
        <f ca="1">SUM(U18:X18)</f>
        <v>0</v>
      </c>
    </row>
    <row r="19" spans="1:25" x14ac:dyDescent="0.25">
      <c r="A19" s="144"/>
      <c r="B19" s="176" t="str">
        <f>D2</f>
        <v>Qatar</v>
      </c>
      <c r="C19" s="179">
        <f ca="1">IFERROR(G39-F39,0)</f>
        <v>-1</v>
      </c>
      <c r="D19" s="179">
        <f ca="1">IFERROR(G41-F41,0)</f>
        <v>0</v>
      </c>
      <c r="E19" s="206"/>
      <c r="F19" s="179">
        <f>IFERROR(F38-G38,0)</f>
        <v>0</v>
      </c>
      <c r="G19" s="178">
        <f ca="1">SUM(C19:F19)</f>
        <v>-1</v>
      </c>
      <c r="H19" s="183" t="str">
        <f t="shared" si="21"/>
        <v>Qatar</v>
      </c>
      <c r="I19" s="184">
        <f ca="1">C19*I5</f>
        <v>0</v>
      </c>
      <c r="J19" s="184">
        <f ca="1">D19*J5</f>
        <v>0</v>
      </c>
      <c r="K19" s="208"/>
      <c r="L19" s="184">
        <f ca="1">F19*L5</f>
        <v>0</v>
      </c>
      <c r="M19" s="185">
        <f ca="1">SUM(I19:L19)</f>
        <v>0</v>
      </c>
      <c r="N19" s="183" t="str">
        <f t="shared" si="22"/>
        <v>Qatar</v>
      </c>
      <c r="O19" s="184">
        <f ca="1">I19*O5</f>
        <v>0</v>
      </c>
      <c r="P19" s="184">
        <f ca="1">J19*P5</f>
        <v>0</v>
      </c>
      <c r="Q19" s="208"/>
      <c r="R19" s="184">
        <f ca="1">L19*R5</f>
        <v>0</v>
      </c>
      <c r="S19" s="185">
        <f ca="1">SUM(O19:R19)</f>
        <v>0</v>
      </c>
      <c r="T19" s="183" t="str">
        <f t="shared" si="23"/>
        <v>Qatar</v>
      </c>
      <c r="U19" s="184">
        <f ca="1">O19*U5</f>
        <v>0</v>
      </c>
      <c r="V19" s="184">
        <f ca="1">P19*V5</f>
        <v>0</v>
      </c>
      <c r="W19" s="208"/>
      <c r="X19" s="184">
        <f ca="1">R19*X5</f>
        <v>0</v>
      </c>
      <c r="Y19" s="185">
        <f ca="1">SUM(U19:X19)</f>
        <v>0</v>
      </c>
    </row>
    <row r="20" spans="1:25" x14ac:dyDescent="0.25">
      <c r="A20" s="144"/>
      <c r="B20" s="180" t="str">
        <f>E2</f>
        <v>Switzerland</v>
      </c>
      <c r="C20" s="181">
        <f ca="1">IFERROR(F42-G42,0)</f>
        <v>1</v>
      </c>
      <c r="D20" s="181">
        <f ca="1">IFERROR(F40-G40,0)</f>
        <v>1</v>
      </c>
      <c r="E20" s="181">
        <f>IFERROR(G38-F38,0)</f>
        <v>0</v>
      </c>
      <c r="F20" s="207"/>
      <c r="G20" s="182">
        <f ca="1">SUM(C20:F20)</f>
        <v>2</v>
      </c>
      <c r="H20" s="186" t="str">
        <f t="shared" si="21"/>
        <v>Switzerland</v>
      </c>
      <c r="I20" s="187">
        <f ca="1">C20*I6</f>
        <v>0</v>
      </c>
      <c r="J20" s="187">
        <f ca="1">D20*J6</f>
        <v>0</v>
      </c>
      <c r="K20" s="187">
        <f ca="1">E20*K6</f>
        <v>0</v>
      </c>
      <c r="L20" s="213"/>
      <c r="M20" s="188">
        <f ca="1">SUM(I20:L20)</f>
        <v>0</v>
      </c>
      <c r="N20" s="186" t="str">
        <f t="shared" si="22"/>
        <v>Switzerland</v>
      </c>
      <c r="O20" s="187">
        <f ca="1">I20*O6</f>
        <v>0</v>
      </c>
      <c r="P20" s="187">
        <f ca="1">J20*P6</f>
        <v>0</v>
      </c>
      <c r="Q20" s="187">
        <f ca="1">K20*Q6</f>
        <v>0</v>
      </c>
      <c r="R20" s="213"/>
      <c r="S20" s="188">
        <f ca="1">SUM(O20:R20)</f>
        <v>0</v>
      </c>
      <c r="T20" s="186" t="str">
        <f t="shared" si="23"/>
        <v>Switzerland</v>
      </c>
      <c r="U20" s="187">
        <f ca="1">O20*U6</f>
        <v>0</v>
      </c>
      <c r="V20" s="187">
        <f ca="1">P20*V6</f>
        <v>0</v>
      </c>
      <c r="W20" s="187">
        <f ca="1">Q20*W6</f>
        <v>0</v>
      </c>
      <c r="X20" s="213"/>
      <c r="Y20" s="188">
        <f ca="1">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Canada</v>
      </c>
      <c r="D23" s="164" t="str">
        <f>C2</f>
        <v>Bosnia-Herzegovina</v>
      </c>
      <c r="E23" s="164" t="str">
        <f>D2</f>
        <v>Qatar</v>
      </c>
      <c r="F23" s="164" t="str">
        <f>E2</f>
        <v>Switzerland</v>
      </c>
      <c r="G23" s="165" t="s">
        <v>26</v>
      </c>
      <c r="H23" s="169"/>
      <c r="I23" s="170" t="str">
        <f>C23</f>
        <v>Canada</v>
      </c>
      <c r="J23" s="170" t="str">
        <f t="shared" ref="J23:L23" si="24">D23</f>
        <v>Bosnia-Herzegovina</v>
      </c>
      <c r="K23" s="170" t="str">
        <f t="shared" si="24"/>
        <v>Qatar</v>
      </c>
      <c r="L23" s="170" t="str">
        <f t="shared" si="24"/>
        <v>Switzerland</v>
      </c>
      <c r="M23" s="171" t="s">
        <v>26</v>
      </c>
      <c r="N23" s="169"/>
      <c r="O23" s="170" t="str">
        <f>I23</f>
        <v>Canada</v>
      </c>
      <c r="P23" s="170" t="str">
        <f t="shared" ref="P23:R23" si="25">J23</f>
        <v>Bosnia-Herzegovina</v>
      </c>
      <c r="Q23" s="170" t="str">
        <f t="shared" si="25"/>
        <v>Qatar</v>
      </c>
      <c r="R23" s="170" t="str">
        <f t="shared" si="25"/>
        <v>Switzerland</v>
      </c>
      <c r="S23" s="171" t="s">
        <v>26</v>
      </c>
      <c r="T23" s="169"/>
      <c r="U23" s="170" t="str">
        <f>O23</f>
        <v>Canada</v>
      </c>
      <c r="V23" s="170" t="str">
        <f t="shared" ref="V23:X23" si="26">P23</f>
        <v>Bosnia-Herzegovina</v>
      </c>
      <c r="W23" s="170" t="str">
        <f t="shared" si="26"/>
        <v>Qatar</v>
      </c>
      <c r="X23" s="170" t="str">
        <f t="shared" si="26"/>
        <v>Switzerland</v>
      </c>
      <c r="Y23" s="171" t="s">
        <v>26</v>
      </c>
    </row>
    <row r="24" spans="1:25" x14ac:dyDescent="0.25">
      <c r="A24" s="143"/>
      <c r="B24" s="163" t="str">
        <f>B2</f>
        <v>Canada</v>
      </c>
      <c r="C24" s="209"/>
      <c r="D24" s="164">
        <f>IF(F37="",0,F37)</f>
        <v>1</v>
      </c>
      <c r="E24" s="164">
        <f ca="1">IF(F39="",0,F39)</f>
        <v>2</v>
      </c>
      <c r="F24" s="164">
        <f ca="1">IF(G42="",0,G42)</f>
        <v>0</v>
      </c>
      <c r="G24" s="165">
        <f ca="1">SUM(C24:F24)</f>
        <v>3</v>
      </c>
      <c r="H24" s="169" t="str">
        <f>B24</f>
        <v>Canada</v>
      </c>
      <c r="I24" s="214"/>
      <c r="J24" s="170">
        <f ca="1">D24*J3</f>
        <v>0</v>
      </c>
      <c r="K24" s="170">
        <f ca="1">E24*K3</f>
        <v>0</v>
      </c>
      <c r="L24" s="170">
        <f ca="1">F24*L3</f>
        <v>0</v>
      </c>
      <c r="M24" s="171">
        <f ca="1">SUM(I24:L24)</f>
        <v>0</v>
      </c>
      <c r="N24" s="169" t="str">
        <f>H24</f>
        <v>Canada</v>
      </c>
      <c r="O24" s="214"/>
      <c r="P24" s="170">
        <f ca="1">J24*P3</f>
        <v>0</v>
      </c>
      <c r="Q24" s="170">
        <f ca="1">K24*Q3</f>
        <v>0</v>
      </c>
      <c r="R24" s="170">
        <f ca="1">L24*R3</f>
        <v>0</v>
      </c>
      <c r="S24" s="171">
        <f ca="1">SUM(O24:R24)</f>
        <v>0</v>
      </c>
      <c r="T24" s="169" t="str">
        <f>N24</f>
        <v>Canada</v>
      </c>
      <c r="U24" s="214"/>
      <c r="V24" s="170">
        <f ca="1">P24*V3</f>
        <v>0</v>
      </c>
      <c r="W24" s="170">
        <f ca="1">Q24*W3</f>
        <v>0</v>
      </c>
      <c r="X24" s="170">
        <f ca="1">R24*X3</f>
        <v>0</v>
      </c>
      <c r="Y24" s="171">
        <f ca="1">SUM(U24:X24)</f>
        <v>0</v>
      </c>
    </row>
    <row r="25" spans="1:25" x14ac:dyDescent="0.25">
      <c r="A25" s="143"/>
      <c r="B25" s="163" t="str">
        <f>C2</f>
        <v>Bosnia-Herzegovina</v>
      </c>
      <c r="C25" s="164">
        <f>IF(G37="",0,G37)</f>
        <v>1</v>
      </c>
      <c r="D25" s="209"/>
      <c r="E25" s="164">
        <f ca="1">IF(F41="",0,F41)</f>
        <v>0</v>
      </c>
      <c r="F25" s="164">
        <f ca="1">IF(G40="",0,G40)</f>
        <v>1</v>
      </c>
      <c r="G25" s="165">
        <f ca="1">SUM(C25:F25)</f>
        <v>2</v>
      </c>
      <c r="H25" s="169" t="str">
        <f t="shared" ref="H25:H27" si="27">B25</f>
        <v>Bosnia-Herzegovina</v>
      </c>
      <c r="I25" s="170">
        <f ca="1">C25*I4</f>
        <v>0</v>
      </c>
      <c r="J25" s="214"/>
      <c r="K25" s="170">
        <f ca="1">E25*K4</f>
        <v>0</v>
      </c>
      <c r="L25" s="170">
        <f ca="1">F25*L4</f>
        <v>0</v>
      </c>
      <c r="M25" s="171">
        <f ca="1">SUM(I25:L25)</f>
        <v>0</v>
      </c>
      <c r="N25" s="169" t="str">
        <f t="shared" ref="N25:N27" si="28">H25</f>
        <v>Bosnia-Herzegovina</v>
      </c>
      <c r="O25" s="170">
        <f ca="1">I25*O4</f>
        <v>0</v>
      </c>
      <c r="P25" s="214"/>
      <c r="Q25" s="170">
        <f ca="1">K25*Q4</f>
        <v>0</v>
      </c>
      <c r="R25" s="170">
        <f ca="1">L25*R4</f>
        <v>0</v>
      </c>
      <c r="S25" s="171">
        <f ca="1">SUM(O25:R25)</f>
        <v>0</v>
      </c>
      <c r="T25" s="169" t="str">
        <f t="shared" ref="T25:T27" si="29">N25</f>
        <v>Bosnia-Herzegovina</v>
      </c>
      <c r="U25" s="170">
        <f ca="1">O25*U4</f>
        <v>0</v>
      </c>
      <c r="V25" s="214"/>
      <c r="W25" s="170">
        <f ca="1">Q25*W4</f>
        <v>0</v>
      </c>
      <c r="X25" s="170">
        <f ca="1">R25*X4</f>
        <v>0</v>
      </c>
      <c r="Y25" s="171">
        <f ca="1">SUM(U25:X25)</f>
        <v>0</v>
      </c>
    </row>
    <row r="26" spans="1:25" x14ac:dyDescent="0.25">
      <c r="A26" s="143"/>
      <c r="B26" s="163" t="str">
        <f>D2</f>
        <v>Qatar</v>
      </c>
      <c r="C26" s="164">
        <f ca="1">IF(G39="",0,G39)</f>
        <v>1</v>
      </c>
      <c r="D26" s="164">
        <f ca="1">IF(G41="",0,G41)</f>
        <v>0</v>
      </c>
      <c r="E26" s="209"/>
      <c r="F26" s="164">
        <f>IF(F38="",0,F38)</f>
        <v>1</v>
      </c>
      <c r="G26" s="165">
        <f ca="1">SUM(C26:F26)</f>
        <v>2</v>
      </c>
      <c r="H26" s="169" t="str">
        <f t="shared" si="27"/>
        <v>Qatar</v>
      </c>
      <c r="I26" s="170">
        <f ca="1">C26*I5</f>
        <v>0</v>
      </c>
      <c r="J26" s="170">
        <f ca="1">D26*J5</f>
        <v>0</v>
      </c>
      <c r="K26" s="214"/>
      <c r="L26" s="170">
        <f ca="1">F26*L5</f>
        <v>0</v>
      </c>
      <c r="M26" s="171">
        <f ca="1">SUM(I26:L26)</f>
        <v>0</v>
      </c>
      <c r="N26" s="169" t="str">
        <f t="shared" si="28"/>
        <v>Qatar</v>
      </c>
      <c r="O26" s="170">
        <f ca="1">I26*O5</f>
        <v>0</v>
      </c>
      <c r="P26" s="170">
        <f ca="1">J26*P5</f>
        <v>0</v>
      </c>
      <c r="Q26" s="214"/>
      <c r="R26" s="170">
        <f ca="1">L26*R5</f>
        <v>0</v>
      </c>
      <c r="S26" s="171">
        <f ca="1">SUM(O26:R26)</f>
        <v>0</v>
      </c>
      <c r="T26" s="169" t="str">
        <f t="shared" si="29"/>
        <v>Qatar</v>
      </c>
      <c r="U26" s="170">
        <f ca="1">O26*U5</f>
        <v>0</v>
      </c>
      <c r="V26" s="170">
        <f ca="1">P26*V5</f>
        <v>0</v>
      </c>
      <c r="W26" s="214"/>
      <c r="X26" s="170">
        <f ca="1">R26*X5</f>
        <v>0</v>
      </c>
      <c r="Y26" s="171">
        <f ca="1">SUM(U26:X26)</f>
        <v>0</v>
      </c>
    </row>
    <row r="27" spans="1:25" x14ac:dyDescent="0.25">
      <c r="A27" s="143"/>
      <c r="B27" s="166" t="str">
        <f>E2</f>
        <v>Switzerland</v>
      </c>
      <c r="C27" s="167">
        <f ca="1">IF(F42="",0,F42)</f>
        <v>1</v>
      </c>
      <c r="D27" s="167">
        <f ca="1">IF(F40="",0,F40)</f>
        <v>2</v>
      </c>
      <c r="E27" s="167">
        <f>IF(G38="",0,G38)</f>
        <v>1</v>
      </c>
      <c r="F27" s="210"/>
      <c r="G27" s="168">
        <f ca="1">SUM(C27:F27)</f>
        <v>4</v>
      </c>
      <c r="H27" s="172" t="str">
        <f t="shared" si="27"/>
        <v>Switzerland</v>
      </c>
      <c r="I27" s="173">
        <f ca="1">C27*I6</f>
        <v>0</v>
      </c>
      <c r="J27" s="173">
        <f ca="1">D27*J6</f>
        <v>0</v>
      </c>
      <c r="K27" s="173">
        <f ca="1">E27*K6</f>
        <v>0</v>
      </c>
      <c r="L27" s="215"/>
      <c r="M27" s="174">
        <f ca="1">SUM(I27:L27)</f>
        <v>0</v>
      </c>
      <c r="N27" s="172" t="str">
        <f t="shared" si="28"/>
        <v>Switzerland</v>
      </c>
      <c r="O27" s="173">
        <f ca="1">I27*O6</f>
        <v>0</v>
      </c>
      <c r="P27" s="173">
        <f ca="1">J27*P6</f>
        <v>0</v>
      </c>
      <c r="Q27" s="173">
        <f ca="1">K27*Q6</f>
        <v>0</v>
      </c>
      <c r="R27" s="215"/>
      <c r="S27" s="174">
        <f ca="1">SUM(O27:R27)</f>
        <v>0</v>
      </c>
      <c r="T27" s="172" t="str">
        <f t="shared" si="29"/>
        <v>Switzerland</v>
      </c>
      <c r="U27" s="173">
        <f ca="1">O27*U6</f>
        <v>0</v>
      </c>
      <c r="V27" s="173">
        <f ca="1">P27*V6</f>
        <v>0</v>
      </c>
      <c r="W27" s="173">
        <f ca="1">Q27*W6</f>
        <v>0</v>
      </c>
      <c r="X27" s="215"/>
      <c r="Y27" s="174">
        <f ca="1">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300" t="s">
        <v>669</v>
      </c>
      <c r="E29" s="300" t="s">
        <v>670</v>
      </c>
      <c r="F29" s="300" t="s">
        <v>671</v>
      </c>
      <c r="G29" s="232" t="s">
        <v>631</v>
      </c>
      <c r="H29" s="232" t="s">
        <v>632</v>
      </c>
      <c r="I29" s="232" t="s">
        <v>633</v>
      </c>
      <c r="J29" s="232" t="s">
        <v>676</v>
      </c>
      <c r="K29" s="232" t="s">
        <v>411</v>
      </c>
      <c r="L29" s="232" t="s">
        <v>661</v>
      </c>
      <c r="M29" s="232" t="s">
        <v>634</v>
      </c>
      <c r="N29" s="233" t="s">
        <v>635</v>
      </c>
    </row>
    <row r="30" spans="1:25" x14ac:dyDescent="0.25">
      <c r="A30" s="234">
        <f ca="1">N30</f>
        <v>2</v>
      </c>
      <c r="B30" s="235" t="str">
        <f>B2</f>
        <v>Canada</v>
      </c>
      <c r="C30" s="236">
        <v>3</v>
      </c>
      <c r="D30" s="236">
        <f ca="1">COUNTIF(FWinners,B30)</f>
        <v>1</v>
      </c>
      <c r="E30" s="236">
        <f ca="1">COUNTIF(FDraws,"D"&amp;B30)</f>
        <v>1</v>
      </c>
      <c r="F30" s="236">
        <f ca="1">COUNTIF(FLosers,B30)</f>
        <v>1</v>
      </c>
      <c r="G30" s="236">
        <f ca="1">F37+F39+G42</f>
        <v>3</v>
      </c>
      <c r="H30" s="236">
        <f ca="1">G37+G39+F42</f>
        <v>3</v>
      </c>
      <c r="I30" s="236">
        <f ca="1">G30-H30</f>
        <v>0</v>
      </c>
      <c r="J30" s="237">
        <f ca="1">Z10</f>
        <v>3</v>
      </c>
      <c r="K30" s="236">
        <f>VLOOKUP($B30,Lookup10,11,FALSE)</f>
        <v>2</v>
      </c>
      <c r="L30" s="236">
        <f>VLOOKUP($B30,Lookup11,2,FALSE)</f>
        <v>27</v>
      </c>
      <c r="M30" s="238">
        <f ca="1">ROUND(G30*G$34+I30*I$34+J30*J$34-K30*K$34-L30*L$34,8)</f>
        <v>30002.977299999999</v>
      </c>
      <c r="N30" s="239">
        <f ca="1">RANK(M30,M$30:M$33,0)</f>
        <v>2</v>
      </c>
    </row>
    <row r="31" spans="1:25" x14ac:dyDescent="0.25">
      <c r="A31" s="234">
        <f ca="1">N31</f>
        <v>4</v>
      </c>
      <c r="B31" s="235" t="str">
        <f>C2</f>
        <v>Bosnia-Herzegovina</v>
      </c>
      <c r="C31" s="236">
        <v>3</v>
      </c>
      <c r="D31" s="236">
        <f ca="1">COUNTIF(FWinners,B31)</f>
        <v>0</v>
      </c>
      <c r="E31" s="236">
        <f ca="1">COUNTIF(FDraws,"D"&amp;B31)</f>
        <v>2</v>
      </c>
      <c r="F31" s="236">
        <f ca="1">COUNTIF(FLosers,B31)</f>
        <v>1</v>
      </c>
      <c r="G31" s="236">
        <f ca="1">G37+G40+F41</f>
        <v>2</v>
      </c>
      <c r="H31" s="236">
        <f ca="1">F37+F40+G41</f>
        <v>3</v>
      </c>
      <c r="I31" s="236">
        <f t="shared" ref="I31:I33" ca="1" si="30">G31-H31</f>
        <v>-1</v>
      </c>
      <c r="J31" s="237">
        <f ca="1">Z11</f>
        <v>1</v>
      </c>
      <c r="K31" s="236">
        <f>VLOOKUP($B31,Lookup10,11,FALSE)</f>
        <v>3</v>
      </c>
      <c r="L31" s="236">
        <f>VLOOKUP($B31,Lookup11,2,FALSE)</f>
        <v>43</v>
      </c>
      <c r="M31" s="238">
        <f ca="1">ROUND(G31*G$34+I31*I$34+J31*J$34-K31*K$34-L31*L$34,8)</f>
        <v>9901.9657000000007</v>
      </c>
      <c r="N31" s="239">
        <f ca="1">RANK(M31,M$30:M$33,0)</f>
        <v>4</v>
      </c>
    </row>
    <row r="32" spans="1:25" x14ac:dyDescent="0.25">
      <c r="A32" s="234">
        <f ca="1">N32</f>
        <v>3</v>
      </c>
      <c r="B32" s="235" t="str">
        <f>D2</f>
        <v>Qatar</v>
      </c>
      <c r="C32" s="236">
        <v>3</v>
      </c>
      <c r="D32" s="236">
        <f ca="1">COUNTIF(FWinners,B32)</f>
        <v>0</v>
      </c>
      <c r="E32" s="236">
        <f ca="1">COUNTIF(FDraws,"D"&amp;B32)</f>
        <v>2</v>
      </c>
      <c r="F32" s="236">
        <f ca="1">COUNTIF(FLosers,B32)</f>
        <v>1</v>
      </c>
      <c r="G32" s="236">
        <f ca="1">F38+G39+G41</f>
        <v>2</v>
      </c>
      <c r="H32" s="236">
        <f ca="1">G38+F39+F41</f>
        <v>3</v>
      </c>
      <c r="I32" s="236">
        <f t="shared" ca="1" si="30"/>
        <v>-1</v>
      </c>
      <c r="J32" s="237">
        <f ca="1">Z12</f>
        <v>1</v>
      </c>
      <c r="K32" s="236">
        <f>VLOOKUP($B32,Lookup10,11,FALSE)</f>
        <v>2</v>
      </c>
      <c r="L32" s="236">
        <f>VLOOKUP($B32,Lookup11,2,FALSE)</f>
        <v>38</v>
      </c>
      <c r="M32" s="238">
        <f ca="1">ROUND(G32*G$34+I32*I$34+J32*J$34-K32*K$34-L32*L$34,8)</f>
        <v>9901.9761999999992</v>
      </c>
      <c r="N32" s="239">
        <f ca="1">RANK(M32,M$30:M$33,0)</f>
        <v>3</v>
      </c>
    </row>
    <row r="33" spans="1:16" x14ac:dyDescent="0.25">
      <c r="A33" s="234">
        <f ca="1">N33</f>
        <v>1</v>
      </c>
      <c r="B33" s="235" t="str">
        <f>E2</f>
        <v>Switzerland</v>
      </c>
      <c r="C33" s="236">
        <v>3</v>
      </c>
      <c r="D33" s="236">
        <f ca="1">COUNTIF(FWinners,B33)</f>
        <v>2</v>
      </c>
      <c r="E33" s="236">
        <f ca="1">COUNTIF(FDraws,"D"&amp;B33)</f>
        <v>1</v>
      </c>
      <c r="F33" s="236">
        <f ca="1">COUNTIF(FLosers,B33)</f>
        <v>0</v>
      </c>
      <c r="G33" s="236">
        <f ca="1">G38+F40+F42</f>
        <v>4</v>
      </c>
      <c r="H33" s="236">
        <f ca="1">F38+G40+G42</f>
        <v>2</v>
      </c>
      <c r="I33" s="236">
        <f t="shared" ca="1" si="30"/>
        <v>2</v>
      </c>
      <c r="J33" s="237">
        <f ca="1">Z13</f>
        <v>4</v>
      </c>
      <c r="K33" s="236">
        <f>VLOOKUP($B33,Lookup10,11,FALSE)</f>
        <v>1</v>
      </c>
      <c r="L33" s="236">
        <f>VLOOKUP($B33,Lookup11,2,FALSE)</f>
        <v>18</v>
      </c>
      <c r="M33" s="238">
        <f ca="1">ROUND(G33*G$34+I33*I$34+J33*J$34-K33*K$34-L33*L$34,8)</f>
        <v>40203.9882</v>
      </c>
      <c r="N33" s="239">
        <f ca="1">RANK(M33,M$30:M$33,0)</f>
        <v>1</v>
      </c>
    </row>
    <row r="34" spans="1:16" x14ac:dyDescent="0.25">
      <c r="A34" s="240"/>
      <c r="B34" s="241" t="s">
        <v>636</v>
      </c>
      <c r="C34" s="242">
        <f>SUM(C30:C33)</f>
        <v>12</v>
      </c>
      <c r="D34" s="242"/>
      <c r="E34" s="242"/>
      <c r="F34" s="242"/>
      <c r="G34" s="205">
        <v>1</v>
      </c>
      <c r="H34" s="205"/>
      <c r="I34" s="205">
        <v>100</v>
      </c>
      <c r="J34" s="205">
        <v>10000</v>
      </c>
      <c r="K34" s="205">
        <v>0.01</v>
      </c>
      <c r="L34" s="205">
        <v>1E-4</v>
      </c>
      <c r="M34" s="242"/>
      <c r="N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CanadaBosnia-Herzegovina</v>
      </c>
      <c r="B37" s="158" t="str">
        <f>B1&amp;C1</f>
        <v>B1B2</v>
      </c>
      <c r="C37" s="158">
        <v>1</v>
      </c>
      <c r="D37" s="150" t="str">
        <f>B2</f>
        <v>Canada</v>
      </c>
      <c r="E37" s="150" t="str">
        <f>C2</f>
        <v>Bosnia-Herzegovina</v>
      </c>
      <c r="F37" s="158">
        <f t="shared" ref="F37:F42" si="31">VLOOKUP($B37,Lookup18,6,FALSE)</f>
        <v>1</v>
      </c>
      <c r="G37" s="158">
        <f t="shared" ref="G37:G42" si="32">VLOOKUP($B37,Lookup18,8,FALSE)</f>
        <v>1</v>
      </c>
      <c r="H37" s="158">
        <f t="shared" ref="H37:H42" si="33">IF(C37=0,0,IF(F37&lt;G37,Lpts,IF(F37&gt;G37,Wpts,Dpts)))</f>
        <v>1</v>
      </c>
      <c r="I37" s="158">
        <f t="shared" ref="I37:I42" si="34">IF(C37=0,0,IF(G37&lt;F37,Lpts,IF(G37&gt;F37,Wpts,Dpts)))</f>
        <v>1</v>
      </c>
      <c r="J37" s="158">
        <f t="shared" ref="J37:K42" si="35">IF(VLOOKUP($B37,Lookup12,4,FALSE)="",0,VLOOKUP($B37,Lookup12,4,FALSE))</f>
        <v>2</v>
      </c>
      <c r="K37" s="158">
        <f t="shared" si="35"/>
        <v>2</v>
      </c>
      <c r="L37" s="143"/>
      <c r="M37" s="143"/>
      <c r="N37" s="143"/>
      <c r="O37" s="143"/>
      <c r="P37" s="143"/>
    </row>
    <row r="38" spans="1:16" x14ac:dyDescent="0.25">
      <c r="A38" s="149" t="str">
        <f>D2&amp;E2</f>
        <v>QatarSwitzerland</v>
      </c>
      <c r="B38" s="158" t="str">
        <f>D1&amp;E1</f>
        <v>B3B4</v>
      </c>
      <c r="C38" s="158">
        <v>1</v>
      </c>
      <c r="D38" s="150" t="str">
        <f>D2</f>
        <v>Qatar</v>
      </c>
      <c r="E38" s="150" t="str">
        <f>E2</f>
        <v>Switzerland</v>
      </c>
      <c r="F38" s="158">
        <f t="shared" si="31"/>
        <v>1</v>
      </c>
      <c r="G38" s="158">
        <f t="shared" si="32"/>
        <v>1</v>
      </c>
      <c r="H38" s="158">
        <f t="shared" si="33"/>
        <v>1</v>
      </c>
      <c r="I38" s="158">
        <f t="shared" si="34"/>
        <v>1</v>
      </c>
      <c r="J38" s="158">
        <f t="shared" si="35"/>
        <v>2</v>
      </c>
      <c r="K38" s="158">
        <f t="shared" si="35"/>
        <v>2</v>
      </c>
      <c r="L38" s="143"/>
      <c r="M38" s="143"/>
      <c r="N38" s="143"/>
      <c r="O38" s="143"/>
      <c r="P38" s="143"/>
    </row>
    <row r="39" spans="1:16" x14ac:dyDescent="0.25">
      <c r="A39" s="149" t="str">
        <f>B2&amp;D2</f>
        <v>CanadaQatar</v>
      </c>
      <c r="B39" s="158" t="str">
        <f>B1&amp;D1</f>
        <v>B1B3</v>
      </c>
      <c r="C39" s="158">
        <v>1</v>
      </c>
      <c r="D39" s="150" t="str">
        <f>B2</f>
        <v>Canada</v>
      </c>
      <c r="E39" s="150" t="str">
        <f>D2</f>
        <v>Qatar</v>
      </c>
      <c r="F39" s="158">
        <f t="shared" ca="1" si="31"/>
        <v>2</v>
      </c>
      <c r="G39" s="158">
        <f t="shared" ca="1" si="32"/>
        <v>1</v>
      </c>
      <c r="H39" s="158">
        <f t="shared" ca="1" si="33"/>
        <v>3</v>
      </c>
      <c r="I39" s="158">
        <f t="shared" ca="1" si="34"/>
        <v>0</v>
      </c>
      <c r="J39" s="158">
        <f t="shared" si="35"/>
        <v>0</v>
      </c>
      <c r="K39" s="158">
        <f t="shared" si="35"/>
        <v>0</v>
      </c>
      <c r="L39" s="143"/>
      <c r="M39" s="143"/>
      <c r="N39" s="143"/>
      <c r="O39" s="143"/>
      <c r="P39" s="143"/>
    </row>
    <row r="40" spans="1:16" x14ac:dyDescent="0.25">
      <c r="A40" s="149" t="str">
        <f>E2&amp;C2</f>
        <v>SwitzerlandBosnia-Herzegovina</v>
      </c>
      <c r="B40" s="158" t="str">
        <f>E1&amp;C1</f>
        <v>B4B2</v>
      </c>
      <c r="C40" s="158">
        <v>1</v>
      </c>
      <c r="D40" s="150" t="str">
        <f>E2</f>
        <v>Switzerland</v>
      </c>
      <c r="E40" s="150" t="str">
        <f>C2</f>
        <v>Bosnia-Herzegovina</v>
      </c>
      <c r="F40" s="158">
        <f t="shared" ca="1" si="31"/>
        <v>2</v>
      </c>
      <c r="G40" s="158">
        <f t="shared" ca="1" si="32"/>
        <v>1</v>
      </c>
      <c r="H40" s="158">
        <f t="shared" ca="1" si="33"/>
        <v>3</v>
      </c>
      <c r="I40" s="158">
        <f t="shared" ca="1" si="34"/>
        <v>0</v>
      </c>
      <c r="J40" s="158">
        <f t="shared" si="35"/>
        <v>0</v>
      </c>
      <c r="K40" s="158">
        <f t="shared" si="35"/>
        <v>0</v>
      </c>
      <c r="L40" s="143"/>
      <c r="M40" s="143"/>
      <c r="N40" s="143"/>
      <c r="O40" s="143"/>
      <c r="P40" s="143"/>
    </row>
    <row r="41" spans="1:16" x14ac:dyDescent="0.25">
      <c r="A41" s="149" t="str">
        <f>C2&amp;D2</f>
        <v>Bosnia-HerzegovinaQatar</v>
      </c>
      <c r="B41" s="158" t="str">
        <f>C1&amp;D1</f>
        <v>B2B3</v>
      </c>
      <c r="C41" s="158">
        <v>1</v>
      </c>
      <c r="D41" s="150" t="str">
        <f>C2</f>
        <v>Bosnia-Herzegovina</v>
      </c>
      <c r="E41" s="150" t="str">
        <f>D2</f>
        <v>Qatar</v>
      </c>
      <c r="F41" s="158">
        <f t="shared" ca="1" si="31"/>
        <v>0</v>
      </c>
      <c r="G41" s="158">
        <f t="shared" ca="1" si="32"/>
        <v>0</v>
      </c>
      <c r="H41" s="158">
        <f t="shared" ca="1" si="33"/>
        <v>1</v>
      </c>
      <c r="I41" s="158">
        <f t="shared" ca="1" si="34"/>
        <v>1</v>
      </c>
      <c r="J41" s="158">
        <f t="shared" si="35"/>
        <v>0</v>
      </c>
      <c r="K41" s="158">
        <f t="shared" si="35"/>
        <v>0</v>
      </c>
      <c r="L41" s="143"/>
      <c r="M41" s="143"/>
      <c r="N41" s="143"/>
      <c r="O41" s="143"/>
      <c r="P41" s="143"/>
    </row>
    <row r="42" spans="1:16" x14ac:dyDescent="0.25">
      <c r="A42" s="151" t="str">
        <f>E2&amp;B2</f>
        <v>SwitzerlandCanada</v>
      </c>
      <c r="B42" s="159" t="str">
        <f>E1&amp;B1</f>
        <v>B4B1</v>
      </c>
      <c r="C42" s="159">
        <v>1</v>
      </c>
      <c r="D42" s="152" t="str">
        <f>E2</f>
        <v>Switzerland</v>
      </c>
      <c r="E42" s="152" t="str">
        <f>B2</f>
        <v>Canada</v>
      </c>
      <c r="F42" s="159">
        <f t="shared" ca="1" si="31"/>
        <v>1</v>
      </c>
      <c r="G42" s="159">
        <f t="shared" ca="1" si="32"/>
        <v>0</v>
      </c>
      <c r="H42" s="159">
        <f t="shared" ca="1" si="33"/>
        <v>3</v>
      </c>
      <c r="I42" s="159">
        <f t="shared" ca="1" si="34"/>
        <v>0</v>
      </c>
      <c r="J42" s="159">
        <f t="shared" si="35"/>
        <v>0</v>
      </c>
      <c r="K42" s="159">
        <f t="shared" si="35"/>
        <v>0</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 ca="1">$B45</f>
        <v>Switzerland</v>
      </c>
      <c r="M44" s="154" t="str">
        <f ca="1">$B46</f>
        <v>Canada</v>
      </c>
      <c r="N44" s="154" t="str">
        <f ca="1">$B47</f>
        <v>Qatar</v>
      </c>
      <c r="O44" s="154" t="str">
        <f ca="1">$B48</f>
        <v>Bosnia-Herzegovina</v>
      </c>
      <c r="P44" s="155"/>
    </row>
    <row r="45" spans="1:16" x14ac:dyDescent="0.25">
      <c r="A45" s="156">
        <v>1</v>
      </c>
      <c r="B45" s="156" t="str">
        <f ca="1">VLOOKUP($A45,Ranking,2,FALSE)</f>
        <v>Switzerland</v>
      </c>
      <c r="C45" s="157">
        <v>3</v>
      </c>
      <c r="D45" s="157">
        <f ca="1">VLOOKUP($A45,Ranking,4,FALSE)</f>
        <v>2</v>
      </c>
      <c r="E45" s="157">
        <f ca="1">VLOOKUP($A45,Ranking,5,FALSE)</f>
        <v>1</v>
      </c>
      <c r="F45" s="157">
        <f ca="1">VLOOKUP($A45,Ranking,6,FALSE)</f>
        <v>0</v>
      </c>
      <c r="G45" s="157">
        <f ca="1">VLOOKUP($A45,Ranking,7,FALSE)</f>
        <v>4</v>
      </c>
      <c r="H45" s="157">
        <f ca="1">VLOOKUP($A45,Ranking,8,FALSE)</f>
        <v>2</v>
      </c>
      <c r="I45" s="157">
        <f ca="1">G45-H45</f>
        <v>2</v>
      </c>
      <c r="J45" s="157">
        <f ca="1">D45*Wpts+E45*Dpts+FGrpB!F45*Lpts</f>
        <v>7</v>
      </c>
      <c r="K45" s="201" t="str">
        <f ca="1">B45</f>
        <v>Switzerland</v>
      </c>
      <c r="L45" s="203"/>
      <c r="M45" s="202" t="str">
        <f ca="1">IFERROR(VLOOKUP($B45&amp;M$44,A37:G42,6,FALSE)&amp;"-"&amp;VLOOKUP($B45&amp;M$44,A37:G42,7,FALSE),VLOOKUP(M$44&amp;$B45,A37:G42,7,FALSE)&amp;"-"&amp;VLOOKUP(M$44&amp;$B45,A37:G42,6,FALSE))</f>
        <v>1-0</v>
      </c>
      <c r="N45" s="202" t="str">
        <f ca="1">IFERROR(VLOOKUP($B45&amp;N$44,A37:G42,6,FALSE)&amp;"-"&amp;VLOOKUP($B45&amp;N$44,A37:G42,7,FALSE),VLOOKUP(N$44&amp;$B45,A37:G42,7,FALSE)&amp;"-"&amp;VLOOKUP(N$44&amp;$B45,A37:G42,6,FALSE))</f>
        <v>1-1</v>
      </c>
      <c r="O45" s="202" t="str">
        <f ca="1">IFERROR(VLOOKUP($B45&amp;O$44,A37:G42,6,FALSE)&amp;"-"&amp;VLOOKUP($B45&amp;O$44,A37:G42,7,FALSE),VLOOKUP(O$44&amp;$B45,A37:G42,7,FALSE)&amp;"-"&amp;VLOOKUP(O$44&amp;$B45,A37:G42,6,FALSE))</f>
        <v>2-1</v>
      </c>
      <c r="P45" s="155"/>
    </row>
    <row r="46" spans="1:16" x14ac:dyDescent="0.25">
      <c r="A46" s="156">
        <v>2</v>
      </c>
      <c r="B46" s="156" t="str">
        <f ca="1">VLOOKUP($A46,Ranking,2,FALSE)</f>
        <v>Canada</v>
      </c>
      <c r="C46" s="157">
        <v>3</v>
      </c>
      <c r="D46" s="157">
        <f ca="1">VLOOKUP($A46,Ranking,4,FALSE)</f>
        <v>1</v>
      </c>
      <c r="E46" s="157">
        <f ca="1">VLOOKUP($A46,Ranking,5,FALSE)</f>
        <v>1</v>
      </c>
      <c r="F46" s="157">
        <f ca="1">VLOOKUP($A46,Ranking,6,FALSE)</f>
        <v>1</v>
      </c>
      <c r="G46" s="157">
        <f ca="1">VLOOKUP($A46,Ranking,7,FALSE)</f>
        <v>3</v>
      </c>
      <c r="H46" s="157">
        <f ca="1">VLOOKUP($A46,Ranking,8,FALSE)</f>
        <v>3</v>
      </c>
      <c r="I46" s="157">
        <f t="shared" ref="I46:I48" ca="1" si="36">G46-H46</f>
        <v>0</v>
      </c>
      <c r="J46" s="157">
        <f ca="1">D46*Wpts+E46*Dpts+FGrpB!F46*Lpts</f>
        <v>4</v>
      </c>
      <c r="K46" s="201" t="str">
        <f ca="1">B46</f>
        <v>Canada</v>
      </c>
      <c r="L46" s="202" t="str">
        <f ca="1">IFERROR(VLOOKUP($B46&amp;L$44,A37:G42,6,FALSE)&amp;"-"&amp;VLOOKUP($B46&amp;L$44,A37:G42,7,FALSE),VLOOKUP(L$44&amp;$B46,A37:G42,7,FALSE)&amp;"-"&amp;VLOOKUP(L$44&amp;$B46,A37:G42,6,FALSE))</f>
        <v>0-1</v>
      </c>
      <c r="M46" s="203"/>
      <c r="N46" s="202" t="str">
        <f ca="1">IFERROR(VLOOKUP($B46&amp;N$44,A37:G42,6,FALSE)&amp;"-"&amp;VLOOKUP($B46&amp;N$44,A37:G42,7,FALSE),VLOOKUP(N$44&amp;$B46,A37:G42,7,FALSE)&amp;"-"&amp;VLOOKUP(N$44&amp;$B46,A37:G42,6,FALSE))</f>
        <v>2-1</v>
      </c>
      <c r="O46" s="202" t="str">
        <f ca="1">IFERROR(VLOOKUP($B46&amp;O$44,A37:G42,6,FALSE)&amp;"-"&amp;VLOOKUP($B46&amp;O$44,A37:G42,7,FALSE),VLOOKUP(O$44&amp;$B46,A37:G42,7,FALSE)&amp;"-"&amp;VLOOKUP(O$44&amp;$B46,A37:G42,6,FALSE))</f>
        <v>1-1</v>
      </c>
      <c r="P46" s="155"/>
    </row>
    <row r="47" spans="1:16" x14ac:dyDescent="0.25">
      <c r="A47" s="156">
        <v>3</v>
      </c>
      <c r="B47" s="156" t="str">
        <f ca="1">VLOOKUP($A47,Ranking,2,FALSE)</f>
        <v>Qatar</v>
      </c>
      <c r="C47" s="157">
        <v>3</v>
      </c>
      <c r="D47" s="157">
        <f ca="1">VLOOKUP($A47,Ranking,4,FALSE)</f>
        <v>0</v>
      </c>
      <c r="E47" s="157">
        <f ca="1">VLOOKUP($A47,Ranking,5,FALSE)</f>
        <v>2</v>
      </c>
      <c r="F47" s="157">
        <f ca="1">VLOOKUP($A47,Ranking,6,FALSE)</f>
        <v>1</v>
      </c>
      <c r="G47" s="157">
        <f ca="1">VLOOKUP($A47,Ranking,7,FALSE)</f>
        <v>2</v>
      </c>
      <c r="H47" s="157">
        <f ca="1">VLOOKUP($A47,Ranking,8,FALSE)</f>
        <v>3</v>
      </c>
      <c r="I47" s="157">
        <f t="shared" ca="1" si="36"/>
        <v>-1</v>
      </c>
      <c r="J47" s="157">
        <f ca="1">D47*Wpts+E47*Dpts+FGrpB!F47*Lpts</f>
        <v>2</v>
      </c>
      <c r="K47" s="201" t="str">
        <f ca="1">B47</f>
        <v>Qatar</v>
      </c>
      <c r="L47" s="202" t="str">
        <f ca="1">IFERROR(VLOOKUP($B47&amp;L$44,A37:G42,6,FALSE)&amp;"-"&amp;VLOOKUP($B47&amp;L$44,A37:G42,7,FALSE),VLOOKUP(L$44&amp;$B47,A37:G42,7,FALSE)&amp;"-"&amp;VLOOKUP(L$44&amp;$B47,A37:G42,6,FALSE))</f>
        <v>1-1</v>
      </c>
      <c r="M47" s="202" t="str">
        <f ca="1">IFERROR(VLOOKUP($B47&amp;M$44,A37:G42,6,FALSE)&amp;"-"&amp;VLOOKUP($B47&amp;M$44,A37:G42,7,FALSE),VLOOKUP(M$44&amp;$B47,A37:G42,7,FALSE)&amp;"-"&amp;VLOOKUP(M$44&amp;$B47,A37:G42,6,FALSE))</f>
        <v>1-2</v>
      </c>
      <c r="N47" s="203"/>
      <c r="O47" s="202" t="str">
        <f ca="1">IFERROR(VLOOKUP($B47&amp;O$44,A37:G42,6,FALSE)&amp;"-"&amp;VLOOKUP($B47&amp;O$44,A37:G42,7,FALSE),VLOOKUP(O$44&amp;$B47,A37:G42,7,FALSE)&amp;"-"&amp;VLOOKUP(O$44&amp;$B47,A37:G42,6,FALSE))</f>
        <v>0-0</v>
      </c>
      <c r="P47" s="155"/>
    </row>
    <row r="48" spans="1:16" x14ac:dyDescent="0.25">
      <c r="A48" s="156">
        <v>4</v>
      </c>
      <c r="B48" s="156" t="str">
        <f ca="1">VLOOKUP($A48,Ranking,2,FALSE)</f>
        <v>Bosnia-Herzegovina</v>
      </c>
      <c r="C48" s="157">
        <v>3</v>
      </c>
      <c r="D48" s="157">
        <f ca="1">VLOOKUP($A48,Ranking,4,FALSE)</f>
        <v>0</v>
      </c>
      <c r="E48" s="157">
        <f ca="1">VLOOKUP($A48,Ranking,5,FALSE)</f>
        <v>2</v>
      </c>
      <c r="F48" s="157">
        <f ca="1">VLOOKUP($A48,Ranking,6,FALSE)</f>
        <v>1</v>
      </c>
      <c r="G48" s="157">
        <f ca="1">VLOOKUP($A48,Ranking,7,FALSE)</f>
        <v>2</v>
      </c>
      <c r="H48" s="157">
        <f ca="1">VLOOKUP($A48,Ranking,8,FALSE)</f>
        <v>3</v>
      </c>
      <c r="I48" s="157">
        <f t="shared" ca="1" si="36"/>
        <v>-1</v>
      </c>
      <c r="J48" s="157">
        <f ca="1">D48*Wpts+E48*Dpts+FGrpB!F48*Lpts</f>
        <v>2</v>
      </c>
      <c r="K48" s="201" t="str">
        <f ca="1">B48</f>
        <v>Bosnia-Herzegovina</v>
      </c>
      <c r="L48" s="202" t="str">
        <f ca="1">IFERROR(VLOOKUP($B48&amp;L$44,A37:G42,6,FALSE)&amp;"-"&amp;VLOOKUP($B48&amp;L$44,A37:G42,7,FALSE),VLOOKUP(L$44&amp;$B48,A37:G42,7,FALSE)&amp;"-"&amp;VLOOKUP(L$44&amp;$B48,A37:G42,6,FALSE))</f>
        <v>1-2</v>
      </c>
      <c r="M48" s="202" t="str">
        <f ca="1">IFERROR(VLOOKUP($B48&amp;M$44,A37:G42,6,FALSE)&amp;"-"&amp;VLOOKUP($B48&amp;M$44,A37:G42,7,FALSE),VLOOKUP(M$44&amp;$B48,A37:G42,7,FALSE)&amp;"-"&amp;VLOOKUP(M$44&amp;$B48,A37:G42,6,FALSE))</f>
        <v>1-1</v>
      </c>
      <c r="N48" s="202" t="str">
        <f ca="1">IFERROR(VLOOKUP($B48&amp;N$44,A37:G42,6,FALSE)&amp;"-"&amp;VLOOKUP($B48&amp;N$44,A37:G42,7,FALSE),VLOOKUP(N$44&amp;$B48,A37:G42,7,FALSE)&amp;"-"&amp;VLOOKUP(N$44&amp;$B48,A37:G42,6,FALSE))</f>
        <v>0-0</v>
      </c>
      <c r="O48" s="203"/>
      <c r="P48" s="155"/>
    </row>
    <row r="49" spans="1:16" x14ac:dyDescent="0.25">
      <c r="A49" s="143"/>
      <c r="B49" s="143"/>
      <c r="C49" s="461">
        <f>SUM(C45:C48)</f>
        <v>12</v>
      </c>
      <c r="D49" s="143"/>
      <c r="E49" s="143"/>
      <c r="F49" s="143"/>
      <c r="G49" s="143"/>
      <c r="H49" s="143"/>
      <c r="I49" s="143"/>
      <c r="J49" s="143"/>
      <c r="K49" s="143"/>
      <c r="L49" s="143"/>
      <c r="M49" s="143"/>
      <c r="N49" s="143"/>
      <c r="O49" s="143"/>
      <c r="P49" s="143"/>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218E3-A6E3-46D6-98AA-5AEC47E4B4B0}">
  <sheetPr>
    <tabColor rgb="FFC00000"/>
  </sheetPr>
  <dimension ref="A1:Z49"/>
  <sheetViews>
    <sheetView workbookViewId="0">
      <pane ySplit="2" topLeftCell="A20" activePane="bottomLeft" state="frozen"/>
      <selection activeCell="C42" sqref="C42"/>
      <selection pane="bottomLeft" activeCell="C42" sqref="C42"/>
    </sheetView>
  </sheetViews>
  <sheetFormatPr defaultColWidth="16.7109375" defaultRowHeight="15" x14ac:dyDescent="0.25"/>
  <sheetData>
    <row r="1" spans="1:26" x14ac:dyDescent="0.25">
      <c r="A1" s="228" t="s">
        <v>320</v>
      </c>
      <c r="B1" s="216" t="str">
        <f>A2&amp;1</f>
        <v>G1</v>
      </c>
      <c r="C1" s="216" t="str">
        <f>A2&amp;2</f>
        <v>G2</v>
      </c>
      <c r="D1" s="216" t="str">
        <f>A2&amp;3</f>
        <v>G3</v>
      </c>
      <c r="E1" s="216" t="str">
        <f>A2&amp;4</f>
        <v>G4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330</v>
      </c>
      <c r="B2" s="217" t="str">
        <f>VLOOKUP(B1,Lookup08,2,FALSE)</f>
        <v>Belgium</v>
      </c>
      <c r="C2" s="217" t="str">
        <f>VLOOKUP(C1,Lookup08,2,FALSE)</f>
        <v>Egypt</v>
      </c>
      <c r="D2" s="217" t="str">
        <f>VLOOKUP(D1,Lookup08,2,FALSE)</f>
        <v>IR Iran</v>
      </c>
      <c r="E2" s="217" t="str">
        <f>VLOOKUP(E1,Lookup08,2,FALSE)</f>
        <v>New Zealand</v>
      </c>
      <c r="F2" s="144"/>
      <c r="G2" s="144"/>
      <c r="H2" s="195"/>
      <c r="I2" s="196" t="str">
        <f>B2</f>
        <v>Belgium</v>
      </c>
      <c r="J2" s="196" t="str">
        <f>C2</f>
        <v>Egypt</v>
      </c>
      <c r="K2" s="196" t="str">
        <f>D2</f>
        <v>IR Iran</v>
      </c>
      <c r="L2" s="196" t="str">
        <f>E2</f>
        <v>New Zealand</v>
      </c>
      <c r="M2" s="197" t="s">
        <v>26</v>
      </c>
      <c r="N2" s="195"/>
      <c r="O2" s="196" t="str">
        <f>I2</f>
        <v>Belgium</v>
      </c>
      <c r="P2" s="196" t="str">
        <f t="shared" ref="P2:R2" si="0">J2</f>
        <v>Egypt</v>
      </c>
      <c r="Q2" s="196" t="str">
        <f t="shared" si="0"/>
        <v>IR Iran</v>
      </c>
      <c r="R2" s="196" t="str">
        <f t="shared" si="0"/>
        <v>New Zealand</v>
      </c>
      <c r="S2" s="197" t="s">
        <v>26</v>
      </c>
      <c r="T2" s="195"/>
      <c r="U2" s="196" t="str">
        <f>O2</f>
        <v>Belgium</v>
      </c>
      <c r="V2" s="196" t="str">
        <f t="shared" ref="V2:X2" si="1">P2</f>
        <v>Egypt</v>
      </c>
      <c r="W2" s="196" t="str">
        <f t="shared" si="1"/>
        <v>IR Iran</v>
      </c>
      <c r="X2" s="196" t="str">
        <f t="shared" si="1"/>
        <v>New Zealand</v>
      </c>
      <c r="Y2" s="197" t="s">
        <v>26</v>
      </c>
    </row>
    <row r="3" spans="1:26" x14ac:dyDescent="0.25">
      <c r="A3" s="144"/>
      <c r="B3" s="144"/>
      <c r="C3" s="144"/>
      <c r="F3" s="144"/>
      <c r="G3" s="144"/>
      <c r="H3" s="195" t="str">
        <f>B2</f>
        <v>Belgium</v>
      </c>
      <c r="I3" s="211"/>
      <c r="J3" s="196">
        <f>IF(G10=G11,1,0)</f>
        <v>1</v>
      </c>
      <c r="K3" s="196">
        <f>IF(G10=G12,1,0)</f>
        <v>1</v>
      </c>
      <c r="L3" s="196">
        <f>IF(G10=G13,1,0)</f>
        <v>1</v>
      </c>
      <c r="M3" s="197">
        <f>SUM(I3:L3)</f>
        <v>3</v>
      </c>
      <c r="N3" s="195" t="str">
        <f>H3</f>
        <v>Belgium</v>
      </c>
      <c r="O3" s="211"/>
      <c r="P3" s="196">
        <f>IF(M10=M11,1,0)</f>
        <v>1</v>
      </c>
      <c r="Q3" s="196">
        <f>IF(M10=M12,1,0)</f>
        <v>0</v>
      </c>
      <c r="R3" s="196">
        <f>IF(M10=M13,1,0)</f>
        <v>0</v>
      </c>
      <c r="S3" s="197">
        <f>SUM(O3:R3)</f>
        <v>1</v>
      </c>
      <c r="T3" s="195" t="str">
        <f>N3</f>
        <v>Belgium</v>
      </c>
      <c r="U3" s="211"/>
      <c r="V3" s="196">
        <f>IF(S10=S11,1,0)</f>
        <v>1</v>
      </c>
      <c r="W3" s="196">
        <f>IF(S10=S12,1,0)</f>
        <v>0</v>
      </c>
      <c r="X3" s="196">
        <f>IF(S10=S13,1,0)</f>
        <v>0</v>
      </c>
      <c r="Y3" s="197">
        <f>SUM(U3:X3)</f>
        <v>1</v>
      </c>
    </row>
    <row r="4" spans="1:26" x14ac:dyDescent="0.25">
      <c r="A4" s="144"/>
      <c r="B4" s="144"/>
      <c r="C4" s="144"/>
      <c r="F4" s="144"/>
      <c r="G4" s="144"/>
      <c r="H4" s="195" t="str">
        <f>C2</f>
        <v>Egypt</v>
      </c>
      <c r="I4" s="196">
        <f>IF(G11=G10,1,0)</f>
        <v>1</v>
      </c>
      <c r="J4" s="211"/>
      <c r="K4" s="196">
        <f>IF(G11=G12,1,0)</f>
        <v>1</v>
      </c>
      <c r="L4" s="196">
        <f>IF(G11=G13,1,0)</f>
        <v>1</v>
      </c>
      <c r="M4" s="197">
        <f>SUM(I4:L4)</f>
        <v>3</v>
      </c>
      <c r="N4" s="195" t="str">
        <f t="shared" ref="N4:N6" si="2">H4</f>
        <v>Egypt</v>
      </c>
      <c r="O4" s="196">
        <f>IF(M11=M10,1,0)</f>
        <v>1</v>
      </c>
      <c r="P4" s="211"/>
      <c r="Q4" s="196">
        <f>IF(M11=M12,1,0)</f>
        <v>0</v>
      </c>
      <c r="R4" s="196">
        <f>IF(M11=M13,1,0)</f>
        <v>0</v>
      </c>
      <c r="S4" s="197">
        <f>SUM(O4:R4)</f>
        <v>1</v>
      </c>
      <c r="T4" s="195" t="str">
        <f t="shared" ref="T4:T6" si="3">N4</f>
        <v>Egypt</v>
      </c>
      <c r="U4" s="196">
        <f>IF(S11=S10,1,0)</f>
        <v>1</v>
      </c>
      <c r="V4" s="211"/>
      <c r="W4" s="196">
        <f>IF(S11=S12,1,0)</f>
        <v>0</v>
      </c>
      <c r="X4" s="196">
        <f>IF(S11=S13,1,0)</f>
        <v>0</v>
      </c>
      <c r="Y4" s="197">
        <f>SUM(U4:X4)</f>
        <v>1</v>
      </c>
    </row>
    <row r="5" spans="1:26" x14ac:dyDescent="0.25">
      <c r="A5" s="144"/>
      <c r="B5" s="144"/>
      <c r="C5" s="144"/>
      <c r="F5" s="144"/>
      <c r="G5" s="144"/>
      <c r="H5" s="195" t="str">
        <f>D2</f>
        <v>IR Iran</v>
      </c>
      <c r="I5" s="196">
        <f>IF(G12=G10,1,0)</f>
        <v>1</v>
      </c>
      <c r="J5" s="196">
        <f>IF(G12=G11,1,0)</f>
        <v>1</v>
      </c>
      <c r="K5" s="211"/>
      <c r="L5" s="196">
        <f>IF(G12=G13,1,0)</f>
        <v>1</v>
      </c>
      <c r="M5" s="197">
        <f>SUM(I5:L5)</f>
        <v>3</v>
      </c>
      <c r="N5" s="195" t="str">
        <f t="shared" si="2"/>
        <v>IR Iran</v>
      </c>
      <c r="O5" s="196">
        <f>IF(M12=M10,1,0)</f>
        <v>0</v>
      </c>
      <c r="P5" s="196">
        <f>IF(M12=M11,1,0)</f>
        <v>0</v>
      </c>
      <c r="Q5" s="211"/>
      <c r="R5" s="196">
        <f>IF(M12=M13,1,0)</f>
        <v>1</v>
      </c>
      <c r="S5" s="197">
        <f>SUM(O5:R5)</f>
        <v>1</v>
      </c>
      <c r="T5" s="195" t="str">
        <f t="shared" si="3"/>
        <v>IR Iran</v>
      </c>
      <c r="U5" s="196">
        <f>IF(S12=S10,1,0)</f>
        <v>0</v>
      </c>
      <c r="V5" s="196">
        <f>IF(S12=S11,1,0)</f>
        <v>0</v>
      </c>
      <c r="W5" s="211"/>
      <c r="X5" s="196">
        <f>IF(S12=S13,1,0)</f>
        <v>1</v>
      </c>
      <c r="Y5" s="197">
        <f>SUM(U5:X5)</f>
        <v>1</v>
      </c>
    </row>
    <row r="6" spans="1:26" x14ac:dyDescent="0.25">
      <c r="A6" s="144"/>
      <c r="B6" s="144"/>
      <c r="C6" s="144"/>
      <c r="F6" s="144"/>
      <c r="G6" s="144"/>
      <c r="H6" s="198" t="str">
        <f>E2</f>
        <v>New Zealand</v>
      </c>
      <c r="I6" s="199">
        <f>IF(G13=G10,1,0)</f>
        <v>1</v>
      </c>
      <c r="J6" s="199">
        <f>IF(G13=G11,1,0)</f>
        <v>1</v>
      </c>
      <c r="K6" s="199">
        <f>IF(G13=G12,1,0)</f>
        <v>1</v>
      </c>
      <c r="L6" s="212"/>
      <c r="M6" s="200">
        <f>SUM(I6:L6)</f>
        <v>3</v>
      </c>
      <c r="N6" s="198" t="str">
        <f t="shared" si="2"/>
        <v>New Zealand</v>
      </c>
      <c r="O6" s="199">
        <f>IF(M13=M10,1,0)</f>
        <v>0</v>
      </c>
      <c r="P6" s="199">
        <f>IF(M13=M11,1,0)</f>
        <v>0</v>
      </c>
      <c r="Q6" s="199">
        <f>IF(M13=M12,1,0)</f>
        <v>1</v>
      </c>
      <c r="R6" s="212"/>
      <c r="S6" s="200">
        <f>SUM(O6:R6)</f>
        <v>1</v>
      </c>
      <c r="T6" s="198" t="str">
        <f t="shared" si="3"/>
        <v>New Zealand</v>
      </c>
      <c r="U6" s="199">
        <f>IF(S13=S10,1,0)</f>
        <v>0</v>
      </c>
      <c r="V6" s="199">
        <f>IF(S13=S11,1,0)</f>
        <v>0</v>
      </c>
      <c r="W6" s="199">
        <f>IF(S13=S12,1,0)</f>
        <v>1</v>
      </c>
      <c r="X6" s="212"/>
      <c r="Y6" s="200">
        <f>SUM(U6:X6)</f>
        <v>1</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Belgium</v>
      </c>
      <c r="D9" s="190" t="str">
        <f>C2</f>
        <v>Egypt</v>
      </c>
      <c r="E9" s="190" t="str">
        <f>D2</f>
        <v>IR Iran</v>
      </c>
      <c r="F9" s="190" t="str">
        <f>E2</f>
        <v>New Zealand</v>
      </c>
      <c r="G9" s="191" t="s">
        <v>26</v>
      </c>
      <c r="H9" s="189"/>
      <c r="I9" s="190" t="str">
        <f>C9</f>
        <v>Belgium</v>
      </c>
      <c r="J9" s="190" t="str">
        <f t="shared" ref="J9:L9" si="4">D9</f>
        <v>Egypt</v>
      </c>
      <c r="K9" s="190" t="str">
        <f t="shared" si="4"/>
        <v>IR Iran</v>
      </c>
      <c r="L9" s="190" t="str">
        <f t="shared" si="4"/>
        <v>New Zealand</v>
      </c>
      <c r="M9" s="191" t="s">
        <v>26</v>
      </c>
      <c r="N9" s="189"/>
      <c r="O9" s="190" t="str">
        <f>I9</f>
        <v>Belgium</v>
      </c>
      <c r="P9" s="190" t="str">
        <f t="shared" ref="P9:R9" si="5">J9</f>
        <v>Egypt</v>
      </c>
      <c r="Q9" s="190" t="str">
        <f t="shared" si="5"/>
        <v>IR Iran</v>
      </c>
      <c r="R9" s="190" t="str">
        <f t="shared" si="5"/>
        <v>New Zealand</v>
      </c>
      <c r="S9" s="191" t="s">
        <v>26</v>
      </c>
      <c r="T9" s="189"/>
      <c r="U9" s="190" t="str">
        <f>O9</f>
        <v>Belgium</v>
      </c>
      <c r="V9" s="190" t="str">
        <f t="shared" ref="V9:X9" si="6">P9</f>
        <v>Egypt</v>
      </c>
      <c r="W9" s="190" t="str">
        <f t="shared" si="6"/>
        <v>IR Iran</v>
      </c>
      <c r="X9" s="190" t="str">
        <f t="shared" si="6"/>
        <v>New Zealand</v>
      </c>
      <c r="Y9" s="191" t="s">
        <v>26</v>
      </c>
      <c r="Z9" s="227" t="s">
        <v>309</v>
      </c>
    </row>
    <row r="10" spans="1:26" x14ac:dyDescent="0.25">
      <c r="A10" s="144"/>
      <c r="B10" s="189" t="str">
        <f>B2</f>
        <v>Belgium</v>
      </c>
      <c r="C10" s="204"/>
      <c r="D10" s="190">
        <f>H37</f>
        <v>1</v>
      </c>
      <c r="E10" s="190">
        <f>H39</f>
        <v>0</v>
      </c>
      <c r="F10" s="190">
        <f>I42</f>
        <v>0</v>
      </c>
      <c r="G10" s="191">
        <f>SUM(C10:F10)</f>
        <v>1</v>
      </c>
      <c r="H10" s="189" t="str">
        <f>B10</f>
        <v>Belgium</v>
      </c>
      <c r="I10" s="218">
        <f>C10+I17/100+I24/10000</f>
        <v>0</v>
      </c>
      <c r="J10" s="219">
        <f t="shared" ref="J10:L10" si="7">D10+J17/100+J24/10000</f>
        <v>1.0001</v>
      </c>
      <c r="K10" s="219">
        <f t="shared" si="7"/>
        <v>0</v>
      </c>
      <c r="L10" s="219">
        <f t="shared" si="7"/>
        <v>0</v>
      </c>
      <c r="M10" s="220">
        <f>SUM(I10:L10)</f>
        <v>1.0001</v>
      </c>
      <c r="N10" s="189" t="str">
        <f>H10</f>
        <v>Belgium</v>
      </c>
      <c r="O10" s="218">
        <f>I10+O17/100+O24/10000</f>
        <v>0</v>
      </c>
      <c r="P10" s="219">
        <f t="shared" ref="P10:R13" si="8">J10+P17/100+P24/10000</f>
        <v>1.0002</v>
      </c>
      <c r="Q10" s="219">
        <f t="shared" si="8"/>
        <v>0</v>
      </c>
      <c r="R10" s="219">
        <f t="shared" si="8"/>
        <v>0</v>
      </c>
      <c r="S10" s="220">
        <f>SUM(O10:R10)</f>
        <v>1.0002</v>
      </c>
      <c r="T10" s="189" t="str">
        <f>N10</f>
        <v>Belgium</v>
      </c>
      <c r="U10" s="218">
        <f>O10+U17/100+U24/10000</f>
        <v>0</v>
      </c>
      <c r="V10" s="219">
        <f t="shared" ref="V10:X13" si="9">P10+V17/100+V24/10000</f>
        <v>1.0003</v>
      </c>
      <c r="W10" s="219">
        <f t="shared" si="9"/>
        <v>0</v>
      </c>
      <c r="X10" s="219">
        <f t="shared" si="9"/>
        <v>0</v>
      </c>
      <c r="Y10" s="220">
        <f>ROUND(SUM(U10:X10),8)</f>
        <v>1.0003</v>
      </c>
      <c r="Z10" s="224">
        <f>_xlfn.RANK.EQ(Y10,Y$10:Y$13,1)</f>
        <v>1</v>
      </c>
    </row>
    <row r="11" spans="1:26" x14ac:dyDescent="0.25">
      <c r="A11" s="144"/>
      <c r="B11" s="189" t="str">
        <f>C2</f>
        <v>Egypt</v>
      </c>
      <c r="C11" s="190">
        <f>I37</f>
        <v>1</v>
      </c>
      <c r="D11" s="204"/>
      <c r="E11" s="190">
        <f>H41</f>
        <v>0</v>
      </c>
      <c r="F11" s="190">
        <f>I40</f>
        <v>0</v>
      </c>
      <c r="G11" s="191">
        <f>SUM(C11:F11)</f>
        <v>1</v>
      </c>
      <c r="H11" s="189" t="str">
        <f t="shared" ref="H11:H13" si="10">B11</f>
        <v>Egypt</v>
      </c>
      <c r="I11" s="219">
        <f t="shared" ref="I11:L13" si="11">C11+I18/100+I25/10000</f>
        <v>1.0001</v>
      </c>
      <c r="J11" s="218">
        <f t="shared" si="11"/>
        <v>0</v>
      </c>
      <c r="K11" s="219">
        <f t="shared" si="11"/>
        <v>0</v>
      </c>
      <c r="L11" s="219">
        <f t="shared" si="11"/>
        <v>0</v>
      </c>
      <c r="M11" s="220">
        <f>SUM(I11:L11)</f>
        <v>1.0001</v>
      </c>
      <c r="N11" s="189" t="str">
        <f t="shared" ref="N11:N13" si="12">H11</f>
        <v>Egypt</v>
      </c>
      <c r="O11" s="219">
        <f t="shared" ref="O11:O13" si="13">I11+O18/100+O25/10000</f>
        <v>1.0002</v>
      </c>
      <c r="P11" s="218">
        <f t="shared" si="8"/>
        <v>0</v>
      </c>
      <c r="Q11" s="219">
        <f t="shared" si="8"/>
        <v>0</v>
      </c>
      <c r="R11" s="219">
        <f t="shared" si="8"/>
        <v>0</v>
      </c>
      <c r="S11" s="220">
        <f>SUM(O11:R11)</f>
        <v>1.0002</v>
      </c>
      <c r="T11" s="189" t="str">
        <f t="shared" ref="T11:T13" si="14">N11</f>
        <v>Egypt</v>
      </c>
      <c r="U11" s="219">
        <f t="shared" ref="U11:U13" si="15">O11+U18/100+U25/10000</f>
        <v>1.0003</v>
      </c>
      <c r="V11" s="218">
        <f t="shared" si="9"/>
        <v>0</v>
      </c>
      <c r="W11" s="219">
        <f t="shared" si="9"/>
        <v>0</v>
      </c>
      <c r="X11" s="219">
        <f t="shared" si="9"/>
        <v>0</v>
      </c>
      <c r="Y11" s="220">
        <f t="shared" ref="Y11:Y13" si="16">ROUND(SUM(U11:X11),8)</f>
        <v>1.0003</v>
      </c>
      <c r="Z11" s="224">
        <f t="shared" ref="Z11:Z13" si="17">_xlfn.RANK.EQ(Y11,Y$10:Y$13,1)</f>
        <v>1</v>
      </c>
    </row>
    <row r="12" spans="1:26" x14ac:dyDescent="0.25">
      <c r="A12" s="144"/>
      <c r="B12" s="189" t="str">
        <f>D2</f>
        <v>IR Iran</v>
      </c>
      <c r="C12" s="190">
        <f>I39</f>
        <v>0</v>
      </c>
      <c r="D12" s="190">
        <f>I41</f>
        <v>0</v>
      </c>
      <c r="E12" s="204"/>
      <c r="F12" s="190">
        <f>H38</f>
        <v>1</v>
      </c>
      <c r="G12" s="191">
        <f>SUM(C12:F12)</f>
        <v>1</v>
      </c>
      <c r="H12" s="189" t="str">
        <f t="shared" si="10"/>
        <v>IR Iran</v>
      </c>
      <c r="I12" s="219">
        <f t="shared" si="11"/>
        <v>0</v>
      </c>
      <c r="J12" s="219">
        <f t="shared" si="11"/>
        <v>0</v>
      </c>
      <c r="K12" s="218">
        <f t="shared" si="11"/>
        <v>0</v>
      </c>
      <c r="L12" s="219">
        <f t="shared" si="11"/>
        <v>1.0002</v>
      </c>
      <c r="M12" s="220">
        <f>SUM(I12:L12)</f>
        <v>1.0002</v>
      </c>
      <c r="N12" s="189" t="str">
        <f t="shared" si="12"/>
        <v>IR Iran</v>
      </c>
      <c r="O12" s="219">
        <f t="shared" si="13"/>
        <v>0</v>
      </c>
      <c r="P12" s="219">
        <f t="shared" si="8"/>
        <v>0</v>
      </c>
      <c r="Q12" s="218">
        <f t="shared" si="8"/>
        <v>0</v>
      </c>
      <c r="R12" s="219">
        <f t="shared" si="8"/>
        <v>1.0004</v>
      </c>
      <c r="S12" s="220">
        <f>SUM(O12:R12)</f>
        <v>1.0004</v>
      </c>
      <c r="T12" s="189" t="str">
        <f t="shared" si="14"/>
        <v>IR Iran</v>
      </c>
      <c r="U12" s="219">
        <f t="shared" si="15"/>
        <v>0</v>
      </c>
      <c r="V12" s="219">
        <f t="shared" si="9"/>
        <v>0</v>
      </c>
      <c r="W12" s="218">
        <f t="shared" si="9"/>
        <v>0</v>
      </c>
      <c r="X12" s="219">
        <f t="shared" si="9"/>
        <v>1.0005999999999999</v>
      </c>
      <c r="Y12" s="220">
        <f t="shared" si="16"/>
        <v>1.0005999999999999</v>
      </c>
      <c r="Z12" s="224">
        <f t="shared" si="17"/>
        <v>3</v>
      </c>
    </row>
    <row r="13" spans="1:26" x14ac:dyDescent="0.25">
      <c r="A13" s="144"/>
      <c r="B13" s="192" t="str">
        <f>E2</f>
        <v>New Zealand</v>
      </c>
      <c r="C13" s="193">
        <f>H42</f>
        <v>0</v>
      </c>
      <c r="D13" s="193">
        <f>H40</f>
        <v>0</v>
      </c>
      <c r="E13" s="193">
        <f>I38</f>
        <v>1</v>
      </c>
      <c r="F13" s="205"/>
      <c r="G13" s="194">
        <f>SUM(C13:F13)</f>
        <v>1</v>
      </c>
      <c r="H13" s="192" t="str">
        <f t="shared" si="10"/>
        <v>New Zealand</v>
      </c>
      <c r="I13" s="221">
        <f t="shared" si="11"/>
        <v>0</v>
      </c>
      <c r="J13" s="221">
        <f t="shared" si="11"/>
        <v>0</v>
      </c>
      <c r="K13" s="221">
        <f t="shared" si="11"/>
        <v>1.0002</v>
      </c>
      <c r="L13" s="222">
        <f t="shared" si="11"/>
        <v>0</v>
      </c>
      <c r="M13" s="223">
        <f>SUM(I13:L13)</f>
        <v>1.0002</v>
      </c>
      <c r="N13" s="192" t="str">
        <f t="shared" si="12"/>
        <v>New Zealand</v>
      </c>
      <c r="O13" s="221">
        <f t="shared" si="13"/>
        <v>0</v>
      </c>
      <c r="P13" s="221">
        <f t="shared" si="8"/>
        <v>0</v>
      </c>
      <c r="Q13" s="221">
        <f t="shared" si="8"/>
        <v>1.0004</v>
      </c>
      <c r="R13" s="222">
        <f t="shared" si="8"/>
        <v>0</v>
      </c>
      <c r="S13" s="223">
        <f>SUM(O13:R13)</f>
        <v>1.0004</v>
      </c>
      <c r="T13" s="192" t="str">
        <f t="shared" si="14"/>
        <v>New Zealand</v>
      </c>
      <c r="U13" s="221">
        <f t="shared" si="15"/>
        <v>0</v>
      </c>
      <c r="V13" s="221">
        <f t="shared" si="9"/>
        <v>0</v>
      </c>
      <c r="W13" s="221">
        <f t="shared" si="9"/>
        <v>1.0005999999999999</v>
      </c>
      <c r="X13" s="222">
        <f t="shared" si="9"/>
        <v>0</v>
      </c>
      <c r="Y13" s="223">
        <f t="shared" si="16"/>
        <v>1.0005999999999999</v>
      </c>
      <c r="Z13" s="225">
        <f t="shared" si="17"/>
        <v>3</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Belgium</v>
      </c>
      <c r="D16" s="177" t="str">
        <f>C2</f>
        <v>Egypt</v>
      </c>
      <c r="E16" s="177" t="str">
        <f>D2</f>
        <v>IR Iran</v>
      </c>
      <c r="F16" s="177" t="str">
        <f>E2</f>
        <v>New Zealand</v>
      </c>
      <c r="G16" s="178" t="s">
        <v>26</v>
      </c>
      <c r="H16" s="183"/>
      <c r="I16" s="184" t="str">
        <f>C16</f>
        <v>Belgium</v>
      </c>
      <c r="J16" s="184" t="str">
        <f t="shared" ref="J16:L16" si="18">D16</f>
        <v>Egypt</v>
      </c>
      <c r="K16" s="184" t="str">
        <f t="shared" si="18"/>
        <v>IR Iran</v>
      </c>
      <c r="L16" s="184" t="str">
        <f t="shared" si="18"/>
        <v>New Zealand</v>
      </c>
      <c r="M16" s="185" t="s">
        <v>26</v>
      </c>
      <c r="N16" s="183"/>
      <c r="O16" s="184" t="str">
        <f>I16</f>
        <v>Belgium</v>
      </c>
      <c r="P16" s="184" t="str">
        <f t="shared" ref="P16:R16" si="19">J16</f>
        <v>Egypt</v>
      </c>
      <c r="Q16" s="184" t="str">
        <f t="shared" si="19"/>
        <v>IR Iran</v>
      </c>
      <c r="R16" s="184" t="str">
        <f t="shared" si="19"/>
        <v>New Zealand</v>
      </c>
      <c r="S16" s="185" t="s">
        <v>26</v>
      </c>
      <c r="T16" s="183"/>
      <c r="U16" s="184" t="str">
        <f>O16</f>
        <v>Belgium</v>
      </c>
      <c r="V16" s="184" t="str">
        <f t="shared" ref="V16:X16" si="20">P16</f>
        <v>Egypt</v>
      </c>
      <c r="W16" s="184" t="str">
        <f t="shared" si="20"/>
        <v>IR Iran</v>
      </c>
      <c r="X16" s="184" t="str">
        <f t="shared" si="20"/>
        <v>New Zealand</v>
      </c>
      <c r="Y16" s="185" t="s">
        <v>26</v>
      </c>
    </row>
    <row r="17" spans="1:25" x14ac:dyDescent="0.25">
      <c r="A17" s="144"/>
      <c r="B17" s="176" t="str">
        <f>B2</f>
        <v>Belgium</v>
      </c>
      <c r="C17" s="206"/>
      <c r="D17" s="179">
        <f>IFERROR(F37-G37,0)</f>
        <v>0</v>
      </c>
      <c r="E17" s="179">
        <f>IFERROR(F39-G39,0)</f>
        <v>0</v>
      </c>
      <c r="F17" s="179">
        <f>IFERROR(G42-F42,0)</f>
        <v>0</v>
      </c>
      <c r="G17" s="178">
        <f>SUM(C17:F17)</f>
        <v>0</v>
      </c>
      <c r="H17" s="183" t="str">
        <f>B17</f>
        <v>Belgium</v>
      </c>
      <c r="I17" s="208"/>
      <c r="J17" s="184">
        <f>D17*J3</f>
        <v>0</v>
      </c>
      <c r="K17" s="184">
        <f>E17*K3</f>
        <v>0</v>
      </c>
      <c r="L17" s="184">
        <f>F17*L3</f>
        <v>0</v>
      </c>
      <c r="M17" s="185">
        <f>SUM(I17:L17)</f>
        <v>0</v>
      </c>
      <c r="N17" s="183" t="str">
        <f>H17</f>
        <v>Belgium</v>
      </c>
      <c r="O17" s="208"/>
      <c r="P17" s="184">
        <f>J17*P3</f>
        <v>0</v>
      </c>
      <c r="Q17" s="184">
        <f>K17*Q3</f>
        <v>0</v>
      </c>
      <c r="R17" s="184">
        <f>L17*R3</f>
        <v>0</v>
      </c>
      <c r="S17" s="185">
        <f>SUM(O17:R17)</f>
        <v>0</v>
      </c>
      <c r="T17" s="183" t="str">
        <f>N17</f>
        <v>Belgium</v>
      </c>
      <c r="U17" s="208"/>
      <c r="V17" s="184">
        <f>P17*V3</f>
        <v>0</v>
      </c>
      <c r="W17" s="184">
        <f>Q17*W3</f>
        <v>0</v>
      </c>
      <c r="X17" s="184">
        <f>R17*X3</f>
        <v>0</v>
      </c>
      <c r="Y17" s="185">
        <f>SUM(U17:X17)</f>
        <v>0</v>
      </c>
    </row>
    <row r="18" spans="1:25" x14ac:dyDescent="0.25">
      <c r="A18" s="144"/>
      <c r="B18" s="176" t="str">
        <f>C2</f>
        <v>Egypt</v>
      </c>
      <c r="C18" s="179">
        <f>IFERROR(G37-F37,0)</f>
        <v>0</v>
      </c>
      <c r="D18" s="206"/>
      <c r="E18" s="179">
        <f>IFERROR(F41-G41,0)</f>
        <v>0</v>
      </c>
      <c r="F18" s="179">
        <f>IFERROR(G40-F40,0)</f>
        <v>0</v>
      </c>
      <c r="G18" s="178">
        <f>SUM(C18:F18)</f>
        <v>0</v>
      </c>
      <c r="H18" s="183" t="str">
        <f t="shared" ref="H18:H20" si="21">B18</f>
        <v>Egypt</v>
      </c>
      <c r="I18" s="184">
        <f>C18*I4</f>
        <v>0</v>
      </c>
      <c r="J18" s="208"/>
      <c r="K18" s="184">
        <f>E18*K4</f>
        <v>0</v>
      </c>
      <c r="L18" s="184">
        <f>F18*L4</f>
        <v>0</v>
      </c>
      <c r="M18" s="185">
        <f>SUM(I18:L18)</f>
        <v>0</v>
      </c>
      <c r="N18" s="183" t="str">
        <f t="shared" ref="N18:N20" si="22">H18</f>
        <v>Egypt</v>
      </c>
      <c r="O18" s="184">
        <f>I18*O4</f>
        <v>0</v>
      </c>
      <c r="P18" s="208"/>
      <c r="Q18" s="184">
        <f>K18*Q4</f>
        <v>0</v>
      </c>
      <c r="R18" s="184">
        <f>L18*R4</f>
        <v>0</v>
      </c>
      <c r="S18" s="185">
        <f>SUM(O18:R18)</f>
        <v>0</v>
      </c>
      <c r="T18" s="183" t="str">
        <f t="shared" ref="T18:T20" si="23">N18</f>
        <v>Egypt</v>
      </c>
      <c r="U18" s="184">
        <f>O18*U4</f>
        <v>0</v>
      </c>
      <c r="V18" s="208"/>
      <c r="W18" s="184">
        <f>Q18*W4</f>
        <v>0</v>
      </c>
      <c r="X18" s="184">
        <f>R18*X4</f>
        <v>0</v>
      </c>
      <c r="Y18" s="185">
        <f>SUM(U18:X18)</f>
        <v>0</v>
      </c>
    </row>
    <row r="19" spans="1:25" x14ac:dyDescent="0.25">
      <c r="A19" s="144"/>
      <c r="B19" s="176" t="str">
        <f>D2</f>
        <v>IR Iran</v>
      </c>
      <c r="C19" s="179">
        <f>IFERROR(G39-F39,0)</f>
        <v>0</v>
      </c>
      <c r="D19" s="179">
        <f>IFERROR(G41-F41,0)</f>
        <v>0</v>
      </c>
      <c r="E19" s="206"/>
      <c r="F19" s="179">
        <f>IFERROR(F38-G38,0)</f>
        <v>0</v>
      </c>
      <c r="G19" s="178">
        <f>SUM(C19:F19)</f>
        <v>0</v>
      </c>
      <c r="H19" s="183" t="str">
        <f t="shared" si="21"/>
        <v>IR Iran</v>
      </c>
      <c r="I19" s="184">
        <f>C19*I5</f>
        <v>0</v>
      </c>
      <c r="J19" s="184">
        <f>D19*J5</f>
        <v>0</v>
      </c>
      <c r="K19" s="208"/>
      <c r="L19" s="184">
        <f>F19*L5</f>
        <v>0</v>
      </c>
      <c r="M19" s="185">
        <f>SUM(I19:L19)</f>
        <v>0</v>
      </c>
      <c r="N19" s="183" t="str">
        <f t="shared" si="22"/>
        <v>IR Iran</v>
      </c>
      <c r="O19" s="184">
        <f>I19*O5</f>
        <v>0</v>
      </c>
      <c r="P19" s="184">
        <f>J19*P5</f>
        <v>0</v>
      </c>
      <c r="Q19" s="208"/>
      <c r="R19" s="184">
        <f>L19*R5</f>
        <v>0</v>
      </c>
      <c r="S19" s="185">
        <f>SUM(O19:R19)</f>
        <v>0</v>
      </c>
      <c r="T19" s="183" t="str">
        <f t="shared" si="23"/>
        <v>IR Iran</v>
      </c>
      <c r="U19" s="184">
        <f>O19*U5</f>
        <v>0</v>
      </c>
      <c r="V19" s="184">
        <f>P19*V5</f>
        <v>0</v>
      </c>
      <c r="W19" s="208"/>
      <c r="X19" s="184">
        <f>R19*X5</f>
        <v>0</v>
      </c>
      <c r="Y19" s="185">
        <f>SUM(U19:X19)</f>
        <v>0</v>
      </c>
    </row>
    <row r="20" spans="1:25" x14ac:dyDescent="0.25">
      <c r="A20" s="144"/>
      <c r="B20" s="180" t="str">
        <f>E2</f>
        <v>New Zealand</v>
      </c>
      <c r="C20" s="181">
        <f>IFERROR(F42-G42,0)</f>
        <v>0</v>
      </c>
      <c r="D20" s="181">
        <f>IFERROR(F40-G40,0)</f>
        <v>0</v>
      </c>
      <c r="E20" s="181">
        <f>IFERROR(G38-F38,0)</f>
        <v>0</v>
      </c>
      <c r="F20" s="207"/>
      <c r="G20" s="182">
        <f>SUM(C20:F20)</f>
        <v>0</v>
      </c>
      <c r="H20" s="186" t="str">
        <f t="shared" si="21"/>
        <v>New Zealand</v>
      </c>
      <c r="I20" s="187">
        <f>C20*I6</f>
        <v>0</v>
      </c>
      <c r="J20" s="187">
        <f>D20*J6</f>
        <v>0</v>
      </c>
      <c r="K20" s="187">
        <f>E20*K6</f>
        <v>0</v>
      </c>
      <c r="L20" s="213"/>
      <c r="M20" s="188">
        <f>SUM(I20:L20)</f>
        <v>0</v>
      </c>
      <c r="N20" s="186" t="str">
        <f t="shared" si="22"/>
        <v>New Zealand</v>
      </c>
      <c r="O20" s="187">
        <f>I20*O6</f>
        <v>0</v>
      </c>
      <c r="P20" s="187">
        <f>J20*P6</f>
        <v>0</v>
      </c>
      <c r="Q20" s="187">
        <f>K20*Q6</f>
        <v>0</v>
      </c>
      <c r="R20" s="213"/>
      <c r="S20" s="188">
        <f>SUM(O20:R20)</f>
        <v>0</v>
      </c>
      <c r="T20" s="186" t="str">
        <f t="shared" si="23"/>
        <v>New Zealand</v>
      </c>
      <c r="U20" s="187">
        <f>O20*U6</f>
        <v>0</v>
      </c>
      <c r="V20" s="187">
        <f>P20*V6</f>
        <v>0</v>
      </c>
      <c r="W20" s="187">
        <f>Q20*W6</f>
        <v>0</v>
      </c>
      <c r="X20" s="213"/>
      <c r="Y20" s="188">
        <f>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Belgium</v>
      </c>
      <c r="D23" s="164" t="str">
        <f>C2</f>
        <v>Egypt</v>
      </c>
      <c r="E23" s="164" t="str">
        <f>D2</f>
        <v>IR Iran</v>
      </c>
      <c r="F23" s="164" t="str">
        <f>E2</f>
        <v>New Zealand</v>
      </c>
      <c r="G23" s="165" t="s">
        <v>26</v>
      </c>
      <c r="H23" s="169"/>
      <c r="I23" s="170" t="str">
        <f>C23</f>
        <v>Belgium</v>
      </c>
      <c r="J23" s="170" t="str">
        <f t="shared" ref="J23:L23" si="24">D23</f>
        <v>Egypt</v>
      </c>
      <c r="K23" s="170" t="str">
        <f t="shared" si="24"/>
        <v>IR Iran</v>
      </c>
      <c r="L23" s="170" t="str">
        <f t="shared" si="24"/>
        <v>New Zealand</v>
      </c>
      <c r="M23" s="171" t="s">
        <v>26</v>
      </c>
      <c r="N23" s="169"/>
      <c r="O23" s="170" t="str">
        <f>I23</f>
        <v>Belgium</v>
      </c>
      <c r="P23" s="170" t="str">
        <f t="shared" ref="P23:R23" si="25">J23</f>
        <v>Egypt</v>
      </c>
      <c r="Q23" s="170" t="str">
        <f t="shared" si="25"/>
        <v>IR Iran</v>
      </c>
      <c r="R23" s="170" t="str">
        <f t="shared" si="25"/>
        <v>New Zealand</v>
      </c>
      <c r="S23" s="171" t="s">
        <v>26</v>
      </c>
      <c r="T23" s="169"/>
      <c r="U23" s="170" t="str">
        <f>O23</f>
        <v>Belgium</v>
      </c>
      <c r="V23" s="170" t="str">
        <f t="shared" ref="V23:X23" si="26">P23</f>
        <v>Egypt</v>
      </c>
      <c r="W23" s="170" t="str">
        <f t="shared" si="26"/>
        <v>IR Iran</v>
      </c>
      <c r="X23" s="170" t="str">
        <f t="shared" si="26"/>
        <v>New Zealand</v>
      </c>
      <c r="Y23" s="171" t="s">
        <v>26</v>
      </c>
    </row>
    <row r="24" spans="1:25" x14ac:dyDescent="0.25">
      <c r="A24" s="143"/>
      <c r="B24" s="163" t="str">
        <f>B2</f>
        <v>Belgium</v>
      </c>
      <c r="C24" s="209"/>
      <c r="D24" s="164">
        <f>IF(F37="",0,F37)</f>
        <v>1</v>
      </c>
      <c r="E24" s="164">
        <f>IF(F39="",0,F39)</f>
        <v>0</v>
      </c>
      <c r="F24" s="164">
        <f>IF(G42="",0,G42)</f>
        <v>0</v>
      </c>
      <c r="G24" s="165">
        <f>SUM(C24:F24)</f>
        <v>1</v>
      </c>
      <c r="H24" s="169" t="str">
        <f>B24</f>
        <v>Belgium</v>
      </c>
      <c r="I24" s="214"/>
      <c r="J24" s="170">
        <f>D24*J3</f>
        <v>1</v>
      </c>
      <c r="K24" s="170">
        <f>E24*K3</f>
        <v>0</v>
      </c>
      <c r="L24" s="170">
        <f>F24*L3</f>
        <v>0</v>
      </c>
      <c r="M24" s="171">
        <f>SUM(I24:L24)</f>
        <v>1</v>
      </c>
      <c r="N24" s="169" t="str">
        <f>H24</f>
        <v>Belgium</v>
      </c>
      <c r="O24" s="214"/>
      <c r="P24" s="170">
        <f>J24*P3</f>
        <v>1</v>
      </c>
      <c r="Q24" s="170">
        <f>K24*Q3</f>
        <v>0</v>
      </c>
      <c r="R24" s="170">
        <f>L24*R3</f>
        <v>0</v>
      </c>
      <c r="S24" s="171">
        <f>SUM(O24:R24)</f>
        <v>1</v>
      </c>
      <c r="T24" s="169" t="str">
        <f>N24</f>
        <v>Belgium</v>
      </c>
      <c r="U24" s="214"/>
      <c r="V24" s="170">
        <f>P24*V3</f>
        <v>1</v>
      </c>
      <c r="W24" s="170">
        <f>Q24*W3</f>
        <v>0</v>
      </c>
      <c r="X24" s="170">
        <f>R24*X3</f>
        <v>0</v>
      </c>
      <c r="Y24" s="171">
        <f>SUM(U24:X24)</f>
        <v>1</v>
      </c>
    </row>
    <row r="25" spans="1:25" x14ac:dyDescent="0.25">
      <c r="A25" s="143"/>
      <c r="B25" s="163" t="str">
        <f>C2</f>
        <v>Egypt</v>
      </c>
      <c r="C25" s="164">
        <f>IF(G37="",0,G37)</f>
        <v>1</v>
      </c>
      <c r="D25" s="209"/>
      <c r="E25" s="164">
        <f>IF(F41="",0,F41)</f>
        <v>0</v>
      </c>
      <c r="F25" s="164">
        <f>IF(G40="",0,G40)</f>
        <v>0</v>
      </c>
      <c r="G25" s="165">
        <f>SUM(C25:F25)</f>
        <v>1</v>
      </c>
      <c r="H25" s="169" t="str">
        <f t="shared" ref="H25:H27" si="27">B25</f>
        <v>Egypt</v>
      </c>
      <c r="I25" s="170">
        <f>C25*I4</f>
        <v>1</v>
      </c>
      <c r="J25" s="214"/>
      <c r="K25" s="170">
        <f>E25*K4</f>
        <v>0</v>
      </c>
      <c r="L25" s="170">
        <f>F25*L4</f>
        <v>0</v>
      </c>
      <c r="M25" s="171">
        <f>SUM(I25:L25)</f>
        <v>1</v>
      </c>
      <c r="N25" s="169" t="str">
        <f t="shared" ref="N25:N27" si="28">H25</f>
        <v>Egypt</v>
      </c>
      <c r="O25" s="170">
        <f>I25*O4</f>
        <v>1</v>
      </c>
      <c r="P25" s="214"/>
      <c r="Q25" s="170">
        <f>K25*Q4</f>
        <v>0</v>
      </c>
      <c r="R25" s="170">
        <f>L25*R4</f>
        <v>0</v>
      </c>
      <c r="S25" s="171">
        <f>SUM(O25:R25)</f>
        <v>1</v>
      </c>
      <c r="T25" s="169" t="str">
        <f t="shared" ref="T25:T27" si="29">N25</f>
        <v>Egypt</v>
      </c>
      <c r="U25" s="170">
        <f>O25*U4</f>
        <v>1</v>
      </c>
      <c r="V25" s="214"/>
      <c r="W25" s="170">
        <f>Q25*W4</f>
        <v>0</v>
      </c>
      <c r="X25" s="170">
        <f>R25*X4</f>
        <v>0</v>
      </c>
      <c r="Y25" s="171">
        <f>SUM(U25:X25)</f>
        <v>1</v>
      </c>
    </row>
    <row r="26" spans="1:25" x14ac:dyDescent="0.25">
      <c r="A26" s="143"/>
      <c r="B26" s="163" t="str">
        <f>D2</f>
        <v>IR Iran</v>
      </c>
      <c r="C26" s="164">
        <f>IF(G39="",0,G39)</f>
        <v>0</v>
      </c>
      <c r="D26" s="164">
        <f>IF(G41="",0,G41)</f>
        <v>0</v>
      </c>
      <c r="E26" s="209"/>
      <c r="F26" s="164">
        <f>IF(F38="",0,F38)</f>
        <v>2</v>
      </c>
      <c r="G26" s="165">
        <f>SUM(C26:F26)</f>
        <v>2</v>
      </c>
      <c r="H26" s="169" t="str">
        <f t="shared" si="27"/>
        <v>IR Iran</v>
      </c>
      <c r="I26" s="170">
        <f>C26*I5</f>
        <v>0</v>
      </c>
      <c r="J26" s="170">
        <f>D26*J5</f>
        <v>0</v>
      </c>
      <c r="K26" s="214"/>
      <c r="L26" s="170">
        <f>F26*L5</f>
        <v>2</v>
      </c>
      <c r="M26" s="171">
        <f>SUM(I26:L26)</f>
        <v>2</v>
      </c>
      <c r="N26" s="169" t="str">
        <f t="shared" si="28"/>
        <v>IR Iran</v>
      </c>
      <c r="O26" s="170">
        <f>I26*O5</f>
        <v>0</v>
      </c>
      <c r="P26" s="170">
        <f>J26*P5</f>
        <v>0</v>
      </c>
      <c r="Q26" s="214"/>
      <c r="R26" s="170">
        <f>L26*R5</f>
        <v>2</v>
      </c>
      <c r="S26" s="171">
        <f>SUM(O26:R26)</f>
        <v>2</v>
      </c>
      <c r="T26" s="169" t="str">
        <f t="shared" si="29"/>
        <v>IR Iran</v>
      </c>
      <c r="U26" s="170">
        <f>O26*U5</f>
        <v>0</v>
      </c>
      <c r="V26" s="170">
        <f>P26*V5</f>
        <v>0</v>
      </c>
      <c r="W26" s="214"/>
      <c r="X26" s="170">
        <f>R26*X5</f>
        <v>2</v>
      </c>
      <c r="Y26" s="171">
        <f>SUM(U26:X26)</f>
        <v>2</v>
      </c>
    </row>
    <row r="27" spans="1:25" x14ac:dyDescent="0.25">
      <c r="A27" s="143"/>
      <c r="B27" s="166" t="str">
        <f>E2</f>
        <v>New Zealand</v>
      </c>
      <c r="C27" s="167">
        <f>IF(F42="",0,F42)</f>
        <v>0</v>
      </c>
      <c r="D27" s="167">
        <f>IF(F40="",0,F40)</f>
        <v>0</v>
      </c>
      <c r="E27" s="167">
        <f>IF(G38="",0,G38)</f>
        <v>2</v>
      </c>
      <c r="F27" s="210"/>
      <c r="G27" s="168">
        <f>SUM(C27:F27)</f>
        <v>2</v>
      </c>
      <c r="H27" s="172" t="str">
        <f t="shared" si="27"/>
        <v>New Zealand</v>
      </c>
      <c r="I27" s="173">
        <f>C27*I6</f>
        <v>0</v>
      </c>
      <c r="J27" s="173">
        <f>D27*J6</f>
        <v>0</v>
      </c>
      <c r="K27" s="173">
        <f>E27*K6</f>
        <v>2</v>
      </c>
      <c r="L27" s="215"/>
      <c r="M27" s="174">
        <f>SUM(I27:L27)</f>
        <v>2</v>
      </c>
      <c r="N27" s="172" t="str">
        <f t="shared" si="28"/>
        <v>New Zealand</v>
      </c>
      <c r="O27" s="173">
        <f>I27*O6</f>
        <v>0</v>
      </c>
      <c r="P27" s="173">
        <f>J27*P6</f>
        <v>0</v>
      </c>
      <c r="Q27" s="173">
        <f>K27*Q6</f>
        <v>2</v>
      </c>
      <c r="R27" s="215"/>
      <c r="S27" s="174">
        <f>SUM(O27:R27)</f>
        <v>2</v>
      </c>
      <c r="T27" s="172" t="str">
        <f t="shared" si="29"/>
        <v>New Zealand</v>
      </c>
      <c r="U27" s="173">
        <f>O27*U6</f>
        <v>0</v>
      </c>
      <c r="V27" s="173">
        <f>P27*V6</f>
        <v>0</v>
      </c>
      <c r="W27" s="173">
        <f>Q27*W6</f>
        <v>2</v>
      </c>
      <c r="X27" s="215"/>
      <c r="Y27" s="174">
        <f>SUM(U27:X27)</f>
        <v>2</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232" t="s">
        <v>631</v>
      </c>
      <c r="E29" s="232" t="s">
        <v>632</v>
      </c>
      <c r="F29" s="232" t="s">
        <v>633</v>
      </c>
      <c r="G29" s="232" t="s">
        <v>676</v>
      </c>
      <c r="H29" s="232" t="s">
        <v>411</v>
      </c>
      <c r="I29" s="232" t="s">
        <v>661</v>
      </c>
      <c r="J29" s="232" t="s">
        <v>634</v>
      </c>
      <c r="K29" s="233" t="s">
        <v>635</v>
      </c>
    </row>
    <row r="30" spans="1:25" x14ac:dyDescent="0.25">
      <c r="A30" s="234">
        <f>K30</f>
        <v>3</v>
      </c>
      <c r="B30" s="235" t="str">
        <f>B2</f>
        <v>Belgium</v>
      </c>
      <c r="C30" s="236">
        <f>VLOOKUP($B30,Lookup10,3,FALSE)</f>
        <v>1</v>
      </c>
      <c r="D30" s="236">
        <f>VLOOKUP($B30,Lookup10,7,FALSE)</f>
        <v>1</v>
      </c>
      <c r="E30" s="236">
        <f>VLOOKUP($B30,Lookup10,8,FALSE)</f>
        <v>1</v>
      </c>
      <c r="F30" s="236">
        <f>VLOOKUP($B30,Lookup10,9,FALSE)</f>
        <v>0</v>
      </c>
      <c r="G30" s="237">
        <f>Z10</f>
        <v>1</v>
      </c>
      <c r="H30" s="236">
        <f>VLOOKUP($B30,Lookup10,11,FALSE)</f>
        <v>2</v>
      </c>
      <c r="I30" s="236">
        <f>VLOOKUP($B30,Lookup11,2,FALSE)</f>
        <v>9</v>
      </c>
      <c r="J30" s="238">
        <f>ROUND(D30*D$34+F30*F$34+G30*G$34-H30*H$34-I30*I$34,8)</f>
        <v>10000.9791</v>
      </c>
      <c r="K30" s="239">
        <f>RANK(J30,J$30:J$33,0)</f>
        <v>3</v>
      </c>
    </row>
    <row r="31" spans="1:25" x14ac:dyDescent="0.25">
      <c r="A31" s="234">
        <f t="shared" ref="A31:A33" si="30">K31</f>
        <v>4</v>
      </c>
      <c r="B31" s="235" t="str">
        <f>C2</f>
        <v>Egypt</v>
      </c>
      <c r="C31" s="236">
        <f>VLOOKUP($B31,Lookup10,3,FALSE)</f>
        <v>1</v>
      </c>
      <c r="D31" s="236">
        <f>VLOOKUP($B31,Lookup10,7,FALSE)</f>
        <v>1</v>
      </c>
      <c r="E31" s="236">
        <f>VLOOKUP($B31,Lookup10,8,FALSE)</f>
        <v>1</v>
      </c>
      <c r="F31" s="236">
        <f>VLOOKUP($B31,Lookup10,9,FALSE)</f>
        <v>0</v>
      </c>
      <c r="G31" s="237">
        <f t="shared" ref="G31:G33" si="31">Z11</f>
        <v>1</v>
      </c>
      <c r="H31" s="236">
        <f>VLOOKUP($B31,Lookup10,11,FALSE)</f>
        <v>2</v>
      </c>
      <c r="I31" s="236">
        <f>VLOOKUP($B31,Lookup11,2,FALSE)</f>
        <v>26</v>
      </c>
      <c r="J31" s="238">
        <f t="shared" ref="J31:J33" si="32">ROUND(D31*D$34+F31*F$34+G31*G$34-H31*H$34-I31*I$34,8)</f>
        <v>10000.9774</v>
      </c>
      <c r="K31" s="239">
        <f>RANK(J31,J$30:J$33,0)</f>
        <v>4</v>
      </c>
    </row>
    <row r="32" spans="1:25" x14ac:dyDescent="0.25">
      <c r="A32" s="234">
        <f t="shared" si="30"/>
        <v>2</v>
      </c>
      <c r="B32" s="235" t="str">
        <f>D2</f>
        <v>IR Iran</v>
      </c>
      <c r="C32" s="236">
        <f>VLOOKUP($B32,Lookup10,3,FALSE)</f>
        <v>1</v>
      </c>
      <c r="D32" s="236">
        <f>VLOOKUP($B32,Lookup10,7,FALSE)</f>
        <v>2</v>
      </c>
      <c r="E32" s="236">
        <f>VLOOKUP($B32,Lookup10,8,FALSE)</f>
        <v>2</v>
      </c>
      <c r="F32" s="236">
        <f>VLOOKUP($B32,Lookup10,9,FALSE)</f>
        <v>0</v>
      </c>
      <c r="G32" s="237">
        <f t="shared" si="31"/>
        <v>3</v>
      </c>
      <c r="H32" s="236">
        <f>VLOOKUP($B32,Lookup10,11,FALSE)</f>
        <v>1</v>
      </c>
      <c r="I32" s="236">
        <f>VLOOKUP($B32,Lookup11,2,FALSE)</f>
        <v>19</v>
      </c>
      <c r="J32" s="238">
        <f t="shared" si="32"/>
        <v>30001.988099999999</v>
      </c>
      <c r="K32" s="239">
        <f>RANK(J32,J$30:J$33,0)</f>
        <v>2</v>
      </c>
    </row>
    <row r="33" spans="1:16" x14ac:dyDescent="0.25">
      <c r="A33" s="234">
        <f t="shared" si="30"/>
        <v>1</v>
      </c>
      <c r="B33" s="235" t="str">
        <f>E2</f>
        <v>New Zealand</v>
      </c>
      <c r="C33" s="236">
        <f>VLOOKUP($B33,Lookup10,3,FALSE)</f>
        <v>1</v>
      </c>
      <c r="D33" s="236">
        <f>VLOOKUP($B33,Lookup10,7,FALSE)</f>
        <v>2</v>
      </c>
      <c r="E33" s="236">
        <f>VLOOKUP($B33,Lookup10,8,FALSE)</f>
        <v>2</v>
      </c>
      <c r="F33" s="236">
        <f>VLOOKUP($B33,Lookup10,9,FALSE)</f>
        <v>0</v>
      </c>
      <c r="G33" s="237">
        <f t="shared" si="31"/>
        <v>3</v>
      </c>
      <c r="H33" s="236">
        <f>VLOOKUP($B33,Lookup10,11,FALSE)</f>
        <v>0</v>
      </c>
      <c r="I33" s="236">
        <f>VLOOKUP($B33,Lookup11,2,FALSE)</f>
        <v>48</v>
      </c>
      <c r="J33" s="238">
        <f t="shared" si="32"/>
        <v>30001.995200000001</v>
      </c>
      <c r="K33" s="239">
        <f>RANK(J33,J$30:J$33,0)</f>
        <v>1</v>
      </c>
    </row>
    <row r="34" spans="1:16" x14ac:dyDescent="0.25">
      <c r="A34" s="240"/>
      <c r="B34" s="241" t="s">
        <v>636</v>
      </c>
      <c r="C34" s="242">
        <f>SUM(C30:C33)</f>
        <v>4</v>
      </c>
      <c r="D34" s="205">
        <v>1</v>
      </c>
      <c r="E34" s="205"/>
      <c r="F34" s="205">
        <v>100</v>
      </c>
      <c r="G34" s="205">
        <v>10000</v>
      </c>
      <c r="H34" s="205">
        <v>0.01</v>
      </c>
      <c r="I34" s="205">
        <v>1E-4</v>
      </c>
      <c r="J34" s="242"/>
      <c r="K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BelgiumEgypt</v>
      </c>
      <c r="B37" s="158" t="str">
        <f>B1&amp;C1</f>
        <v>G1G2</v>
      </c>
      <c r="C37" s="158">
        <f>IF(Data!Q45="",0,1)</f>
        <v>1</v>
      </c>
      <c r="D37" s="150" t="str">
        <f>B2</f>
        <v>Belgium</v>
      </c>
      <c r="E37" s="150" t="str">
        <f>C2</f>
        <v>Egypt</v>
      </c>
      <c r="F37" s="158">
        <f t="shared" ref="F37:F42" si="33">VLOOKUP($B37,Lookup12,2,FALSE)</f>
        <v>1</v>
      </c>
      <c r="G37" s="158">
        <f t="shared" ref="G37:G42" si="34">VLOOKUP($B37,Lookup12,3,FALSE)</f>
        <v>1</v>
      </c>
      <c r="H37" s="158">
        <f t="shared" ref="H37:H42" si="35">IF(C37=0,0,IF(F37&lt;G37,Lpts,IF(F37&gt;G37,Wpts,Dpts)))</f>
        <v>1</v>
      </c>
      <c r="I37" s="158">
        <f t="shared" ref="I37:I42" si="36">IF(C37=0,0,IF(G37&lt;F37,Lpts,IF(G37&gt;F37,Wpts,Dpts)))</f>
        <v>1</v>
      </c>
      <c r="J37" s="158">
        <f t="shared" ref="J37:J42" si="37">VLOOKUP($B37,Lookup12,4,FALSE)</f>
        <v>2</v>
      </c>
      <c r="K37" s="158">
        <f t="shared" ref="K37:K42" si="38">VLOOKUP($B37,Lookup12,5,FALSE)</f>
        <v>2</v>
      </c>
      <c r="L37" s="143"/>
      <c r="M37" s="143"/>
      <c r="N37" s="143"/>
      <c r="O37" s="143"/>
      <c r="P37" s="143"/>
    </row>
    <row r="38" spans="1:16" x14ac:dyDescent="0.25">
      <c r="A38" s="149" t="str">
        <f>D2&amp;E2</f>
        <v>IR IranNew Zealand</v>
      </c>
      <c r="B38" s="158" t="str">
        <f>D1&amp;E1</f>
        <v>G3G4</v>
      </c>
      <c r="C38" s="158">
        <f>IF(Data!Q46="",0,1)</f>
        <v>1</v>
      </c>
      <c r="D38" s="150" t="str">
        <f>D2</f>
        <v>IR Iran</v>
      </c>
      <c r="E38" s="150" t="str">
        <f>E2</f>
        <v>New Zealand</v>
      </c>
      <c r="F38" s="158">
        <f t="shared" si="33"/>
        <v>2</v>
      </c>
      <c r="G38" s="158">
        <f t="shared" si="34"/>
        <v>2</v>
      </c>
      <c r="H38" s="158">
        <f t="shared" si="35"/>
        <v>1</v>
      </c>
      <c r="I38" s="158">
        <f t="shared" si="36"/>
        <v>1</v>
      </c>
      <c r="J38" s="158">
        <f t="shared" si="37"/>
        <v>1</v>
      </c>
      <c r="K38" s="158">
        <f t="shared" si="38"/>
        <v>0</v>
      </c>
      <c r="L38" s="143"/>
      <c r="M38" s="143"/>
      <c r="N38" s="143"/>
      <c r="O38" s="143"/>
      <c r="P38" s="143"/>
    </row>
    <row r="39" spans="1:16" x14ac:dyDescent="0.25">
      <c r="A39" s="149" t="str">
        <f>B2&amp;D2</f>
        <v>BelgiumIR Iran</v>
      </c>
      <c r="B39" s="158" t="str">
        <f>B1&amp;D1</f>
        <v>G1G3</v>
      </c>
      <c r="C39" s="158">
        <f>IF(Data!Q47="",0,1)</f>
        <v>0</v>
      </c>
      <c r="D39" s="150" t="str">
        <f>B2</f>
        <v>Belgium</v>
      </c>
      <c r="E39" s="150" t="str">
        <f>D2</f>
        <v>IR Iran</v>
      </c>
      <c r="F39" s="158" t="str">
        <f t="shared" si="33"/>
        <v/>
      </c>
      <c r="G39" s="158" t="str">
        <f t="shared" si="34"/>
        <v/>
      </c>
      <c r="H39" s="158">
        <f t="shared" si="35"/>
        <v>0</v>
      </c>
      <c r="I39" s="158">
        <f t="shared" si="36"/>
        <v>0</v>
      </c>
      <c r="J39" s="158" t="str">
        <f t="shared" si="37"/>
        <v/>
      </c>
      <c r="K39" s="158" t="str">
        <f t="shared" si="38"/>
        <v/>
      </c>
      <c r="L39" s="143"/>
      <c r="M39" s="143"/>
      <c r="N39" s="143"/>
      <c r="O39" s="143"/>
      <c r="P39" s="143"/>
    </row>
    <row r="40" spans="1:16" x14ac:dyDescent="0.25">
      <c r="A40" s="149" t="str">
        <f>E2&amp;C2</f>
        <v>New ZealandEgypt</v>
      </c>
      <c r="B40" s="158" t="str">
        <f>E1&amp;C1</f>
        <v>G4G2</v>
      </c>
      <c r="C40" s="158">
        <f>IF(Data!Q48="",0,1)</f>
        <v>0</v>
      </c>
      <c r="D40" s="150" t="str">
        <f>E2</f>
        <v>New Zealand</v>
      </c>
      <c r="E40" s="150" t="str">
        <f>C2</f>
        <v>Egypt</v>
      </c>
      <c r="F40" s="158" t="str">
        <f t="shared" si="33"/>
        <v/>
      </c>
      <c r="G40" s="158" t="str">
        <f t="shared" si="34"/>
        <v/>
      </c>
      <c r="H40" s="158">
        <f t="shared" si="35"/>
        <v>0</v>
      </c>
      <c r="I40" s="158">
        <f t="shared" si="36"/>
        <v>0</v>
      </c>
      <c r="J40" s="158" t="str">
        <f t="shared" si="37"/>
        <v/>
      </c>
      <c r="K40" s="158" t="str">
        <f t="shared" si="38"/>
        <v/>
      </c>
      <c r="L40" s="143"/>
      <c r="M40" s="143"/>
      <c r="N40" s="143"/>
      <c r="O40" s="143"/>
      <c r="P40" s="143"/>
    </row>
    <row r="41" spans="1:16" x14ac:dyDescent="0.25">
      <c r="A41" s="149" t="str">
        <f>C2&amp;D2</f>
        <v>EgyptIR Iran</v>
      </c>
      <c r="B41" s="158" t="str">
        <f>C1&amp;D1</f>
        <v>G2G3</v>
      </c>
      <c r="C41" s="158">
        <f>IF(Data!Q49="",0,1)</f>
        <v>0</v>
      </c>
      <c r="D41" s="150" t="str">
        <f>C2</f>
        <v>Egypt</v>
      </c>
      <c r="E41" s="150" t="str">
        <f>D2</f>
        <v>IR Iran</v>
      </c>
      <c r="F41" s="158" t="str">
        <f t="shared" si="33"/>
        <v/>
      </c>
      <c r="G41" s="158" t="str">
        <f t="shared" si="34"/>
        <v/>
      </c>
      <c r="H41" s="158">
        <f t="shared" si="35"/>
        <v>0</v>
      </c>
      <c r="I41" s="158">
        <f t="shared" si="36"/>
        <v>0</v>
      </c>
      <c r="J41" s="158" t="str">
        <f t="shared" si="37"/>
        <v/>
      </c>
      <c r="K41" s="158" t="str">
        <f t="shared" si="38"/>
        <v/>
      </c>
      <c r="L41" s="143"/>
      <c r="M41" s="143"/>
      <c r="N41" s="143"/>
      <c r="O41" s="143"/>
      <c r="P41" s="143"/>
    </row>
    <row r="42" spans="1:16" x14ac:dyDescent="0.25">
      <c r="A42" s="151" t="str">
        <f>E2&amp;B2</f>
        <v>New ZealandBelgium</v>
      </c>
      <c r="B42" s="159" t="str">
        <f>E1&amp;B1</f>
        <v>G4G1</v>
      </c>
      <c r="C42" s="159">
        <f>IF(Data!Q50="",0,1)</f>
        <v>0</v>
      </c>
      <c r="D42" s="152" t="str">
        <f>E2</f>
        <v>New Zealand</v>
      </c>
      <c r="E42" s="152" t="str">
        <f>B2</f>
        <v>Belgium</v>
      </c>
      <c r="F42" s="159" t="str">
        <f t="shared" si="33"/>
        <v/>
      </c>
      <c r="G42" s="159" t="str">
        <f t="shared" si="34"/>
        <v/>
      </c>
      <c r="H42" s="159">
        <f t="shared" si="35"/>
        <v>0</v>
      </c>
      <c r="I42" s="159">
        <f t="shared" si="36"/>
        <v>0</v>
      </c>
      <c r="J42" s="159" t="str">
        <f t="shared" si="37"/>
        <v/>
      </c>
      <c r="K42" s="159" t="str">
        <f t="shared" si="38"/>
        <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$B45</f>
        <v>New Zealand</v>
      </c>
      <c r="M44" s="154" t="str">
        <f>$B46</f>
        <v>IR Iran</v>
      </c>
      <c r="N44" s="154" t="str">
        <f>$B47</f>
        <v>Belgium</v>
      </c>
      <c r="O44" s="154" t="str">
        <f>$B48</f>
        <v>Egypt</v>
      </c>
      <c r="P44" s="155"/>
    </row>
    <row r="45" spans="1:16" x14ac:dyDescent="0.25">
      <c r="A45" s="156">
        <v>1</v>
      </c>
      <c r="B45" s="156" t="str">
        <f>VLOOKUP($A45,RankingG,2,FALSE)</f>
        <v>New Zealand</v>
      </c>
      <c r="C45" s="157">
        <f>VLOOKUP($B45,Lookup10,3,FALSE)</f>
        <v>1</v>
      </c>
      <c r="D45" s="157">
        <f>VLOOKUP($B45,Lookup10,4,FALSE)</f>
        <v>0</v>
      </c>
      <c r="E45" s="157">
        <f>VLOOKUP($B45,Lookup10,5,FALSE)</f>
        <v>1</v>
      </c>
      <c r="F45" s="157">
        <f>VLOOKUP($B45,Lookup10,6,FALSE)</f>
        <v>0</v>
      </c>
      <c r="G45" s="157">
        <f>VLOOKUP($B45,Lookup10,7,FALSE)</f>
        <v>2</v>
      </c>
      <c r="H45" s="157">
        <f>VLOOKUP($B45,Lookup10,8,FALSE)</f>
        <v>2</v>
      </c>
      <c r="I45" s="157">
        <f>VLOOKUP($B45,Lookup10,9,FALSE)</f>
        <v>0</v>
      </c>
      <c r="J45" s="157">
        <f>VLOOKUP($B45,Lookup10,10,FALSE)</f>
        <v>1</v>
      </c>
      <c r="K45" s="201" t="str">
        <f>B45</f>
        <v>New Zealand</v>
      </c>
      <c r="L45" s="203"/>
      <c r="M45" s="202" t="str">
        <f>IFERROR(VLOOKUP($B45&amp;M$44,A37:G42,6,FALSE)&amp;"-"&amp;VLOOKUP($B45&amp;M$44,A37:G42,7,FALSE),VLOOKUP(M$44&amp;$B45,A37:G42,7,FALSE)&amp;"-"&amp;VLOOKUP(M$44&amp;$B45,A37:G42,6,FALSE))</f>
        <v>2-2</v>
      </c>
      <c r="N45" s="202" t="str">
        <f>IFERROR(VLOOKUP($B45&amp;N$44,A37:G42,6,FALSE)&amp;"-"&amp;VLOOKUP($B45&amp;N$44,A37:G42,7,FALSE),VLOOKUP(N$44&amp;$B45,A37:G42,7,FALSE)&amp;"-"&amp;VLOOKUP(N$44&amp;$B45,A37:G42,6,FALSE))</f>
        <v>-</v>
      </c>
      <c r="O45" s="202" t="str">
        <f>IFERROR(VLOOKUP($B45&amp;O$44,A37:G42,6,FALSE)&amp;"-"&amp;VLOOKUP($B45&amp;O$44,A37:G42,7,FALSE),VLOOKUP(O$44&amp;$B45,A37:G42,7,FALSE)&amp;"-"&amp;VLOOKUP(O$44&amp;$B45,A37:G42,6,FALSE))</f>
        <v>-</v>
      </c>
      <c r="P45" s="155"/>
    </row>
    <row r="46" spans="1:16" x14ac:dyDescent="0.25">
      <c r="A46" s="156">
        <v>2</v>
      </c>
      <c r="B46" s="156" t="str">
        <f>VLOOKUP($A46,RankingG,2,FALSE)</f>
        <v>IR Iran</v>
      </c>
      <c r="C46" s="157">
        <f>VLOOKUP($B46,Lookup10,3,FALSE)</f>
        <v>1</v>
      </c>
      <c r="D46" s="157">
        <f>VLOOKUP($B46,Lookup10,4,FALSE)</f>
        <v>0</v>
      </c>
      <c r="E46" s="157">
        <f>VLOOKUP($B46,Lookup10,5,FALSE)</f>
        <v>1</v>
      </c>
      <c r="F46" s="157">
        <f>VLOOKUP($B46,Lookup10,6,FALSE)</f>
        <v>0</v>
      </c>
      <c r="G46" s="157">
        <f>VLOOKUP($B46,Lookup10,7,FALSE)</f>
        <v>2</v>
      </c>
      <c r="H46" s="157">
        <f>VLOOKUP($B46,Lookup10,8,FALSE)</f>
        <v>2</v>
      </c>
      <c r="I46" s="157">
        <f>VLOOKUP($B46,Lookup10,9,FALSE)</f>
        <v>0</v>
      </c>
      <c r="J46" s="157">
        <f>VLOOKUP($B46,Lookup10,10,FALSE)</f>
        <v>1</v>
      </c>
      <c r="K46" s="201" t="str">
        <f>B46</f>
        <v>IR Iran</v>
      </c>
      <c r="L46" s="202" t="str">
        <f>IFERROR(VLOOKUP($B46&amp;L$44,A37:G42,6,FALSE)&amp;"-"&amp;VLOOKUP($B46&amp;L$44,A37:G42,7,FALSE),VLOOKUP(L$44&amp;$B46,A37:G42,7,FALSE)&amp;"-"&amp;VLOOKUP(L$44&amp;$B46,A37:G42,6,FALSE))</f>
        <v>2-2</v>
      </c>
      <c r="M46" s="203"/>
      <c r="N46" s="202" t="str">
        <f>IFERROR(VLOOKUP($B46&amp;N$44,A37:G42,6,FALSE)&amp;"-"&amp;VLOOKUP($B46&amp;N$44,A37:G42,7,FALSE),VLOOKUP(N$44&amp;$B46,A37:G42,7,FALSE)&amp;"-"&amp;VLOOKUP(N$44&amp;$B46,A37:G42,6,FALSE))</f>
        <v>-</v>
      </c>
      <c r="O46" s="202" t="str">
        <f>IFERROR(VLOOKUP($B46&amp;O$44,A37:G42,6,FALSE)&amp;"-"&amp;VLOOKUP($B46&amp;O$44,A37:G42,7,FALSE),VLOOKUP(O$44&amp;$B46,A37:G42,7,FALSE)&amp;"-"&amp;VLOOKUP(O$44&amp;$B46,A37:G42,6,FALSE))</f>
        <v>-</v>
      </c>
      <c r="P46" s="155"/>
    </row>
    <row r="47" spans="1:16" x14ac:dyDescent="0.25">
      <c r="A47" s="156">
        <v>3</v>
      </c>
      <c r="B47" s="156" t="str">
        <f>VLOOKUP($A47,RankingG,2,FALSE)</f>
        <v>Belgium</v>
      </c>
      <c r="C47" s="157">
        <f>VLOOKUP($B47,Lookup10,3,FALSE)</f>
        <v>1</v>
      </c>
      <c r="D47" s="157">
        <f>VLOOKUP($B47,Lookup10,4,FALSE)</f>
        <v>0</v>
      </c>
      <c r="E47" s="157">
        <f>VLOOKUP($B47,Lookup10,5,FALSE)</f>
        <v>1</v>
      </c>
      <c r="F47" s="157">
        <f>VLOOKUP($B47,Lookup10,6,FALSE)</f>
        <v>0</v>
      </c>
      <c r="G47" s="157">
        <f>VLOOKUP($B47,Lookup10,7,FALSE)</f>
        <v>1</v>
      </c>
      <c r="H47" s="157">
        <f>VLOOKUP($B47,Lookup10,8,FALSE)</f>
        <v>1</v>
      </c>
      <c r="I47" s="157">
        <f>VLOOKUP($B47,Lookup10,9,FALSE)</f>
        <v>0</v>
      </c>
      <c r="J47" s="157">
        <f>VLOOKUP($B47,Lookup10,10,FALSE)</f>
        <v>1</v>
      </c>
      <c r="K47" s="201" t="str">
        <f>B47</f>
        <v>Belgium</v>
      </c>
      <c r="L47" s="202" t="str">
        <f>IFERROR(VLOOKUP($B47&amp;L$44,A37:G42,6,FALSE)&amp;"-"&amp;VLOOKUP($B47&amp;L$44,A37:G42,7,FALSE),VLOOKUP(L$44&amp;$B47,A37:G42,7,FALSE)&amp;"-"&amp;VLOOKUP(L$44&amp;$B47,A37:G42,6,FALSE))</f>
        <v>-</v>
      </c>
      <c r="M47" s="202" t="str">
        <f>IFERROR(VLOOKUP($B47&amp;M$44,A37:G42,6,FALSE)&amp;"-"&amp;VLOOKUP($B47&amp;M$44,A37:G42,7,FALSE),VLOOKUP(M$44&amp;$B47,A37:G42,7,FALSE)&amp;"-"&amp;VLOOKUP(M$44&amp;$B47,A37:G42,6,FALSE))</f>
        <v>-</v>
      </c>
      <c r="N47" s="203"/>
      <c r="O47" s="202" t="str">
        <f>IFERROR(VLOOKUP($B47&amp;O$44,A37:G42,6,FALSE)&amp;"-"&amp;VLOOKUP($B47&amp;O$44,A37:G42,7,FALSE),VLOOKUP(O$44&amp;$B47,A37:G42,7,FALSE)&amp;"-"&amp;VLOOKUP(O$44&amp;$B47,A37:G42,6,FALSE))</f>
        <v>1-1</v>
      </c>
      <c r="P47" s="155"/>
    </row>
    <row r="48" spans="1:16" x14ac:dyDescent="0.25">
      <c r="A48" s="156">
        <v>4</v>
      </c>
      <c r="B48" s="156" t="str">
        <f>VLOOKUP($A48,RankingG,2,FALSE)</f>
        <v>Egypt</v>
      </c>
      <c r="C48" s="157">
        <f>VLOOKUP($B48,Lookup10,3,FALSE)</f>
        <v>1</v>
      </c>
      <c r="D48" s="157">
        <f>VLOOKUP($B48,Lookup10,4,FALSE)</f>
        <v>0</v>
      </c>
      <c r="E48" s="157">
        <f>VLOOKUP($B48,Lookup10,5,FALSE)</f>
        <v>1</v>
      </c>
      <c r="F48" s="157">
        <f>VLOOKUP($B48,Lookup10,6,FALSE)</f>
        <v>0</v>
      </c>
      <c r="G48" s="157">
        <f>VLOOKUP($B48,Lookup10,7,FALSE)</f>
        <v>1</v>
      </c>
      <c r="H48" s="157">
        <f>VLOOKUP($B48,Lookup10,8,FALSE)</f>
        <v>1</v>
      </c>
      <c r="I48" s="157">
        <f>VLOOKUP($B48,Lookup10,9,FALSE)</f>
        <v>0</v>
      </c>
      <c r="J48" s="157">
        <f>VLOOKUP($B48,Lookup10,10,FALSE)</f>
        <v>1</v>
      </c>
      <c r="K48" s="201" t="str">
        <f>B48</f>
        <v>Egypt</v>
      </c>
      <c r="L48" s="202" t="str">
        <f>IFERROR(VLOOKUP($B48&amp;L$44,A37:G42,6,FALSE)&amp;"-"&amp;VLOOKUP($B48&amp;L$44,A37:G42,7,FALSE),VLOOKUP(L$44&amp;$B48,A37:G42,7,FALSE)&amp;"-"&amp;VLOOKUP(L$44&amp;$B48,A37:G42,6,FALSE))</f>
        <v>-</v>
      </c>
      <c r="M48" s="202" t="str">
        <f>IFERROR(VLOOKUP($B48&amp;M$44,A37:G42,6,FALSE)&amp;"-"&amp;VLOOKUP($B48&amp;M$44,A37:G42,7,FALSE),VLOOKUP(M$44&amp;$B48,A37:G42,7,FALSE)&amp;"-"&amp;VLOOKUP(M$44&amp;$B48,A37:G42,6,FALSE))</f>
        <v>-</v>
      </c>
      <c r="N48" s="202" t="str">
        <f>IFERROR(VLOOKUP($B48&amp;N$44,A37:G42,6,FALSE)&amp;"-"&amp;VLOOKUP($B48&amp;N$44,A37:G42,7,FALSE),VLOOKUP(N$44&amp;$B48,A37:G42,7,FALSE)&amp;"-"&amp;VLOOKUP(N$44&amp;$B48,A37:G42,6,FALSE))</f>
        <v>1-1</v>
      </c>
      <c r="O48" s="203"/>
      <c r="P48" s="155"/>
    </row>
    <row r="49" spans="1:16" x14ac:dyDescent="0.25">
      <c r="A49" s="143"/>
      <c r="B49" s="143"/>
      <c r="C49" s="461">
        <f>SUM(C45:C48)</f>
        <v>4</v>
      </c>
      <c r="D49" s="143"/>
      <c r="E49" s="143"/>
      <c r="F49" s="143"/>
      <c r="G49" s="143"/>
      <c r="H49" s="143"/>
      <c r="I49" s="143"/>
      <c r="J49" s="143"/>
      <c r="K49" s="143"/>
      <c r="L49" s="143"/>
      <c r="M49" s="143"/>
      <c r="N49" s="143"/>
      <c r="O49" s="143"/>
      <c r="P49" s="143"/>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95533-82D9-4702-B949-59939B20A713}">
  <sheetPr>
    <tabColor rgb="FFC00000"/>
  </sheetPr>
  <dimension ref="A1:Z49"/>
  <sheetViews>
    <sheetView workbookViewId="0">
      <pane ySplit="2" topLeftCell="A20" activePane="bottomLeft" state="frozen"/>
      <selection activeCell="C42" sqref="C42"/>
      <selection pane="bottomLeft" activeCell="C42" sqref="C42"/>
    </sheetView>
  </sheetViews>
  <sheetFormatPr defaultColWidth="16.7109375" defaultRowHeight="15" x14ac:dyDescent="0.25"/>
  <sheetData>
    <row r="1" spans="1:26" x14ac:dyDescent="0.25">
      <c r="A1" s="228" t="s">
        <v>320</v>
      </c>
      <c r="B1" s="216" t="str">
        <f>A2&amp;1</f>
        <v>H1</v>
      </c>
      <c r="C1" s="216" t="str">
        <f>A2&amp;2</f>
        <v>H2</v>
      </c>
      <c r="D1" s="216" t="str">
        <f>A2&amp;3</f>
        <v>H3</v>
      </c>
      <c r="E1" s="216" t="str">
        <f>A2&amp;4</f>
        <v>H4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14</v>
      </c>
      <c r="B2" s="217" t="str">
        <f>VLOOKUP(B1,Lookup08,2,FALSE)</f>
        <v>Spain</v>
      </c>
      <c r="C2" s="217" t="str">
        <f>VLOOKUP(C1,Lookup08,2,FALSE)</f>
        <v>Cabo Verde</v>
      </c>
      <c r="D2" s="217" t="str">
        <f>VLOOKUP(D1,Lookup08,2,FALSE)</f>
        <v>Saudi Arabia</v>
      </c>
      <c r="E2" s="217" t="str">
        <f>VLOOKUP(E1,Lookup08,2,FALSE)</f>
        <v>Uruguay</v>
      </c>
      <c r="F2" s="144"/>
      <c r="G2" s="144"/>
      <c r="H2" s="195"/>
      <c r="I2" s="196" t="str">
        <f>B2</f>
        <v>Spain</v>
      </c>
      <c r="J2" s="196" t="str">
        <f>C2</f>
        <v>Cabo Verde</v>
      </c>
      <c r="K2" s="196" t="str">
        <f>D2</f>
        <v>Saudi Arabia</v>
      </c>
      <c r="L2" s="196" t="str">
        <f>E2</f>
        <v>Uruguay</v>
      </c>
      <c r="M2" s="197" t="s">
        <v>26</v>
      </c>
      <c r="N2" s="195"/>
      <c r="O2" s="196" t="str">
        <f>I2</f>
        <v>Spain</v>
      </c>
      <c r="P2" s="196" t="str">
        <f t="shared" ref="P2:R2" si="0">J2</f>
        <v>Cabo Verde</v>
      </c>
      <c r="Q2" s="196" t="str">
        <f t="shared" si="0"/>
        <v>Saudi Arabia</v>
      </c>
      <c r="R2" s="196" t="str">
        <f t="shared" si="0"/>
        <v>Uruguay</v>
      </c>
      <c r="S2" s="197" t="s">
        <v>26</v>
      </c>
      <c r="T2" s="195"/>
      <c r="U2" s="196" t="str">
        <f>O2</f>
        <v>Spain</v>
      </c>
      <c r="V2" s="196" t="str">
        <f t="shared" ref="V2:X2" si="1">P2</f>
        <v>Cabo Verde</v>
      </c>
      <c r="W2" s="196" t="str">
        <f t="shared" si="1"/>
        <v>Saudi Arabia</v>
      </c>
      <c r="X2" s="196" t="str">
        <f t="shared" si="1"/>
        <v>Uruguay</v>
      </c>
      <c r="Y2" s="197" t="s">
        <v>26</v>
      </c>
    </row>
    <row r="3" spans="1:26" x14ac:dyDescent="0.25">
      <c r="A3" s="144"/>
      <c r="B3" s="144"/>
      <c r="C3" s="144"/>
      <c r="F3" s="144"/>
      <c r="G3" s="144"/>
      <c r="H3" s="195" t="str">
        <f>B2</f>
        <v>Spain</v>
      </c>
      <c r="I3" s="211"/>
      <c r="J3" s="196">
        <f>IF(G10=G11,1,0)</f>
        <v>1</v>
      </c>
      <c r="K3" s="196">
        <f>IF(G10=G12,1,0)</f>
        <v>1</v>
      </c>
      <c r="L3" s="196">
        <f>IF(G10=G13,1,0)</f>
        <v>1</v>
      </c>
      <c r="M3" s="197">
        <f>SUM(I3:L3)</f>
        <v>3</v>
      </c>
      <c r="N3" s="195" t="str">
        <f>H3</f>
        <v>Spain</v>
      </c>
      <c r="O3" s="211"/>
      <c r="P3" s="196">
        <f>IF(M10=M11,1,0)</f>
        <v>1</v>
      </c>
      <c r="Q3" s="196">
        <f>IF(M10=M12,1,0)</f>
        <v>0</v>
      </c>
      <c r="R3" s="196">
        <f>IF(M10=M13,1,0)</f>
        <v>0</v>
      </c>
      <c r="S3" s="197">
        <f>SUM(O3:R3)</f>
        <v>1</v>
      </c>
      <c r="T3" s="195" t="str">
        <f>N3</f>
        <v>Spain</v>
      </c>
      <c r="U3" s="211"/>
      <c r="V3" s="196">
        <f>IF(S10=S11,1,0)</f>
        <v>1</v>
      </c>
      <c r="W3" s="196">
        <f>IF(S10=S12,1,0)</f>
        <v>0</v>
      </c>
      <c r="X3" s="196">
        <f>IF(S10=S13,1,0)</f>
        <v>0</v>
      </c>
      <c r="Y3" s="197">
        <f>SUM(U3:X3)</f>
        <v>1</v>
      </c>
    </row>
    <row r="4" spans="1:26" x14ac:dyDescent="0.25">
      <c r="A4" s="144"/>
      <c r="B4" s="144"/>
      <c r="C4" s="144"/>
      <c r="F4" s="144"/>
      <c r="G4" s="144"/>
      <c r="H4" s="195" t="str">
        <f>C2</f>
        <v>Cabo Verde</v>
      </c>
      <c r="I4" s="196">
        <f>IF(G11=G10,1,0)</f>
        <v>1</v>
      </c>
      <c r="J4" s="211"/>
      <c r="K4" s="196">
        <f>IF(G11=G12,1,0)</f>
        <v>1</v>
      </c>
      <c r="L4" s="196">
        <f>IF(G11=G13,1,0)</f>
        <v>1</v>
      </c>
      <c r="M4" s="197">
        <f>SUM(I4:L4)</f>
        <v>3</v>
      </c>
      <c r="N4" s="195" t="str">
        <f t="shared" ref="N4:N6" si="2">H4</f>
        <v>Cabo Verde</v>
      </c>
      <c r="O4" s="196">
        <f>IF(M11=M10,1,0)</f>
        <v>1</v>
      </c>
      <c r="P4" s="211"/>
      <c r="Q4" s="196">
        <f>IF(M11=M12,1,0)</f>
        <v>0</v>
      </c>
      <c r="R4" s="196">
        <f>IF(M11=M13,1,0)</f>
        <v>0</v>
      </c>
      <c r="S4" s="197">
        <f>SUM(O4:R4)</f>
        <v>1</v>
      </c>
      <c r="T4" s="195" t="str">
        <f t="shared" ref="T4:T6" si="3">N4</f>
        <v>Cabo Verde</v>
      </c>
      <c r="U4" s="196">
        <f>IF(S11=S10,1,0)</f>
        <v>1</v>
      </c>
      <c r="V4" s="211"/>
      <c r="W4" s="196">
        <f>IF(S11=S12,1,0)</f>
        <v>0</v>
      </c>
      <c r="X4" s="196">
        <f>IF(S11=S13,1,0)</f>
        <v>0</v>
      </c>
      <c r="Y4" s="197">
        <f>SUM(U4:X4)</f>
        <v>1</v>
      </c>
    </row>
    <row r="5" spans="1:26" x14ac:dyDescent="0.25">
      <c r="A5" s="144"/>
      <c r="B5" s="144"/>
      <c r="C5" s="144"/>
      <c r="F5" s="144"/>
      <c r="G5" s="144"/>
      <c r="H5" s="195" t="str">
        <f>D2</f>
        <v>Saudi Arabia</v>
      </c>
      <c r="I5" s="196">
        <f>IF(G12=G10,1,0)</f>
        <v>1</v>
      </c>
      <c r="J5" s="196">
        <f>IF(G12=G11,1,0)</f>
        <v>1</v>
      </c>
      <c r="K5" s="211"/>
      <c r="L5" s="196">
        <f>IF(G12=G13,1,0)</f>
        <v>1</v>
      </c>
      <c r="M5" s="197">
        <f>SUM(I5:L5)</f>
        <v>3</v>
      </c>
      <c r="N5" s="195" t="str">
        <f t="shared" si="2"/>
        <v>Saudi Arabia</v>
      </c>
      <c r="O5" s="196">
        <f>IF(M12=M10,1,0)</f>
        <v>0</v>
      </c>
      <c r="P5" s="196">
        <f>IF(M12=M11,1,0)</f>
        <v>0</v>
      </c>
      <c r="Q5" s="211"/>
      <c r="R5" s="196">
        <f>IF(M12=M13,1,0)</f>
        <v>1</v>
      </c>
      <c r="S5" s="197">
        <f>SUM(O5:R5)</f>
        <v>1</v>
      </c>
      <c r="T5" s="195" t="str">
        <f t="shared" si="3"/>
        <v>Saudi Arabia</v>
      </c>
      <c r="U5" s="196">
        <f>IF(S12=S10,1,0)</f>
        <v>0</v>
      </c>
      <c r="V5" s="196">
        <f>IF(S12=S11,1,0)</f>
        <v>0</v>
      </c>
      <c r="W5" s="211"/>
      <c r="X5" s="196">
        <f>IF(S12=S13,1,0)</f>
        <v>1</v>
      </c>
      <c r="Y5" s="197">
        <f>SUM(U5:X5)</f>
        <v>1</v>
      </c>
    </row>
    <row r="6" spans="1:26" x14ac:dyDescent="0.25">
      <c r="A6" s="144"/>
      <c r="B6" s="144"/>
      <c r="C6" s="144"/>
      <c r="F6" s="144"/>
      <c r="G6" s="144"/>
      <c r="H6" s="198" t="str">
        <f>E2</f>
        <v>Uruguay</v>
      </c>
      <c r="I6" s="199">
        <f>IF(G13=G10,1,0)</f>
        <v>1</v>
      </c>
      <c r="J6" s="199">
        <f>IF(G13=G11,1,0)</f>
        <v>1</v>
      </c>
      <c r="K6" s="199">
        <f>IF(G13=G12,1,0)</f>
        <v>1</v>
      </c>
      <c r="L6" s="212"/>
      <c r="M6" s="200">
        <f>SUM(I6:L6)</f>
        <v>3</v>
      </c>
      <c r="N6" s="198" t="str">
        <f t="shared" si="2"/>
        <v>Uruguay</v>
      </c>
      <c r="O6" s="199">
        <f>IF(M13=M10,1,0)</f>
        <v>0</v>
      </c>
      <c r="P6" s="199">
        <f>IF(M13=M11,1,0)</f>
        <v>0</v>
      </c>
      <c r="Q6" s="199">
        <f>IF(M13=M12,1,0)</f>
        <v>1</v>
      </c>
      <c r="R6" s="212"/>
      <c r="S6" s="200">
        <f>SUM(O6:R6)</f>
        <v>1</v>
      </c>
      <c r="T6" s="198" t="str">
        <f t="shared" si="3"/>
        <v>Uruguay</v>
      </c>
      <c r="U6" s="199">
        <f>IF(S13=S10,1,0)</f>
        <v>0</v>
      </c>
      <c r="V6" s="199">
        <f>IF(S13=S11,1,0)</f>
        <v>0</v>
      </c>
      <c r="W6" s="199">
        <f>IF(S13=S12,1,0)</f>
        <v>1</v>
      </c>
      <c r="X6" s="212"/>
      <c r="Y6" s="200">
        <f>SUM(U6:X6)</f>
        <v>1</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Spain</v>
      </c>
      <c r="D9" s="190" t="str">
        <f>C2</f>
        <v>Cabo Verde</v>
      </c>
      <c r="E9" s="190" t="str">
        <f>D2</f>
        <v>Saudi Arabia</v>
      </c>
      <c r="F9" s="190" t="str">
        <f>E2</f>
        <v>Uruguay</v>
      </c>
      <c r="G9" s="191" t="s">
        <v>26</v>
      </c>
      <c r="H9" s="189"/>
      <c r="I9" s="190" t="str">
        <f>C9</f>
        <v>Spain</v>
      </c>
      <c r="J9" s="190" t="str">
        <f t="shared" ref="J9:L9" si="4">D9</f>
        <v>Cabo Verde</v>
      </c>
      <c r="K9" s="190" t="str">
        <f t="shared" si="4"/>
        <v>Saudi Arabia</v>
      </c>
      <c r="L9" s="190" t="str">
        <f t="shared" si="4"/>
        <v>Uruguay</v>
      </c>
      <c r="M9" s="191" t="s">
        <v>26</v>
      </c>
      <c r="N9" s="189"/>
      <c r="O9" s="190" t="str">
        <f>I9</f>
        <v>Spain</v>
      </c>
      <c r="P9" s="190" t="str">
        <f t="shared" ref="P9:R9" si="5">J9</f>
        <v>Cabo Verde</v>
      </c>
      <c r="Q9" s="190" t="str">
        <f t="shared" si="5"/>
        <v>Saudi Arabia</v>
      </c>
      <c r="R9" s="190" t="str">
        <f t="shared" si="5"/>
        <v>Uruguay</v>
      </c>
      <c r="S9" s="191" t="s">
        <v>26</v>
      </c>
      <c r="T9" s="189"/>
      <c r="U9" s="190" t="str">
        <f>O9</f>
        <v>Spain</v>
      </c>
      <c r="V9" s="190" t="str">
        <f t="shared" ref="V9:X9" si="6">P9</f>
        <v>Cabo Verde</v>
      </c>
      <c r="W9" s="190" t="str">
        <f t="shared" si="6"/>
        <v>Saudi Arabia</v>
      </c>
      <c r="X9" s="190" t="str">
        <f t="shared" si="6"/>
        <v>Uruguay</v>
      </c>
      <c r="Y9" s="191" t="s">
        <v>26</v>
      </c>
      <c r="Z9" s="227" t="s">
        <v>309</v>
      </c>
    </row>
    <row r="10" spans="1:26" x14ac:dyDescent="0.25">
      <c r="A10" s="144"/>
      <c r="B10" s="189" t="str">
        <f>B2</f>
        <v>Spain</v>
      </c>
      <c r="C10" s="204"/>
      <c r="D10" s="190">
        <f>H37</f>
        <v>1</v>
      </c>
      <c r="E10" s="190">
        <f>H39</f>
        <v>0</v>
      </c>
      <c r="F10" s="190">
        <f>I42</f>
        <v>0</v>
      </c>
      <c r="G10" s="191">
        <f>SUM(C10:F10)</f>
        <v>1</v>
      </c>
      <c r="H10" s="189" t="str">
        <f>B10</f>
        <v>Spain</v>
      </c>
      <c r="I10" s="218">
        <f>C10+I17/100+I24/10000</f>
        <v>0</v>
      </c>
      <c r="J10" s="219">
        <f t="shared" ref="J10:L10" si="7">D10+J17/100+J24/10000</f>
        <v>1</v>
      </c>
      <c r="K10" s="219">
        <f t="shared" si="7"/>
        <v>0</v>
      </c>
      <c r="L10" s="219">
        <f t="shared" si="7"/>
        <v>0</v>
      </c>
      <c r="M10" s="220">
        <f>SUM(I10:L10)</f>
        <v>1</v>
      </c>
      <c r="N10" s="189" t="str">
        <f>H10</f>
        <v>Spain</v>
      </c>
      <c r="O10" s="218">
        <f>I10+O17/100+O24/10000</f>
        <v>0</v>
      </c>
      <c r="P10" s="219">
        <f t="shared" ref="P10:R13" si="8">J10+P17/100+P24/10000</f>
        <v>1</v>
      </c>
      <c r="Q10" s="219">
        <f t="shared" si="8"/>
        <v>0</v>
      </c>
      <c r="R10" s="219">
        <f t="shared" si="8"/>
        <v>0</v>
      </c>
      <c r="S10" s="220">
        <f>SUM(O10:R10)</f>
        <v>1</v>
      </c>
      <c r="T10" s="189" t="str">
        <f>N10</f>
        <v>Spain</v>
      </c>
      <c r="U10" s="218">
        <f>O10+U17/100+U24/10000</f>
        <v>0</v>
      </c>
      <c r="V10" s="219">
        <f t="shared" ref="V10:X13" si="9">P10+V17/100+V24/10000</f>
        <v>1</v>
      </c>
      <c r="W10" s="219">
        <f t="shared" si="9"/>
        <v>0</v>
      </c>
      <c r="X10" s="219">
        <f t="shared" si="9"/>
        <v>0</v>
      </c>
      <c r="Y10" s="220">
        <f>ROUND(SUM(U10:X10),8)</f>
        <v>1</v>
      </c>
      <c r="Z10" s="224">
        <f>_xlfn.RANK.EQ(Y10,Y$10:Y$13,1)</f>
        <v>1</v>
      </c>
    </row>
    <row r="11" spans="1:26" x14ac:dyDescent="0.25">
      <c r="A11" s="144"/>
      <c r="B11" s="189" t="str">
        <f>C2</f>
        <v>Cabo Verde</v>
      </c>
      <c r="C11" s="190">
        <f>I37</f>
        <v>1</v>
      </c>
      <c r="D11" s="204"/>
      <c r="E11" s="190">
        <f>H41</f>
        <v>0</v>
      </c>
      <c r="F11" s="190">
        <f>I40</f>
        <v>0</v>
      </c>
      <c r="G11" s="191">
        <f>SUM(C11:F11)</f>
        <v>1</v>
      </c>
      <c r="H11" s="189" t="str">
        <f t="shared" ref="H11:H13" si="10">B11</f>
        <v>Cabo Verde</v>
      </c>
      <c r="I11" s="219">
        <f t="shared" ref="I11:L13" si="11">C11+I18/100+I25/10000</f>
        <v>1</v>
      </c>
      <c r="J11" s="218">
        <f t="shared" si="11"/>
        <v>0</v>
      </c>
      <c r="K11" s="219">
        <f t="shared" si="11"/>
        <v>0</v>
      </c>
      <c r="L11" s="219">
        <f t="shared" si="11"/>
        <v>0</v>
      </c>
      <c r="M11" s="220">
        <f>SUM(I11:L11)</f>
        <v>1</v>
      </c>
      <c r="N11" s="189" t="str">
        <f t="shared" ref="N11:N13" si="12">H11</f>
        <v>Cabo Verde</v>
      </c>
      <c r="O11" s="219">
        <f t="shared" ref="O11:O13" si="13">I11+O18/100+O25/10000</f>
        <v>1</v>
      </c>
      <c r="P11" s="218">
        <f t="shared" si="8"/>
        <v>0</v>
      </c>
      <c r="Q11" s="219">
        <f t="shared" si="8"/>
        <v>0</v>
      </c>
      <c r="R11" s="219">
        <f t="shared" si="8"/>
        <v>0</v>
      </c>
      <c r="S11" s="220">
        <f>SUM(O11:R11)</f>
        <v>1</v>
      </c>
      <c r="T11" s="189" t="str">
        <f t="shared" ref="T11:T13" si="14">N11</f>
        <v>Cabo Verde</v>
      </c>
      <c r="U11" s="219">
        <f t="shared" ref="U11:U13" si="15">O11+U18/100+U25/10000</f>
        <v>1</v>
      </c>
      <c r="V11" s="218">
        <f t="shared" si="9"/>
        <v>0</v>
      </c>
      <c r="W11" s="219">
        <f t="shared" si="9"/>
        <v>0</v>
      </c>
      <c r="X11" s="219">
        <f t="shared" si="9"/>
        <v>0</v>
      </c>
      <c r="Y11" s="220">
        <f t="shared" ref="Y11:Y13" si="16">ROUND(SUM(U11:X11),8)</f>
        <v>1</v>
      </c>
      <c r="Z11" s="224">
        <f t="shared" ref="Z11:Z13" si="17">_xlfn.RANK.EQ(Y11,Y$10:Y$13,1)</f>
        <v>1</v>
      </c>
    </row>
    <row r="12" spans="1:26" x14ac:dyDescent="0.25">
      <c r="A12" s="144"/>
      <c r="B12" s="189" t="str">
        <f>D2</f>
        <v>Saudi Arabia</v>
      </c>
      <c r="C12" s="190">
        <f>I39</f>
        <v>0</v>
      </c>
      <c r="D12" s="190">
        <f>I41</f>
        <v>0</v>
      </c>
      <c r="E12" s="204"/>
      <c r="F12" s="190">
        <f>H38</f>
        <v>1</v>
      </c>
      <c r="G12" s="191">
        <f>SUM(C12:F12)</f>
        <v>1</v>
      </c>
      <c r="H12" s="189" t="str">
        <f t="shared" si="10"/>
        <v>Saudi Arabia</v>
      </c>
      <c r="I12" s="219">
        <f t="shared" si="11"/>
        <v>0</v>
      </c>
      <c r="J12" s="219">
        <f t="shared" si="11"/>
        <v>0</v>
      </c>
      <c r="K12" s="218">
        <f t="shared" si="11"/>
        <v>0</v>
      </c>
      <c r="L12" s="219">
        <f t="shared" si="11"/>
        <v>1.0001</v>
      </c>
      <c r="M12" s="220">
        <f>SUM(I12:L12)</f>
        <v>1.0001</v>
      </c>
      <c r="N12" s="189" t="str">
        <f t="shared" si="12"/>
        <v>Saudi Arabia</v>
      </c>
      <c r="O12" s="219">
        <f t="shared" si="13"/>
        <v>0</v>
      </c>
      <c r="P12" s="219">
        <f t="shared" si="8"/>
        <v>0</v>
      </c>
      <c r="Q12" s="218">
        <f t="shared" si="8"/>
        <v>0</v>
      </c>
      <c r="R12" s="219">
        <f t="shared" si="8"/>
        <v>1.0002</v>
      </c>
      <c r="S12" s="220">
        <f>SUM(O12:R12)</f>
        <v>1.0002</v>
      </c>
      <c r="T12" s="189" t="str">
        <f t="shared" si="14"/>
        <v>Saudi Arabia</v>
      </c>
      <c r="U12" s="219">
        <f t="shared" si="15"/>
        <v>0</v>
      </c>
      <c r="V12" s="219">
        <f t="shared" si="9"/>
        <v>0</v>
      </c>
      <c r="W12" s="218">
        <f t="shared" si="9"/>
        <v>0</v>
      </c>
      <c r="X12" s="219">
        <f t="shared" si="9"/>
        <v>1.0003</v>
      </c>
      <c r="Y12" s="220">
        <f t="shared" si="16"/>
        <v>1.0003</v>
      </c>
      <c r="Z12" s="224">
        <f t="shared" si="17"/>
        <v>3</v>
      </c>
    </row>
    <row r="13" spans="1:26" x14ac:dyDescent="0.25">
      <c r="A13" s="144"/>
      <c r="B13" s="192" t="str">
        <f>E2</f>
        <v>Uruguay</v>
      </c>
      <c r="C13" s="193">
        <f>H42</f>
        <v>0</v>
      </c>
      <c r="D13" s="193">
        <f>H40</f>
        <v>0</v>
      </c>
      <c r="E13" s="193">
        <f>I38</f>
        <v>1</v>
      </c>
      <c r="F13" s="205"/>
      <c r="G13" s="194">
        <f>SUM(C13:F13)</f>
        <v>1</v>
      </c>
      <c r="H13" s="192" t="str">
        <f t="shared" si="10"/>
        <v>Uruguay</v>
      </c>
      <c r="I13" s="221">
        <f t="shared" si="11"/>
        <v>0</v>
      </c>
      <c r="J13" s="221">
        <f t="shared" si="11"/>
        <v>0</v>
      </c>
      <c r="K13" s="221">
        <f t="shared" si="11"/>
        <v>1.0001</v>
      </c>
      <c r="L13" s="222">
        <f t="shared" si="11"/>
        <v>0</v>
      </c>
      <c r="M13" s="223">
        <f>SUM(I13:L13)</f>
        <v>1.0001</v>
      </c>
      <c r="N13" s="192" t="str">
        <f t="shared" si="12"/>
        <v>Uruguay</v>
      </c>
      <c r="O13" s="221">
        <f t="shared" si="13"/>
        <v>0</v>
      </c>
      <c r="P13" s="221">
        <f t="shared" si="8"/>
        <v>0</v>
      </c>
      <c r="Q13" s="221">
        <f t="shared" si="8"/>
        <v>1.0002</v>
      </c>
      <c r="R13" s="222">
        <f t="shared" si="8"/>
        <v>0</v>
      </c>
      <c r="S13" s="223">
        <f>SUM(O13:R13)</f>
        <v>1.0002</v>
      </c>
      <c r="T13" s="192" t="str">
        <f t="shared" si="14"/>
        <v>Uruguay</v>
      </c>
      <c r="U13" s="221">
        <f t="shared" si="15"/>
        <v>0</v>
      </c>
      <c r="V13" s="221">
        <f t="shared" si="9"/>
        <v>0</v>
      </c>
      <c r="W13" s="221">
        <f t="shared" si="9"/>
        <v>1.0003</v>
      </c>
      <c r="X13" s="222">
        <f t="shared" si="9"/>
        <v>0</v>
      </c>
      <c r="Y13" s="223">
        <f t="shared" si="16"/>
        <v>1.0003</v>
      </c>
      <c r="Z13" s="225">
        <f t="shared" si="17"/>
        <v>3</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Spain</v>
      </c>
      <c r="D16" s="177" t="str">
        <f>C2</f>
        <v>Cabo Verde</v>
      </c>
      <c r="E16" s="177" t="str">
        <f>D2</f>
        <v>Saudi Arabia</v>
      </c>
      <c r="F16" s="177" t="str">
        <f>E2</f>
        <v>Uruguay</v>
      </c>
      <c r="G16" s="178" t="s">
        <v>26</v>
      </c>
      <c r="H16" s="183"/>
      <c r="I16" s="184" t="str">
        <f>C16</f>
        <v>Spain</v>
      </c>
      <c r="J16" s="184" t="str">
        <f t="shared" ref="J16:L16" si="18">D16</f>
        <v>Cabo Verde</v>
      </c>
      <c r="K16" s="184" t="str">
        <f t="shared" si="18"/>
        <v>Saudi Arabia</v>
      </c>
      <c r="L16" s="184" t="str">
        <f t="shared" si="18"/>
        <v>Uruguay</v>
      </c>
      <c r="M16" s="185" t="s">
        <v>26</v>
      </c>
      <c r="N16" s="183"/>
      <c r="O16" s="184" t="str">
        <f>I16</f>
        <v>Spain</v>
      </c>
      <c r="P16" s="184" t="str">
        <f t="shared" ref="P16:R16" si="19">J16</f>
        <v>Cabo Verde</v>
      </c>
      <c r="Q16" s="184" t="str">
        <f t="shared" si="19"/>
        <v>Saudi Arabia</v>
      </c>
      <c r="R16" s="184" t="str">
        <f t="shared" si="19"/>
        <v>Uruguay</v>
      </c>
      <c r="S16" s="185" t="s">
        <v>26</v>
      </c>
      <c r="T16" s="183"/>
      <c r="U16" s="184" t="str">
        <f>O16</f>
        <v>Spain</v>
      </c>
      <c r="V16" s="184" t="str">
        <f t="shared" ref="V16:X16" si="20">P16</f>
        <v>Cabo Verde</v>
      </c>
      <c r="W16" s="184" t="str">
        <f t="shared" si="20"/>
        <v>Saudi Arabia</v>
      </c>
      <c r="X16" s="184" t="str">
        <f t="shared" si="20"/>
        <v>Uruguay</v>
      </c>
      <c r="Y16" s="185" t="s">
        <v>26</v>
      </c>
    </row>
    <row r="17" spans="1:25" x14ac:dyDescent="0.25">
      <c r="A17" s="144"/>
      <c r="B17" s="176" t="str">
        <f>B2</f>
        <v>Spain</v>
      </c>
      <c r="C17" s="206"/>
      <c r="D17" s="179">
        <f>IFERROR(F37-G37,0)</f>
        <v>0</v>
      </c>
      <c r="E17" s="179">
        <f>IFERROR(F39-G39,0)</f>
        <v>0</v>
      </c>
      <c r="F17" s="179">
        <f>IFERROR(G42-F42,0)</f>
        <v>0</v>
      </c>
      <c r="G17" s="178">
        <f>SUM(C17:F17)</f>
        <v>0</v>
      </c>
      <c r="H17" s="183" t="str">
        <f>B17</f>
        <v>Spain</v>
      </c>
      <c r="I17" s="208"/>
      <c r="J17" s="184">
        <f>D17*J3</f>
        <v>0</v>
      </c>
      <c r="K17" s="184">
        <f>E17*K3</f>
        <v>0</v>
      </c>
      <c r="L17" s="184">
        <f>F17*L3</f>
        <v>0</v>
      </c>
      <c r="M17" s="185">
        <f>SUM(I17:L17)</f>
        <v>0</v>
      </c>
      <c r="N17" s="183" t="str">
        <f>H17</f>
        <v>Spain</v>
      </c>
      <c r="O17" s="208"/>
      <c r="P17" s="184">
        <f>J17*P3</f>
        <v>0</v>
      </c>
      <c r="Q17" s="184">
        <f>K17*Q3</f>
        <v>0</v>
      </c>
      <c r="R17" s="184">
        <f>L17*R3</f>
        <v>0</v>
      </c>
      <c r="S17" s="185">
        <f>SUM(O17:R17)</f>
        <v>0</v>
      </c>
      <c r="T17" s="183" t="str">
        <f>N17</f>
        <v>Spain</v>
      </c>
      <c r="U17" s="208"/>
      <c r="V17" s="184">
        <f>P17*V3</f>
        <v>0</v>
      </c>
      <c r="W17" s="184">
        <f>Q17*W3</f>
        <v>0</v>
      </c>
      <c r="X17" s="184">
        <f>R17*X3</f>
        <v>0</v>
      </c>
      <c r="Y17" s="185">
        <f>SUM(U17:X17)</f>
        <v>0</v>
      </c>
    </row>
    <row r="18" spans="1:25" x14ac:dyDescent="0.25">
      <c r="A18" s="144"/>
      <c r="B18" s="176" t="str">
        <f>C2</f>
        <v>Cabo Verde</v>
      </c>
      <c r="C18" s="179">
        <f>IFERROR(G37-F37,0)</f>
        <v>0</v>
      </c>
      <c r="D18" s="206"/>
      <c r="E18" s="179">
        <f>IFERROR(F41-G41,0)</f>
        <v>0</v>
      </c>
      <c r="F18" s="179">
        <f>IFERROR(G40-F40,0)</f>
        <v>0</v>
      </c>
      <c r="G18" s="178">
        <f>SUM(C18:F18)</f>
        <v>0</v>
      </c>
      <c r="H18" s="183" t="str">
        <f t="shared" ref="H18:H20" si="21">B18</f>
        <v>Cabo Verde</v>
      </c>
      <c r="I18" s="184">
        <f>C18*I4</f>
        <v>0</v>
      </c>
      <c r="J18" s="208"/>
      <c r="K18" s="184">
        <f>E18*K4</f>
        <v>0</v>
      </c>
      <c r="L18" s="184">
        <f>F18*L4</f>
        <v>0</v>
      </c>
      <c r="M18" s="185">
        <f>SUM(I18:L18)</f>
        <v>0</v>
      </c>
      <c r="N18" s="183" t="str">
        <f t="shared" ref="N18:N20" si="22">H18</f>
        <v>Cabo Verde</v>
      </c>
      <c r="O18" s="184">
        <f>I18*O4</f>
        <v>0</v>
      </c>
      <c r="P18" s="208"/>
      <c r="Q18" s="184">
        <f>K18*Q4</f>
        <v>0</v>
      </c>
      <c r="R18" s="184">
        <f>L18*R4</f>
        <v>0</v>
      </c>
      <c r="S18" s="185">
        <f>SUM(O18:R18)</f>
        <v>0</v>
      </c>
      <c r="T18" s="183" t="str">
        <f t="shared" ref="T18:T20" si="23">N18</f>
        <v>Cabo Verde</v>
      </c>
      <c r="U18" s="184">
        <f>O18*U4</f>
        <v>0</v>
      </c>
      <c r="V18" s="208"/>
      <c r="W18" s="184">
        <f>Q18*W4</f>
        <v>0</v>
      </c>
      <c r="X18" s="184">
        <f>R18*X4</f>
        <v>0</v>
      </c>
      <c r="Y18" s="185">
        <f>SUM(U18:X18)</f>
        <v>0</v>
      </c>
    </row>
    <row r="19" spans="1:25" x14ac:dyDescent="0.25">
      <c r="A19" s="144"/>
      <c r="B19" s="176" t="str">
        <f>D2</f>
        <v>Saudi Arabia</v>
      </c>
      <c r="C19" s="179">
        <f>IFERROR(G39-F39,0)</f>
        <v>0</v>
      </c>
      <c r="D19" s="179">
        <f>IFERROR(G41-F41,0)</f>
        <v>0</v>
      </c>
      <c r="E19" s="206"/>
      <c r="F19" s="179">
        <f>IFERROR(F38-G38,0)</f>
        <v>0</v>
      </c>
      <c r="G19" s="178">
        <f>SUM(C19:F19)</f>
        <v>0</v>
      </c>
      <c r="H19" s="183" t="str">
        <f t="shared" si="21"/>
        <v>Saudi Arabia</v>
      </c>
      <c r="I19" s="184">
        <f>C19*I5</f>
        <v>0</v>
      </c>
      <c r="J19" s="184">
        <f>D19*J5</f>
        <v>0</v>
      </c>
      <c r="K19" s="208"/>
      <c r="L19" s="184">
        <f>F19*L5</f>
        <v>0</v>
      </c>
      <c r="M19" s="185">
        <f>SUM(I19:L19)</f>
        <v>0</v>
      </c>
      <c r="N19" s="183" t="str">
        <f t="shared" si="22"/>
        <v>Saudi Arabia</v>
      </c>
      <c r="O19" s="184">
        <f>I19*O5</f>
        <v>0</v>
      </c>
      <c r="P19" s="184">
        <f>J19*P5</f>
        <v>0</v>
      </c>
      <c r="Q19" s="208"/>
      <c r="R19" s="184">
        <f>L19*R5</f>
        <v>0</v>
      </c>
      <c r="S19" s="185">
        <f>SUM(O19:R19)</f>
        <v>0</v>
      </c>
      <c r="T19" s="183" t="str">
        <f t="shared" si="23"/>
        <v>Saudi Arabia</v>
      </c>
      <c r="U19" s="184">
        <f>O19*U5</f>
        <v>0</v>
      </c>
      <c r="V19" s="184">
        <f>P19*V5</f>
        <v>0</v>
      </c>
      <c r="W19" s="208"/>
      <c r="X19" s="184">
        <f>R19*X5</f>
        <v>0</v>
      </c>
      <c r="Y19" s="185">
        <f>SUM(U19:X19)</f>
        <v>0</v>
      </c>
    </row>
    <row r="20" spans="1:25" x14ac:dyDescent="0.25">
      <c r="A20" s="144"/>
      <c r="B20" s="180" t="str">
        <f>E2</f>
        <v>Uruguay</v>
      </c>
      <c r="C20" s="181">
        <f>IFERROR(F42-G42,0)</f>
        <v>0</v>
      </c>
      <c r="D20" s="181">
        <f>IFERROR(F40-G40,0)</f>
        <v>0</v>
      </c>
      <c r="E20" s="181">
        <f>IFERROR(G38-F38,0)</f>
        <v>0</v>
      </c>
      <c r="F20" s="207"/>
      <c r="G20" s="182">
        <f>SUM(C20:F20)</f>
        <v>0</v>
      </c>
      <c r="H20" s="186" t="str">
        <f t="shared" si="21"/>
        <v>Uruguay</v>
      </c>
      <c r="I20" s="187">
        <f>C20*I6</f>
        <v>0</v>
      </c>
      <c r="J20" s="187">
        <f>D20*J6</f>
        <v>0</v>
      </c>
      <c r="K20" s="187">
        <f>E20*K6</f>
        <v>0</v>
      </c>
      <c r="L20" s="213"/>
      <c r="M20" s="188">
        <f>SUM(I20:L20)</f>
        <v>0</v>
      </c>
      <c r="N20" s="186" t="str">
        <f t="shared" si="22"/>
        <v>Uruguay</v>
      </c>
      <c r="O20" s="187">
        <f>I20*O6</f>
        <v>0</v>
      </c>
      <c r="P20" s="187">
        <f>J20*P6</f>
        <v>0</v>
      </c>
      <c r="Q20" s="187">
        <f>K20*Q6</f>
        <v>0</v>
      </c>
      <c r="R20" s="213"/>
      <c r="S20" s="188">
        <f>SUM(O20:R20)</f>
        <v>0</v>
      </c>
      <c r="T20" s="186" t="str">
        <f t="shared" si="23"/>
        <v>Uruguay</v>
      </c>
      <c r="U20" s="187">
        <f>O20*U6</f>
        <v>0</v>
      </c>
      <c r="V20" s="187">
        <f>P20*V6</f>
        <v>0</v>
      </c>
      <c r="W20" s="187">
        <f>Q20*W6</f>
        <v>0</v>
      </c>
      <c r="X20" s="213"/>
      <c r="Y20" s="188">
        <f>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Spain</v>
      </c>
      <c r="D23" s="164" t="str">
        <f>C2</f>
        <v>Cabo Verde</v>
      </c>
      <c r="E23" s="164" t="str">
        <f>D2</f>
        <v>Saudi Arabia</v>
      </c>
      <c r="F23" s="164" t="str">
        <f>E2</f>
        <v>Uruguay</v>
      </c>
      <c r="G23" s="165" t="s">
        <v>26</v>
      </c>
      <c r="H23" s="169"/>
      <c r="I23" s="170" t="str">
        <f>C23</f>
        <v>Spain</v>
      </c>
      <c r="J23" s="170" t="str">
        <f t="shared" ref="J23:L23" si="24">D23</f>
        <v>Cabo Verde</v>
      </c>
      <c r="K23" s="170" t="str">
        <f t="shared" si="24"/>
        <v>Saudi Arabia</v>
      </c>
      <c r="L23" s="170" t="str">
        <f t="shared" si="24"/>
        <v>Uruguay</v>
      </c>
      <c r="M23" s="171" t="s">
        <v>26</v>
      </c>
      <c r="N23" s="169"/>
      <c r="O23" s="170" t="str">
        <f>I23</f>
        <v>Spain</v>
      </c>
      <c r="P23" s="170" t="str">
        <f t="shared" ref="P23:R23" si="25">J23</f>
        <v>Cabo Verde</v>
      </c>
      <c r="Q23" s="170" t="str">
        <f t="shared" si="25"/>
        <v>Saudi Arabia</v>
      </c>
      <c r="R23" s="170" t="str">
        <f t="shared" si="25"/>
        <v>Uruguay</v>
      </c>
      <c r="S23" s="171" t="s">
        <v>26</v>
      </c>
      <c r="T23" s="169"/>
      <c r="U23" s="170" t="str">
        <f>O23</f>
        <v>Spain</v>
      </c>
      <c r="V23" s="170" t="str">
        <f t="shared" ref="V23:X23" si="26">P23</f>
        <v>Cabo Verde</v>
      </c>
      <c r="W23" s="170" t="str">
        <f t="shared" si="26"/>
        <v>Saudi Arabia</v>
      </c>
      <c r="X23" s="170" t="str">
        <f t="shared" si="26"/>
        <v>Uruguay</v>
      </c>
      <c r="Y23" s="171" t="s">
        <v>26</v>
      </c>
    </row>
    <row r="24" spans="1:25" x14ac:dyDescent="0.25">
      <c r="A24" s="143"/>
      <c r="B24" s="163" t="str">
        <f>B2</f>
        <v>Spain</v>
      </c>
      <c r="C24" s="209"/>
      <c r="D24" s="164">
        <f>IF(F37="",0,F37)</f>
        <v>0</v>
      </c>
      <c r="E24" s="164">
        <f>IF(F39="",0,F39)</f>
        <v>0</v>
      </c>
      <c r="F24" s="164">
        <f>IF(G42="",0,G42)</f>
        <v>0</v>
      </c>
      <c r="G24" s="165">
        <f>SUM(C24:F24)</f>
        <v>0</v>
      </c>
      <c r="H24" s="169" t="str">
        <f>B24</f>
        <v>Spain</v>
      </c>
      <c r="I24" s="214"/>
      <c r="J24" s="170">
        <f>D24*J3</f>
        <v>0</v>
      </c>
      <c r="K24" s="170">
        <f>E24*K3</f>
        <v>0</v>
      </c>
      <c r="L24" s="170">
        <f>F24*L3</f>
        <v>0</v>
      </c>
      <c r="M24" s="171">
        <f>SUM(I24:L24)</f>
        <v>0</v>
      </c>
      <c r="N24" s="169" t="str">
        <f>H24</f>
        <v>Spain</v>
      </c>
      <c r="O24" s="214"/>
      <c r="P24" s="170">
        <f>J24*P3</f>
        <v>0</v>
      </c>
      <c r="Q24" s="170">
        <f>K24*Q3</f>
        <v>0</v>
      </c>
      <c r="R24" s="170">
        <f>L24*R3</f>
        <v>0</v>
      </c>
      <c r="S24" s="171">
        <f>SUM(O24:R24)</f>
        <v>0</v>
      </c>
      <c r="T24" s="169" t="str">
        <f>N24</f>
        <v>Spain</v>
      </c>
      <c r="U24" s="214"/>
      <c r="V24" s="170">
        <f>P24*V3</f>
        <v>0</v>
      </c>
      <c r="W24" s="170">
        <f>Q24*W3</f>
        <v>0</v>
      </c>
      <c r="X24" s="170">
        <f>R24*X3</f>
        <v>0</v>
      </c>
      <c r="Y24" s="171">
        <f>SUM(U24:X24)</f>
        <v>0</v>
      </c>
    </row>
    <row r="25" spans="1:25" x14ac:dyDescent="0.25">
      <c r="A25" s="143"/>
      <c r="B25" s="163" t="str">
        <f>C2</f>
        <v>Cabo Verde</v>
      </c>
      <c r="C25" s="164">
        <f>IF(G37="",0,G37)</f>
        <v>0</v>
      </c>
      <c r="D25" s="209"/>
      <c r="E25" s="164">
        <f>IF(F41="",0,F41)</f>
        <v>0</v>
      </c>
      <c r="F25" s="164">
        <f>IF(G40="",0,G40)</f>
        <v>0</v>
      </c>
      <c r="G25" s="165">
        <f>SUM(C25:F25)</f>
        <v>0</v>
      </c>
      <c r="H25" s="169" t="str">
        <f t="shared" ref="H25:H27" si="27">B25</f>
        <v>Cabo Verde</v>
      </c>
      <c r="I25" s="170">
        <f>C25*I4</f>
        <v>0</v>
      </c>
      <c r="J25" s="214"/>
      <c r="K25" s="170">
        <f>E25*K4</f>
        <v>0</v>
      </c>
      <c r="L25" s="170">
        <f>F25*L4</f>
        <v>0</v>
      </c>
      <c r="M25" s="171">
        <f>SUM(I25:L25)</f>
        <v>0</v>
      </c>
      <c r="N25" s="169" t="str">
        <f t="shared" ref="N25:N27" si="28">H25</f>
        <v>Cabo Verde</v>
      </c>
      <c r="O25" s="170">
        <f>I25*O4</f>
        <v>0</v>
      </c>
      <c r="P25" s="214"/>
      <c r="Q25" s="170">
        <f>K25*Q4</f>
        <v>0</v>
      </c>
      <c r="R25" s="170">
        <f>L25*R4</f>
        <v>0</v>
      </c>
      <c r="S25" s="171">
        <f>SUM(O25:R25)</f>
        <v>0</v>
      </c>
      <c r="T25" s="169" t="str">
        <f t="shared" ref="T25:T27" si="29">N25</f>
        <v>Cabo Verde</v>
      </c>
      <c r="U25" s="170">
        <f>O25*U4</f>
        <v>0</v>
      </c>
      <c r="V25" s="214"/>
      <c r="W25" s="170">
        <f>Q25*W4</f>
        <v>0</v>
      </c>
      <c r="X25" s="170">
        <f>R25*X4</f>
        <v>0</v>
      </c>
      <c r="Y25" s="171">
        <f>SUM(U25:X25)</f>
        <v>0</v>
      </c>
    </row>
    <row r="26" spans="1:25" x14ac:dyDescent="0.25">
      <c r="A26" s="143"/>
      <c r="B26" s="163" t="str">
        <f>D2</f>
        <v>Saudi Arabia</v>
      </c>
      <c r="C26" s="164">
        <f>IF(G39="",0,G39)</f>
        <v>0</v>
      </c>
      <c r="D26" s="164">
        <f>IF(G41="",0,G41)</f>
        <v>0</v>
      </c>
      <c r="E26" s="209"/>
      <c r="F26" s="164">
        <f>IF(F38="",0,F38)</f>
        <v>1</v>
      </c>
      <c r="G26" s="165">
        <f>SUM(C26:F26)</f>
        <v>1</v>
      </c>
      <c r="H26" s="169" t="str">
        <f t="shared" si="27"/>
        <v>Saudi Arabia</v>
      </c>
      <c r="I26" s="170">
        <f>C26*I5</f>
        <v>0</v>
      </c>
      <c r="J26" s="170">
        <f>D26*J5</f>
        <v>0</v>
      </c>
      <c r="K26" s="214"/>
      <c r="L26" s="170">
        <f>F26*L5</f>
        <v>1</v>
      </c>
      <c r="M26" s="171">
        <f>SUM(I26:L26)</f>
        <v>1</v>
      </c>
      <c r="N26" s="169" t="str">
        <f t="shared" si="28"/>
        <v>Saudi Arabia</v>
      </c>
      <c r="O26" s="170">
        <f>I26*O5</f>
        <v>0</v>
      </c>
      <c r="P26" s="170">
        <f>J26*P5</f>
        <v>0</v>
      </c>
      <c r="Q26" s="214"/>
      <c r="R26" s="170">
        <f>L26*R5</f>
        <v>1</v>
      </c>
      <c r="S26" s="171">
        <f>SUM(O26:R26)</f>
        <v>1</v>
      </c>
      <c r="T26" s="169" t="str">
        <f t="shared" si="29"/>
        <v>Saudi Arabia</v>
      </c>
      <c r="U26" s="170">
        <f>O26*U5</f>
        <v>0</v>
      </c>
      <c r="V26" s="170">
        <f>P26*V5</f>
        <v>0</v>
      </c>
      <c r="W26" s="214"/>
      <c r="X26" s="170">
        <f>R26*X5</f>
        <v>1</v>
      </c>
      <c r="Y26" s="171">
        <f>SUM(U26:X26)</f>
        <v>1</v>
      </c>
    </row>
    <row r="27" spans="1:25" x14ac:dyDescent="0.25">
      <c r="A27" s="143"/>
      <c r="B27" s="166" t="str">
        <f>E2</f>
        <v>Uruguay</v>
      </c>
      <c r="C27" s="167">
        <f>IF(F42="",0,F42)</f>
        <v>0</v>
      </c>
      <c r="D27" s="167">
        <f>IF(F40="",0,F40)</f>
        <v>0</v>
      </c>
      <c r="E27" s="167">
        <f>IF(G38="",0,G38)</f>
        <v>1</v>
      </c>
      <c r="F27" s="210"/>
      <c r="G27" s="168">
        <f>SUM(C27:F27)</f>
        <v>1</v>
      </c>
      <c r="H27" s="172" t="str">
        <f t="shared" si="27"/>
        <v>Uruguay</v>
      </c>
      <c r="I27" s="173">
        <f>C27*I6</f>
        <v>0</v>
      </c>
      <c r="J27" s="173">
        <f>D27*J6</f>
        <v>0</v>
      </c>
      <c r="K27" s="173">
        <f>E27*K6</f>
        <v>1</v>
      </c>
      <c r="L27" s="215"/>
      <c r="M27" s="174">
        <f>SUM(I27:L27)</f>
        <v>1</v>
      </c>
      <c r="N27" s="172" t="str">
        <f t="shared" si="28"/>
        <v>Uruguay</v>
      </c>
      <c r="O27" s="173">
        <f>I27*O6</f>
        <v>0</v>
      </c>
      <c r="P27" s="173">
        <f>J27*P6</f>
        <v>0</v>
      </c>
      <c r="Q27" s="173">
        <f>K27*Q6</f>
        <v>1</v>
      </c>
      <c r="R27" s="215"/>
      <c r="S27" s="174">
        <f>SUM(O27:R27)</f>
        <v>1</v>
      </c>
      <c r="T27" s="172" t="str">
        <f t="shared" si="29"/>
        <v>Uruguay</v>
      </c>
      <c r="U27" s="173">
        <f>O27*U6</f>
        <v>0</v>
      </c>
      <c r="V27" s="173">
        <f>P27*V6</f>
        <v>0</v>
      </c>
      <c r="W27" s="173">
        <f>Q27*W6</f>
        <v>1</v>
      </c>
      <c r="X27" s="215"/>
      <c r="Y27" s="174">
        <f>SUM(U27:X27)</f>
        <v>1</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232" t="s">
        <v>631</v>
      </c>
      <c r="E29" s="232" t="s">
        <v>632</v>
      </c>
      <c r="F29" s="232" t="s">
        <v>633</v>
      </c>
      <c r="G29" s="232" t="s">
        <v>676</v>
      </c>
      <c r="H29" s="232" t="s">
        <v>411</v>
      </c>
      <c r="I29" s="232" t="s">
        <v>661</v>
      </c>
      <c r="J29" s="232" t="s">
        <v>634</v>
      </c>
      <c r="K29" s="233" t="s">
        <v>635</v>
      </c>
    </row>
    <row r="30" spans="1:25" x14ac:dyDescent="0.25">
      <c r="A30" s="234">
        <f>K30</f>
        <v>3</v>
      </c>
      <c r="B30" s="235" t="str">
        <f>B2</f>
        <v>Spain</v>
      </c>
      <c r="C30" s="236">
        <f>VLOOKUP($B30,Lookup10,3,FALSE)</f>
        <v>1</v>
      </c>
      <c r="D30" s="236">
        <f>VLOOKUP($B30,Lookup10,7,FALSE)</f>
        <v>0</v>
      </c>
      <c r="E30" s="236">
        <f>VLOOKUP($B30,Lookup10,8,FALSE)</f>
        <v>0</v>
      </c>
      <c r="F30" s="236">
        <f>VLOOKUP($B30,Lookup10,9,FALSE)</f>
        <v>0</v>
      </c>
      <c r="G30" s="237">
        <f>Z10</f>
        <v>1</v>
      </c>
      <c r="H30" s="236">
        <f>VLOOKUP($B30,Lookup10,11,FALSE)</f>
        <v>1</v>
      </c>
      <c r="I30" s="236">
        <f>VLOOKUP($B30,Lookup11,2,FALSE)</f>
        <v>2</v>
      </c>
      <c r="J30" s="238">
        <f>ROUND(D30*D$34+F30*F$34+G30*G$34-H30*H$34-I30*I$34,8)</f>
        <v>9999.9897999999994</v>
      </c>
      <c r="K30" s="239">
        <f>RANK(J30,J$30:J$33,0)</f>
        <v>3</v>
      </c>
    </row>
    <row r="31" spans="1:25" x14ac:dyDescent="0.25">
      <c r="A31" s="234">
        <f t="shared" ref="A31:A33" si="30">K31</f>
        <v>4</v>
      </c>
      <c r="B31" s="235" t="str">
        <f>C2</f>
        <v>Cabo Verde</v>
      </c>
      <c r="C31" s="236">
        <f>VLOOKUP($B31,Lookup10,3,FALSE)</f>
        <v>1</v>
      </c>
      <c r="D31" s="236">
        <f>VLOOKUP($B31,Lookup10,7,FALSE)</f>
        <v>0</v>
      </c>
      <c r="E31" s="236">
        <f>VLOOKUP($B31,Lookup10,8,FALSE)</f>
        <v>0</v>
      </c>
      <c r="F31" s="236">
        <f>VLOOKUP($B31,Lookup10,9,FALSE)</f>
        <v>0</v>
      </c>
      <c r="G31" s="237">
        <f t="shared" ref="G31:G33" si="31">Z11</f>
        <v>1</v>
      </c>
      <c r="H31" s="236">
        <f>VLOOKUP($B31,Lookup10,11,FALSE)</f>
        <v>1</v>
      </c>
      <c r="I31" s="236">
        <f>VLOOKUP($B31,Lookup11,2,FALSE)</f>
        <v>44</v>
      </c>
      <c r="J31" s="238">
        <f t="shared" ref="J31:J33" si="32">ROUND(D31*D$34+F31*F$34+G31*G$34-H31*H$34-I31*I$34,8)</f>
        <v>9999.9856</v>
      </c>
      <c r="K31" s="239">
        <f>RANK(J31,J$30:J$33,0)</f>
        <v>4</v>
      </c>
    </row>
    <row r="32" spans="1:25" x14ac:dyDescent="0.25">
      <c r="A32" s="234">
        <f t="shared" si="30"/>
        <v>2</v>
      </c>
      <c r="B32" s="235" t="str">
        <f>D2</f>
        <v>Saudi Arabia</v>
      </c>
      <c r="C32" s="236">
        <f>VLOOKUP($B32,Lookup10,3,FALSE)</f>
        <v>1</v>
      </c>
      <c r="D32" s="236">
        <f>VLOOKUP($B32,Lookup10,7,FALSE)</f>
        <v>1</v>
      </c>
      <c r="E32" s="236">
        <f>VLOOKUP($B32,Lookup10,8,FALSE)</f>
        <v>1</v>
      </c>
      <c r="F32" s="236">
        <f>VLOOKUP($B32,Lookup10,9,FALSE)</f>
        <v>0</v>
      </c>
      <c r="G32" s="237">
        <f t="shared" si="31"/>
        <v>3</v>
      </c>
      <c r="H32" s="236">
        <f>VLOOKUP($B32,Lookup10,11,FALSE)</f>
        <v>1</v>
      </c>
      <c r="I32" s="236">
        <f>VLOOKUP($B32,Lookup11,2,FALSE)</f>
        <v>41</v>
      </c>
      <c r="J32" s="238">
        <f t="shared" si="32"/>
        <v>30000.9859</v>
      </c>
      <c r="K32" s="239">
        <f>RANK(J32,J$30:J$33,0)</f>
        <v>2</v>
      </c>
    </row>
    <row r="33" spans="1:16" x14ac:dyDescent="0.25">
      <c r="A33" s="234">
        <f t="shared" si="30"/>
        <v>1</v>
      </c>
      <c r="B33" s="235" t="str">
        <f>E2</f>
        <v>Uruguay</v>
      </c>
      <c r="C33" s="236">
        <f>VLOOKUP($B33,Lookup10,3,FALSE)</f>
        <v>1</v>
      </c>
      <c r="D33" s="236">
        <f>VLOOKUP($B33,Lookup10,7,FALSE)</f>
        <v>1</v>
      </c>
      <c r="E33" s="236">
        <f>VLOOKUP($B33,Lookup10,8,FALSE)</f>
        <v>1</v>
      </c>
      <c r="F33" s="236">
        <f>VLOOKUP($B33,Lookup10,9,FALSE)</f>
        <v>0</v>
      </c>
      <c r="G33" s="237">
        <f t="shared" si="31"/>
        <v>3</v>
      </c>
      <c r="H33" s="236">
        <f>VLOOKUP($B33,Lookup10,11,FALSE)</f>
        <v>0</v>
      </c>
      <c r="I33" s="236">
        <f>VLOOKUP($B33,Lookup11,2,FALSE)</f>
        <v>15</v>
      </c>
      <c r="J33" s="238">
        <f t="shared" si="32"/>
        <v>30000.998500000002</v>
      </c>
      <c r="K33" s="239">
        <f>RANK(J33,J$30:J$33,0)</f>
        <v>1</v>
      </c>
    </row>
    <row r="34" spans="1:16" x14ac:dyDescent="0.25">
      <c r="A34" s="240"/>
      <c r="B34" s="241" t="s">
        <v>636</v>
      </c>
      <c r="C34" s="242">
        <f>SUM(C30:C33)</f>
        <v>4</v>
      </c>
      <c r="D34" s="205">
        <v>1</v>
      </c>
      <c r="E34" s="205"/>
      <c r="F34" s="205">
        <v>100</v>
      </c>
      <c r="G34" s="205">
        <v>10000</v>
      </c>
      <c r="H34" s="205">
        <v>0.01</v>
      </c>
      <c r="I34" s="205">
        <v>1E-4</v>
      </c>
      <c r="J34" s="242"/>
      <c r="K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SpainCabo Verde</v>
      </c>
      <c r="B37" s="158" t="str">
        <f>B1&amp;C1</f>
        <v>H1H2</v>
      </c>
      <c r="C37" s="158">
        <f>IF(Data!Q52="",0,1)</f>
        <v>1</v>
      </c>
      <c r="D37" s="150" t="str">
        <f>B2</f>
        <v>Spain</v>
      </c>
      <c r="E37" s="150" t="str">
        <f>C2</f>
        <v>Cabo Verde</v>
      </c>
      <c r="F37" s="158">
        <f t="shared" ref="F37:F42" si="33">VLOOKUP($B37,Lookup12,2,FALSE)</f>
        <v>0</v>
      </c>
      <c r="G37" s="158">
        <f t="shared" ref="G37:G42" si="34">VLOOKUP($B37,Lookup12,3,FALSE)</f>
        <v>0</v>
      </c>
      <c r="H37" s="158">
        <f t="shared" ref="H37:H42" si="35">IF(C37=0,0,IF(F37&lt;G37,Lpts,IF(F37&gt;G37,Wpts,Dpts)))</f>
        <v>1</v>
      </c>
      <c r="I37" s="158">
        <f t="shared" ref="I37:I42" si="36">IF(C37=0,0,IF(G37&lt;F37,Lpts,IF(G37&gt;F37,Wpts,Dpts)))</f>
        <v>1</v>
      </c>
      <c r="J37" s="158">
        <f t="shared" ref="J37:J42" si="37">VLOOKUP($B37,Lookup12,4,FALSE)</f>
        <v>1</v>
      </c>
      <c r="K37" s="158">
        <f t="shared" ref="K37:K42" si="38">VLOOKUP($B37,Lookup12,5,FALSE)</f>
        <v>1</v>
      </c>
      <c r="L37" s="143"/>
      <c r="M37" s="143"/>
      <c r="N37" s="143"/>
      <c r="O37" s="143"/>
      <c r="P37" s="143"/>
    </row>
    <row r="38" spans="1:16" x14ac:dyDescent="0.25">
      <c r="A38" s="149" t="str">
        <f>D2&amp;E2</f>
        <v>Saudi ArabiaUruguay</v>
      </c>
      <c r="B38" s="158" t="str">
        <f>D1&amp;E1</f>
        <v>H3H4</v>
      </c>
      <c r="C38" s="158">
        <f>IF(Data!Q53="",0,1)</f>
        <v>1</v>
      </c>
      <c r="D38" s="150" t="str">
        <f>D2</f>
        <v>Saudi Arabia</v>
      </c>
      <c r="E38" s="150" t="str">
        <f>E2</f>
        <v>Uruguay</v>
      </c>
      <c r="F38" s="158">
        <f t="shared" si="33"/>
        <v>1</v>
      </c>
      <c r="G38" s="158">
        <f t="shared" si="34"/>
        <v>1</v>
      </c>
      <c r="H38" s="158">
        <f t="shared" si="35"/>
        <v>1</v>
      </c>
      <c r="I38" s="158">
        <f t="shared" si="36"/>
        <v>1</v>
      </c>
      <c r="J38" s="158">
        <f t="shared" si="37"/>
        <v>1</v>
      </c>
      <c r="K38" s="158">
        <f t="shared" si="38"/>
        <v>0</v>
      </c>
      <c r="L38" s="143"/>
      <c r="M38" s="143"/>
      <c r="N38" s="143"/>
      <c r="O38" s="143"/>
      <c r="P38" s="143"/>
    </row>
    <row r="39" spans="1:16" x14ac:dyDescent="0.25">
      <c r="A39" s="149" t="str">
        <f>B2&amp;D2</f>
        <v>SpainSaudi Arabia</v>
      </c>
      <c r="B39" s="158" t="str">
        <f>B1&amp;D1</f>
        <v>H1H3</v>
      </c>
      <c r="C39" s="158">
        <f>IF(Data!Q54="",0,1)</f>
        <v>0</v>
      </c>
      <c r="D39" s="150" t="str">
        <f>B2</f>
        <v>Spain</v>
      </c>
      <c r="E39" s="150" t="str">
        <f>D2</f>
        <v>Saudi Arabia</v>
      </c>
      <c r="F39" s="158" t="str">
        <f t="shared" si="33"/>
        <v/>
      </c>
      <c r="G39" s="158" t="str">
        <f t="shared" si="34"/>
        <v/>
      </c>
      <c r="H39" s="158">
        <f t="shared" si="35"/>
        <v>0</v>
      </c>
      <c r="I39" s="158">
        <f t="shared" si="36"/>
        <v>0</v>
      </c>
      <c r="J39" s="158" t="str">
        <f t="shared" si="37"/>
        <v/>
      </c>
      <c r="K39" s="158" t="str">
        <f t="shared" si="38"/>
        <v/>
      </c>
      <c r="L39" s="143"/>
      <c r="M39" s="143"/>
      <c r="N39" s="143"/>
      <c r="O39" s="143"/>
      <c r="P39" s="143"/>
    </row>
    <row r="40" spans="1:16" x14ac:dyDescent="0.25">
      <c r="A40" s="149" t="str">
        <f>E2&amp;C2</f>
        <v>UruguayCabo Verde</v>
      </c>
      <c r="B40" s="158" t="str">
        <f>E1&amp;C1</f>
        <v>H4H2</v>
      </c>
      <c r="C40" s="158">
        <f>IF(Data!Q55="",0,1)</f>
        <v>0</v>
      </c>
      <c r="D40" s="150" t="str">
        <f>E2</f>
        <v>Uruguay</v>
      </c>
      <c r="E40" s="150" t="str">
        <f>C2</f>
        <v>Cabo Verde</v>
      </c>
      <c r="F40" s="158" t="str">
        <f t="shared" si="33"/>
        <v/>
      </c>
      <c r="G40" s="158" t="str">
        <f t="shared" si="34"/>
        <v/>
      </c>
      <c r="H40" s="158">
        <f t="shared" si="35"/>
        <v>0</v>
      </c>
      <c r="I40" s="158">
        <f t="shared" si="36"/>
        <v>0</v>
      </c>
      <c r="J40" s="158" t="str">
        <f t="shared" si="37"/>
        <v/>
      </c>
      <c r="K40" s="158" t="str">
        <f t="shared" si="38"/>
        <v/>
      </c>
      <c r="L40" s="143"/>
      <c r="M40" s="143"/>
      <c r="N40" s="143"/>
      <c r="O40" s="143"/>
      <c r="P40" s="143"/>
    </row>
    <row r="41" spans="1:16" x14ac:dyDescent="0.25">
      <c r="A41" s="149" t="str">
        <f>C2&amp;D2</f>
        <v>Cabo VerdeSaudi Arabia</v>
      </c>
      <c r="B41" s="158" t="str">
        <f>C1&amp;D1</f>
        <v>H2H3</v>
      </c>
      <c r="C41" s="158">
        <f>IF(Data!Q56="",0,1)</f>
        <v>0</v>
      </c>
      <c r="D41" s="150" t="str">
        <f>C2</f>
        <v>Cabo Verde</v>
      </c>
      <c r="E41" s="150" t="str">
        <f>D2</f>
        <v>Saudi Arabia</v>
      </c>
      <c r="F41" s="158" t="str">
        <f t="shared" si="33"/>
        <v/>
      </c>
      <c r="G41" s="158" t="str">
        <f t="shared" si="34"/>
        <v/>
      </c>
      <c r="H41" s="158">
        <f t="shared" si="35"/>
        <v>0</v>
      </c>
      <c r="I41" s="158">
        <f t="shared" si="36"/>
        <v>0</v>
      </c>
      <c r="J41" s="158" t="str">
        <f t="shared" si="37"/>
        <v/>
      </c>
      <c r="K41" s="158" t="str">
        <f t="shared" si="38"/>
        <v/>
      </c>
      <c r="L41" s="143"/>
      <c r="M41" s="143"/>
      <c r="N41" s="143"/>
      <c r="O41" s="143"/>
      <c r="P41" s="143"/>
    </row>
    <row r="42" spans="1:16" x14ac:dyDescent="0.25">
      <c r="A42" s="151" t="str">
        <f>E2&amp;B2</f>
        <v>UruguaySpain</v>
      </c>
      <c r="B42" s="159" t="str">
        <f>E1&amp;B1</f>
        <v>H4H1</v>
      </c>
      <c r="C42" s="159">
        <f>IF(Data!Q57="",0,1)</f>
        <v>0</v>
      </c>
      <c r="D42" s="152" t="str">
        <f>E2</f>
        <v>Uruguay</v>
      </c>
      <c r="E42" s="152" t="str">
        <f>B2</f>
        <v>Spain</v>
      </c>
      <c r="F42" s="159" t="str">
        <f t="shared" si="33"/>
        <v/>
      </c>
      <c r="G42" s="159" t="str">
        <f t="shared" si="34"/>
        <v/>
      </c>
      <c r="H42" s="159">
        <f t="shared" si="35"/>
        <v>0</v>
      </c>
      <c r="I42" s="159">
        <f t="shared" si="36"/>
        <v>0</v>
      </c>
      <c r="J42" s="159" t="str">
        <f t="shared" si="37"/>
        <v/>
      </c>
      <c r="K42" s="159" t="str">
        <f t="shared" si="38"/>
        <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$B45</f>
        <v>Uruguay</v>
      </c>
      <c r="M44" s="154" t="str">
        <f>$B46</f>
        <v>Saudi Arabia</v>
      </c>
      <c r="N44" s="154" t="str">
        <f>$B47</f>
        <v>Spain</v>
      </c>
      <c r="O44" s="154" t="str">
        <f>$B48</f>
        <v>Cabo Verde</v>
      </c>
      <c r="P44" s="155"/>
    </row>
    <row r="45" spans="1:16" x14ac:dyDescent="0.25">
      <c r="A45" s="156">
        <v>1</v>
      </c>
      <c r="B45" s="156" t="str">
        <f>VLOOKUP($A45,RankingH,2,FALSE)</f>
        <v>Uruguay</v>
      </c>
      <c r="C45" s="157">
        <f>VLOOKUP($B45,Lookup10,3,FALSE)</f>
        <v>1</v>
      </c>
      <c r="D45" s="157">
        <f>VLOOKUP($B45,Lookup10,4,FALSE)</f>
        <v>0</v>
      </c>
      <c r="E45" s="157">
        <f>VLOOKUP($B45,Lookup10,5,FALSE)</f>
        <v>1</v>
      </c>
      <c r="F45" s="157">
        <f>VLOOKUP($B45,Lookup10,6,FALSE)</f>
        <v>0</v>
      </c>
      <c r="G45" s="157">
        <f>VLOOKUP($B45,Lookup10,7,FALSE)</f>
        <v>1</v>
      </c>
      <c r="H45" s="157">
        <f>VLOOKUP($B45,Lookup10,8,FALSE)</f>
        <v>1</v>
      </c>
      <c r="I45" s="157">
        <f>VLOOKUP($B45,Lookup10,9,FALSE)</f>
        <v>0</v>
      </c>
      <c r="J45" s="157">
        <f>VLOOKUP($B45,Lookup10,10,FALSE)</f>
        <v>1</v>
      </c>
      <c r="K45" s="201" t="str">
        <f>B45</f>
        <v>Uruguay</v>
      </c>
      <c r="L45" s="203"/>
      <c r="M45" s="202" t="str">
        <f>IFERROR(VLOOKUP($B45&amp;M$44,A37:G42,6,FALSE)&amp;"-"&amp;VLOOKUP($B45&amp;M$44,A37:G42,7,FALSE),VLOOKUP(M$44&amp;$B45,A37:G42,7,FALSE)&amp;"-"&amp;VLOOKUP(M$44&amp;$B45,A37:G42,6,FALSE))</f>
        <v>1-1</v>
      </c>
      <c r="N45" s="202" t="str">
        <f>IFERROR(VLOOKUP($B45&amp;N$44,A37:G42,6,FALSE)&amp;"-"&amp;VLOOKUP($B45&amp;N$44,A37:G42,7,FALSE),VLOOKUP(N$44&amp;$B45,A37:G42,7,FALSE)&amp;"-"&amp;VLOOKUP(N$44&amp;$B45,A37:G42,6,FALSE))</f>
        <v>-</v>
      </c>
      <c r="O45" s="202" t="str">
        <f>IFERROR(VLOOKUP($B45&amp;O$44,A37:G42,6,FALSE)&amp;"-"&amp;VLOOKUP($B45&amp;O$44,A37:G42,7,FALSE),VLOOKUP(O$44&amp;$B45,A37:G42,7,FALSE)&amp;"-"&amp;VLOOKUP(O$44&amp;$B45,A37:G42,6,FALSE))</f>
        <v>-</v>
      </c>
      <c r="P45" s="155"/>
    </row>
    <row r="46" spans="1:16" x14ac:dyDescent="0.25">
      <c r="A46" s="156">
        <v>2</v>
      </c>
      <c r="B46" s="156" t="str">
        <f>VLOOKUP($A46,RankingH,2,FALSE)</f>
        <v>Saudi Arabia</v>
      </c>
      <c r="C46" s="157">
        <f>VLOOKUP($B46,Lookup10,3,FALSE)</f>
        <v>1</v>
      </c>
      <c r="D46" s="157">
        <f>VLOOKUP($B46,Lookup10,4,FALSE)</f>
        <v>0</v>
      </c>
      <c r="E46" s="157">
        <f>VLOOKUP($B46,Lookup10,5,FALSE)</f>
        <v>1</v>
      </c>
      <c r="F46" s="157">
        <f>VLOOKUP($B46,Lookup10,6,FALSE)</f>
        <v>0</v>
      </c>
      <c r="G46" s="157">
        <f>VLOOKUP($B46,Lookup10,7,FALSE)</f>
        <v>1</v>
      </c>
      <c r="H46" s="157">
        <f>VLOOKUP($B46,Lookup10,8,FALSE)</f>
        <v>1</v>
      </c>
      <c r="I46" s="157">
        <f>VLOOKUP($B46,Lookup10,9,FALSE)</f>
        <v>0</v>
      </c>
      <c r="J46" s="157">
        <f>VLOOKUP($B46,Lookup10,10,FALSE)</f>
        <v>1</v>
      </c>
      <c r="K46" s="201" t="str">
        <f>B46</f>
        <v>Saudi Arabia</v>
      </c>
      <c r="L46" s="202" t="str">
        <f>IFERROR(VLOOKUP($B46&amp;L$44,A37:G42,6,FALSE)&amp;"-"&amp;VLOOKUP($B46&amp;L$44,A37:G42,7,FALSE),VLOOKUP(L$44&amp;$B46,A37:G42,7,FALSE)&amp;"-"&amp;VLOOKUP(L$44&amp;$B46,A37:G42,6,FALSE))</f>
        <v>1-1</v>
      </c>
      <c r="M46" s="203"/>
      <c r="N46" s="202" t="str">
        <f>IFERROR(VLOOKUP($B46&amp;N$44,A37:G42,6,FALSE)&amp;"-"&amp;VLOOKUP($B46&amp;N$44,A37:G42,7,FALSE),VLOOKUP(N$44&amp;$B46,A37:G42,7,FALSE)&amp;"-"&amp;VLOOKUP(N$44&amp;$B46,A37:G42,6,FALSE))</f>
        <v>-</v>
      </c>
      <c r="O46" s="202" t="str">
        <f>IFERROR(VLOOKUP($B46&amp;O$44,A37:G42,6,FALSE)&amp;"-"&amp;VLOOKUP($B46&amp;O$44,A37:G42,7,FALSE),VLOOKUP(O$44&amp;$B46,A37:G42,7,FALSE)&amp;"-"&amp;VLOOKUP(O$44&amp;$B46,A37:G42,6,FALSE))</f>
        <v>-</v>
      </c>
      <c r="P46" s="155"/>
    </row>
    <row r="47" spans="1:16" x14ac:dyDescent="0.25">
      <c r="A47" s="156">
        <v>3</v>
      </c>
      <c r="B47" s="156" t="str">
        <f>VLOOKUP($A47,RankingH,2,FALSE)</f>
        <v>Spain</v>
      </c>
      <c r="C47" s="157">
        <f>VLOOKUP($B47,Lookup10,3,FALSE)</f>
        <v>1</v>
      </c>
      <c r="D47" s="157">
        <f>VLOOKUP($B47,Lookup10,4,FALSE)</f>
        <v>0</v>
      </c>
      <c r="E47" s="157">
        <f>VLOOKUP($B47,Lookup10,5,FALSE)</f>
        <v>1</v>
      </c>
      <c r="F47" s="157">
        <f>VLOOKUP($B47,Lookup10,6,FALSE)</f>
        <v>0</v>
      </c>
      <c r="G47" s="157">
        <f>VLOOKUP($B47,Lookup10,7,FALSE)</f>
        <v>0</v>
      </c>
      <c r="H47" s="157">
        <f>VLOOKUP($B47,Lookup10,8,FALSE)</f>
        <v>0</v>
      </c>
      <c r="I47" s="157">
        <f>VLOOKUP($B47,Lookup10,9,FALSE)</f>
        <v>0</v>
      </c>
      <c r="J47" s="157">
        <f>VLOOKUP($B47,Lookup10,10,FALSE)</f>
        <v>1</v>
      </c>
      <c r="K47" s="201" t="str">
        <f>B47</f>
        <v>Spain</v>
      </c>
      <c r="L47" s="202" t="str">
        <f>IFERROR(VLOOKUP($B47&amp;L$44,A37:G42,6,FALSE)&amp;"-"&amp;VLOOKUP($B47&amp;L$44,A37:G42,7,FALSE),VLOOKUP(L$44&amp;$B47,A37:G42,7,FALSE)&amp;"-"&amp;VLOOKUP(L$44&amp;$B47,A37:G42,6,FALSE))</f>
        <v>-</v>
      </c>
      <c r="M47" s="202" t="str">
        <f>IFERROR(VLOOKUP($B47&amp;M$44,A37:G42,6,FALSE)&amp;"-"&amp;VLOOKUP($B47&amp;M$44,A37:G42,7,FALSE),VLOOKUP(M$44&amp;$B47,A37:G42,7,FALSE)&amp;"-"&amp;VLOOKUP(M$44&amp;$B47,A37:G42,6,FALSE))</f>
        <v>-</v>
      </c>
      <c r="N47" s="203"/>
      <c r="O47" s="202" t="str">
        <f>IFERROR(VLOOKUP($B47&amp;O$44,A37:G42,6,FALSE)&amp;"-"&amp;VLOOKUP($B47&amp;O$44,A37:G42,7,FALSE),VLOOKUP(O$44&amp;$B47,A37:G42,7,FALSE)&amp;"-"&amp;VLOOKUP(O$44&amp;$B47,A37:G42,6,FALSE))</f>
        <v>0-0</v>
      </c>
      <c r="P47" s="155"/>
    </row>
    <row r="48" spans="1:16" x14ac:dyDescent="0.25">
      <c r="A48" s="156">
        <v>4</v>
      </c>
      <c r="B48" s="156" t="str">
        <f>VLOOKUP($A48,RankingH,2,FALSE)</f>
        <v>Cabo Verde</v>
      </c>
      <c r="C48" s="157">
        <f>VLOOKUP($B48,Lookup10,3,FALSE)</f>
        <v>1</v>
      </c>
      <c r="D48" s="157">
        <f>VLOOKUP($B48,Lookup10,4,FALSE)</f>
        <v>0</v>
      </c>
      <c r="E48" s="157">
        <f>VLOOKUP($B48,Lookup10,5,FALSE)</f>
        <v>1</v>
      </c>
      <c r="F48" s="157">
        <f>VLOOKUP($B48,Lookup10,6,FALSE)</f>
        <v>0</v>
      </c>
      <c r="G48" s="157">
        <f>VLOOKUP($B48,Lookup10,7,FALSE)</f>
        <v>0</v>
      </c>
      <c r="H48" s="157">
        <f>VLOOKUP($B48,Lookup10,8,FALSE)</f>
        <v>0</v>
      </c>
      <c r="I48" s="157">
        <f>VLOOKUP($B48,Lookup10,9,FALSE)</f>
        <v>0</v>
      </c>
      <c r="J48" s="157">
        <f>VLOOKUP($B48,Lookup10,10,FALSE)</f>
        <v>1</v>
      </c>
      <c r="K48" s="201" t="str">
        <f>B48</f>
        <v>Cabo Verde</v>
      </c>
      <c r="L48" s="202" t="str">
        <f>IFERROR(VLOOKUP($B48&amp;L$44,A37:G42,6,FALSE)&amp;"-"&amp;VLOOKUP($B48&amp;L$44,A37:G42,7,FALSE),VLOOKUP(L$44&amp;$B48,A37:G42,7,FALSE)&amp;"-"&amp;VLOOKUP(L$44&amp;$B48,A37:G42,6,FALSE))</f>
        <v>-</v>
      </c>
      <c r="M48" s="202" t="str">
        <f>IFERROR(VLOOKUP($B48&amp;M$44,A37:G42,6,FALSE)&amp;"-"&amp;VLOOKUP($B48&amp;M$44,A37:G42,7,FALSE),VLOOKUP(M$44&amp;$B48,A37:G42,7,FALSE)&amp;"-"&amp;VLOOKUP(M$44&amp;$B48,A37:G42,6,FALSE))</f>
        <v>-</v>
      </c>
      <c r="N48" s="202" t="str">
        <f>IFERROR(VLOOKUP($B48&amp;N$44,A37:G42,6,FALSE)&amp;"-"&amp;VLOOKUP($B48&amp;N$44,A37:G42,7,FALSE),VLOOKUP(N$44&amp;$B48,A37:G42,7,FALSE)&amp;"-"&amp;VLOOKUP(N$44&amp;$B48,A37:G42,6,FALSE))</f>
        <v>0-0</v>
      </c>
      <c r="O48" s="203"/>
      <c r="P48" s="155"/>
    </row>
    <row r="49" spans="1:16" x14ac:dyDescent="0.25">
      <c r="A49" s="143"/>
      <c r="B49" s="143"/>
      <c r="C49" s="461">
        <f>SUM(C45:C48)</f>
        <v>4</v>
      </c>
      <c r="D49" s="143"/>
      <c r="E49" s="143"/>
      <c r="F49" s="143"/>
      <c r="G49" s="143"/>
      <c r="H49" s="143"/>
      <c r="I49" s="143"/>
      <c r="J49" s="143"/>
      <c r="K49" s="143"/>
      <c r="L49" s="143"/>
      <c r="M49" s="143"/>
      <c r="N49" s="143"/>
      <c r="O49" s="143"/>
      <c r="P49" s="143"/>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BAAA7-8588-4535-A09F-C869F52EC1B6}">
  <sheetPr>
    <tabColor rgb="FFC00000"/>
  </sheetPr>
  <dimension ref="A1:Z49"/>
  <sheetViews>
    <sheetView workbookViewId="0">
      <pane ySplit="2" topLeftCell="A18" activePane="bottomLeft" state="frozen"/>
      <selection activeCell="C42" sqref="C42"/>
      <selection pane="bottomLeft" activeCell="C42" sqref="C42"/>
    </sheetView>
  </sheetViews>
  <sheetFormatPr defaultColWidth="16.7109375" defaultRowHeight="15" x14ac:dyDescent="0.25"/>
  <sheetData>
    <row r="1" spans="1:26" x14ac:dyDescent="0.25">
      <c r="A1" s="228" t="s">
        <v>320</v>
      </c>
      <c r="B1" s="216" t="str">
        <f>A2&amp;1</f>
        <v>I1</v>
      </c>
      <c r="C1" s="216" t="str">
        <f>A2&amp;2</f>
        <v>I2</v>
      </c>
      <c r="D1" s="216" t="str">
        <f>A2&amp;3</f>
        <v>I3</v>
      </c>
      <c r="E1" s="216" t="str">
        <f>A2&amp;4</f>
        <v>I4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621</v>
      </c>
      <c r="B2" s="217" t="str">
        <f>VLOOKUP(B1,Lookup08,2,FALSE)</f>
        <v>France</v>
      </c>
      <c r="C2" s="217" t="str">
        <f>VLOOKUP(C1,Lookup08,2,FALSE)</f>
        <v>Senegal</v>
      </c>
      <c r="D2" s="217" t="str">
        <f>VLOOKUP(D1,Lookup08,2,FALSE)</f>
        <v>Iraq</v>
      </c>
      <c r="E2" s="217" t="str">
        <f>VLOOKUP(E1,Lookup08,2,FALSE)</f>
        <v>Norway</v>
      </c>
      <c r="F2" s="144"/>
      <c r="G2" s="144"/>
      <c r="H2" s="195"/>
      <c r="I2" s="196" t="str">
        <f>B2</f>
        <v>France</v>
      </c>
      <c r="J2" s="196" t="str">
        <f>C2</f>
        <v>Senegal</v>
      </c>
      <c r="K2" s="196" t="str">
        <f>D2</f>
        <v>Iraq</v>
      </c>
      <c r="L2" s="196" t="str">
        <f>E2</f>
        <v>Norway</v>
      </c>
      <c r="M2" s="197" t="s">
        <v>26</v>
      </c>
      <c r="N2" s="195"/>
      <c r="O2" s="196" t="str">
        <f>I2</f>
        <v>France</v>
      </c>
      <c r="P2" s="196" t="str">
        <f t="shared" ref="P2:R2" si="0">J2</f>
        <v>Senegal</v>
      </c>
      <c r="Q2" s="196" t="str">
        <f t="shared" si="0"/>
        <v>Iraq</v>
      </c>
      <c r="R2" s="196" t="str">
        <f t="shared" si="0"/>
        <v>Norway</v>
      </c>
      <c r="S2" s="197" t="s">
        <v>26</v>
      </c>
      <c r="T2" s="195"/>
      <c r="U2" s="196" t="str">
        <f>O2</f>
        <v>France</v>
      </c>
      <c r="V2" s="196" t="str">
        <f t="shared" ref="V2:X2" si="1">P2</f>
        <v>Senegal</v>
      </c>
      <c r="W2" s="196" t="str">
        <f t="shared" si="1"/>
        <v>Iraq</v>
      </c>
      <c r="X2" s="196" t="str">
        <f t="shared" si="1"/>
        <v>Norway</v>
      </c>
      <c r="Y2" s="197" t="s">
        <v>26</v>
      </c>
    </row>
    <row r="3" spans="1:26" x14ac:dyDescent="0.25">
      <c r="A3" s="144"/>
      <c r="B3" s="144"/>
      <c r="C3" s="144"/>
      <c r="F3" s="144"/>
      <c r="G3" s="144"/>
      <c r="H3" s="195" t="str">
        <f>B2</f>
        <v>France</v>
      </c>
      <c r="I3" s="211"/>
      <c r="J3" s="196">
        <f>IF(G10=G11,1,0)</f>
        <v>1</v>
      </c>
      <c r="K3" s="196">
        <f>IF(G10=G12,1,0)</f>
        <v>1</v>
      </c>
      <c r="L3" s="196">
        <f>IF(G10=G13,1,0)</f>
        <v>1</v>
      </c>
      <c r="M3" s="197">
        <f>SUM(I3:L3)</f>
        <v>3</v>
      </c>
      <c r="N3" s="195" t="str">
        <f>H3</f>
        <v>France</v>
      </c>
      <c r="O3" s="211"/>
      <c r="P3" s="196">
        <f>IF(M10=M11,1,0)</f>
        <v>1</v>
      </c>
      <c r="Q3" s="196">
        <f>IF(M10=M12,1,0)</f>
        <v>1</v>
      </c>
      <c r="R3" s="196">
        <f>IF(M10=M13,1,0)</f>
        <v>1</v>
      </c>
      <c r="S3" s="197">
        <f>SUM(O3:R3)</f>
        <v>3</v>
      </c>
      <c r="T3" s="195" t="str">
        <f>N3</f>
        <v>France</v>
      </c>
      <c r="U3" s="211"/>
      <c r="V3" s="196">
        <f>IF(S10=S11,1,0)</f>
        <v>1</v>
      </c>
      <c r="W3" s="196">
        <f>IF(S10=S12,1,0)</f>
        <v>1</v>
      </c>
      <c r="X3" s="196">
        <f>IF(S10=S13,1,0)</f>
        <v>1</v>
      </c>
      <c r="Y3" s="197">
        <f>SUM(U3:X3)</f>
        <v>3</v>
      </c>
    </row>
    <row r="4" spans="1:26" x14ac:dyDescent="0.25">
      <c r="A4" s="144"/>
      <c r="B4" s="144"/>
      <c r="C4" s="144"/>
      <c r="F4" s="144"/>
      <c r="G4" s="144"/>
      <c r="H4" s="195" t="str">
        <f>C2</f>
        <v>Senegal</v>
      </c>
      <c r="I4" s="196">
        <f>IF(G11=G10,1,0)</f>
        <v>1</v>
      </c>
      <c r="J4" s="211"/>
      <c r="K4" s="196">
        <f>IF(G11=G12,1,0)</f>
        <v>1</v>
      </c>
      <c r="L4" s="196">
        <f>IF(G11=G13,1,0)</f>
        <v>1</v>
      </c>
      <c r="M4" s="197">
        <f>SUM(I4:L4)</f>
        <v>3</v>
      </c>
      <c r="N4" s="195" t="str">
        <f t="shared" ref="N4:N6" si="2">H4</f>
        <v>Senegal</v>
      </c>
      <c r="O4" s="196">
        <f>IF(M11=M10,1,0)</f>
        <v>1</v>
      </c>
      <c r="P4" s="211"/>
      <c r="Q4" s="196">
        <f>IF(M11=M12,1,0)</f>
        <v>1</v>
      </c>
      <c r="R4" s="196">
        <f>IF(M11=M13,1,0)</f>
        <v>1</v>
      </c>
      <c r="S4" s="197">
        <f>SUM(O4:R4)</f>
        <v>3</v>
      </c>
      <c r="T4" s="195" t="str">
        <f t="shared" ref="T4:T6" si="3">N4</f>
        <v>Senegal</v>
      </c>
      <c r="U4" s="196">
        <f>IF(S11=S10,1,0)</f>
        <v>1</v>
      </c>
      <c r="V4" s="211"/>
      <c r="W4" s="196">
        <f>IF(S11=S12,1,0)</f>
        <v>1</v>
      </c>
      <c r="X4" s="196">
        <f>IF(S11=S13,1,0)</f>
        <v>1</v>
      </c>
      <c r="Y4" s="197">
        <f>SUM(U4:X4)</f>
        <v>3</v>
      </c>
    </row>
    <row r="5" spans="1:26" x14ac:dyDescent="0.25">
      <c r="A5" s="144"/>
      <c r="B5" s="144"/>
      <c r="C5" s="144"/>
      <c r="F5" s="144"/>
      <c r="G5" s="144"/>
      <c r="H5" s="195" t="str">
        <f>D2</f>
        <v>Iraq</v>
      </c>
      <c r="I5" s="196">
        <f>IF(G12=G10,1,0)</f>
        <v>1</v>
      </c>
      <c r="J5" s="196">
        <f>IF(G12=G11,1,0)</f>
        <v>1</v>
      </c>
      <c r="K5" s="211"/>
      <c r="L5" s="196">
        <f>IF(G12=G13,1,0)</f>
        <v>1</v>
      </c>
      <c r="M5" s="197">
        <f>SUM(I5:L5)</f>
        <v>3</v>
      </c>
      <c r="N5" s="195" t="str">
        <f t="shared" si="2"/>
        <v>Iraq</v>
      </c>
      <c r="O5" s="196">
        <f>IF(M12=M10,1,0)</f>
        <v>1</v>
      </c>
      <c r="P5" s="196">
        <f>IF(M12=M11,1,0)</f>
        <v>1</v>
      </c>
      <c r="Q5" s="211"/>
      <c r="R5" s="196">
        <f>IF(M12=M13,1,0)</f>
        <v>1</v>
      </c>
      <c r="S5" s="197">
        <f>SUM(O5:R5)</f>
        <v>3</v>
      </c>
      <c r="T5" s="195" t="str">
        <f t="shared" si="3"/>
        <v>Iraq</v>
      </c>
      <c r="U5" s="196">
        <f>IF(S12=S10,1,0)</f>
        <v>1</v>
      </c>
      <c r="V5" s="196">
        <f>IF(S12=S11,1,0)</f>
        <v>1</v>
      </c>
      <c r="W5" s="211"/>
      <c r="X5" s="196">
        <f>IF(S12=S13,1,0)</f>
        <v>1</v>
      </c>
      <c r="Y5" s="197">
        <f>SUM(U5:X5)</f>
        <v>3</v>
      </c>
    </row>
    <row r="6" spans="1:26" x14ac:dyDescent="0.25">
      <c r="A6" s="144"/>
      <c r="B6" s="144"/>
      <c r="C6" s="144"/>
      <c r="F6" s="144"/>
      <c r="G6" s="144"/>
      <c r="H6" s="198" t="str">
        <f>E2</f>
        <v>Norway</v>
      </c>
      <c r="I6" s="199">
        <f>IF(G13=G10,1,0)</f>
        <v>1</v>
      </c>
      <c r="J6" s="199">
        <f>IF(G13=G11,1,0)</f>
        <v>1</v>
      </c>
      <c r="K6" s="199">
        <f>IF(G13=G12,1,0)</f>
        <v>1</v>
      </c>
      <c r="L6" s="212"/>
      <c r="M6" s="200">
        <f>SUM(I6:L6)</f>
        <v>3</v>
      </c>
      <c r="N6" s="198" t="str">
        <f t="shared" si="2"/>
        <v>Norway</v>
      </c>
      <c r="O6" s="199">
        <f>IF(M13=M10,1,0)</f>
        <v>1</v>
      </c>
      <c r="P6" s="199">
        <f>IF(M13=M11,1,0)</f>
        <v>1</v>
      </c>
      <c r="Q6" s="199">
        <f>IF(M13=M12,1,0)</f>
        <v>1</v>
      </c>
      <c r="R6" s="212"/>
      <c r="S6" s="200">
        <f>SUM(O6:R6)</f>
        <v>3</v>
      </c>
      <c r="T6" s="198" t="str">
        <f t="shared" si="3"/>
        <v>Norway</v>
      </c>
      <c r="U6" s="199">
        <f>IF(S13=S10,1,0)</f>
        <v>1</v>
      </c>
      <c r="V6" s="199">
        <f>IF(S13=S11,1,0)</f>
        <v>1</v>
      </c>
      <c r="W6" s="199">
        <f>IF(S13=S12,1,0)</f>
        <v>1</v>
      </c>
      <c r="X6" s="212"/>
      <c r="Y6" s="200">
        <f>SUM(U6:X6)</f>
        <v>3</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France</v>
      </c>
      <c r="D9" s="190" t="str">
        <f>C2</f>
        <v>Senegal</v>
      </c>
      <c r="E9" s="190" t="str">
        <f>D2</f>
        <v>Iraq</v>
      </c>
      <c r="F9" s="190" t="str">
        <f>E2</f>
        <v>Norway</v>
      </c>
      <c r="G9" s="191" t="s">
        <v>26</v>
      </c>
      <c r="H9" s="189"/>
      <c r="I9" s="190" t="str">
        <f>C9</f>
        <v>France</v>
      </c>
      <c r="J9" s="190" t="str">
        <f t="shared" ref="J9:L9" si="4">D9</f>
        <v>Senegal</v>
      </c>
      <c r="K9" s="190" t="str">
        <f t="shared" si="4"/>
        <v>Iraq</v>
      </c>
      <c r="L9" s="190" t="str">
        <f t="shared" si="4"/>
        <v>Norway</v>
      </c>
      <c r="M9" s="191" t="s">
        <v>26</v>
      </c>
      <c r="N9" s="189"/>
      <c r="O9" s="190" t="str">
        <f>I9</f>
        <v>France</v>
      </c>
      <c r="P9" s="190" t="str">
        <f t="shared" ref="P9:R9" si="5">J9</f>
        <v>Senegal</v>
      </c>
      <c r="Q9" s="190" t="str">
        <f t="shared" si="5"/>
        <v>Iraq</v>
      </c>
      <c r="R9" s="190" t="str">
        <f t="shared" si="5"/>
        <v>Norway</v>
      </c>
      <c r="S9" s="191" t="s">
        <v>26</v>
      </c>
      <c r="T9" s="189"/>
      <c r="U9" s="190" t="str">
        <f>O9</f>
        <v>France</v>
      </c>
      <c r="V9" s="190" t="str">
        <f t="shared" ref="V9:X9" si="6">P9</f>
        <v>Senegal</v>
      </c>
      <c r="W9" s="190" t="str">
        <f t="shared" si="6"/>
        <v>Iraq</v>
      </c>
      <c r="X9" s="190" t="str">
        <f t="shared" si="6"/>
        <v>Norway</v>
      </c>
      <c r="Y9" s="191" t="s">
        <v>26</v>
      </c>
      <c r="Z9" s="227" t="s">
        <v>309</v>
      </c>
    </row>
    <row r="10" spans="1:26" x14ac:dyDescent="0.25">
      <c r="A10" s="144"/>
      <c r="B10" s="189" t="str">
        <f>B2</f>
        <v>France</v>
      </c>
      <c r="C10" s="204"/>
      <c r="D10" s="190">
        <f>H37</f>
        <v>0</v>
      </c>
      <c r="E10" s="190">
        <f>H39</f>
        <v>0</v>
      </c>
      <c r="F10" s="190">
        <f>I42</f>
        <v>0</v>
      </c>
      <c r="G10" s="191">
        <f>SUM(C10:F10)</f>
        <v>0</v>
      </c>
      <c r="H10" s="189" t="str">
        <f>B10</f>
        <v>France</v>
      </c>
      <c r="I10" s="218">
        <f>C10+I17/100+I24/10000</f>
        <v>0</v>
      </c>
      <c r="J10" s="219">
        <f t="shared" ref="J10:L10" si="7">D10+J17/100+J24/10000</f>
        <v>0</v>
      </c>
      <c r="K10" s="219">
        <f t="shared" si="7"/>
        <v>0</v>
      </c>
      <c r="L10" s="219">
        <f t="shared" si="7"/>
        <v>0</v>
      </c>
      <c r="M10" s="220">
        <f>SUM(I10:L10)</f>
        <v>0</v>
      </c>
      <c r="N10" s="189" t="str">
        <f>H10</f>
        <v>France</v>
      </c>
      <c r="O10" s="218">
        <f>I10+O17/100+O24/10000</f>
        <v>0</v>
      </c>
      <c r="P10" s="219">
        <f t="shared" ref="P10:R13" si="8">J10+P17/100+P24/10000</f>
        <v>0</v>
      </c>
      <c r="Q10" s="219">
        <f t="shared" si="8"/>
        <v>0</v>
      </c>
      <c r="R10" s="219">
        <f t="shared" si="8"/>
        <v>0</v>
      </c>
      <c r="S10" s="220">
        <f>SUM(O10:R10)</f>
        <v>0</v>
      </c>
      <c r="T10" s="189" t="str">
        <f>N10</f>
        <v>France</v>
      </c>
      <c r="U10" s="218">
        <f>O10+U17/100+U24/10000</f>
        <v>0</v>
      </c>
      <c r="V10" s="219">
        <f t="shared" ref="V10:X13" si="9">P10+V17/100+V24/10000</f>
        <v>0</v>
      </c>
      <c r="W10" s="219">
        <f t="shared" si="9"/>
        <v>0</v>
      </c>
      <c r="X10" s="219">
        <f t="shared" si="9"/>
        <v>0</v>
      </c>
      <c r="Y10" s="220">
        <f>ROUND(SUM(U10:X10),8)</f>
        <v>0</v>
      </c>
      <c r="Z10" s="224">
        <f>_xlfn.RANK.EQ(Y10,Y$10:Y$13,1)</f>
        <v>1</v>
      </c>
    </row>
    <row r="11" spans="1:26" x14ac:dyDescent="0.25">
      <c r="A11" s="144"/>
      <c r="B11" s="189" t="str">
        <f>C2</f>
        <v>Senegal</v>
      </c>
      <c r="C11" s="190">
        <f>I37</f>
        <v>0</v>
      </c>
      <c r="D11" s="204"/>
      <c r="E11" s="190">
        <f>H41</f>
        <v>0</v>
      </c>
      <c r="F11" s="190">
        <f>I40</f>
        <v>0</v>
      </c>
      <c r="G11" s="191">
        <f>SUM(C11:F11)</f>
        <v>0</v>
      </c>
      <c r="H11" s="189" t="str">
        <f t="shared" ref="H11:H13" si="10">B11</f>
        <v>Senegal</v>
      </c>
      <c r="I11" s="219">
        <f t="shared" ref="I11:L13" si="11">C11+I18/100+I25/10000</f>
        <v>0</v>
      </c>
      <c r="J11" s="218">
        <f t="shared" si="11"/>
        <v>0</v>
      </c>
      <c r="K11" s="219">
        <f t="shared" si="11"/>
        <v>0</v>
      </c>
      <c r="L11" s="219">
        <f t="shared" si="11"/>
        <v>0</v>
      </c>
      <c r="M11" s="220">
        <f>SUM(I11:L11)</f>
        <v>0</v>
      </c>
      <c r="N11" s="189" t="str">
        <f t="shared" ref="N11:N13" si="12">H11</f>
        <v>Senegal</v>
      </c>
      <c r="O11" s="219">
        <f t="shared" ref="O11:O13" si="13">I11+O18/100+O25/10000</f>
        <v>0</v>
      </c>
      <c r="P11" s="218">
        <f t="shared" si="8"/>
        <v>0</v>
      </c>
      <c r="Q11" s="219">
        <f t="shared" si="8"/>
        <v>0</v>
      </c>
      <c r="R11" s="219">
        <f t="shared" si="8"/>
        <v>0</v>
      </c>
      <c r="S11" s="220">
        <f>SUM(O11:R11)</f>
        <v>0</v>
      </c>
      <c r="T11" s="189" t="str">
        <f t="shared" ref="T11:T13" si="14">N11</f>
        <v>Senegal</v>
      </c>
      <c r="U11" s="219">
        <f t="shared" ref="U11:U13" si="15">O11+U18/100+U25/10000</f>
        <v>0</v>
      </c>
      <c r="V11" s="218">
        <f t="shared" si="9"/>
        <v>0</v>
      </c>
      <c r="W11" s="219">
        <f t="shared" si="9"/>
        <v>0</v>
      </c>
      <c r="X11" s="219">
        <f t="shared" si="9"/>
        <v>0</v>
      </c>
      <c r="Y11" s="220">
        <f t="shared" ref="Y11:Y13" si="16">ROUND(SUM(U11:X11),8)</f>
        <v>0</v>
      </c>
      <c r="Z11" s="224">
        <f t="shared" ref="Z11:Z13" si="17">_xlfn.RANK.EQ(Y11,Y$10:Y$13,1)</f>
        <v>1</v>
      </c>
    </row>
    <row r="12" spans="1:26" x14ac:dyDescent="0.25">
      <c r="A12" s="144"/>
      <c r="B12" s="189" t="str">
        <f>D2</f>
        <v>Iraq</v>
      </c>
      <c r="C12" s="190">
        <f>I39</f>
        <v>0</v>
      </c>
      <c r="D12" s="190">
        <f>I41</f>
        <v>0</v>
      </c>
      <c r="E12" s="204"/>
      <c r="F12" s="190">
        <f>H38</f>
        <v>0</v>
      </c>
      <c r="G12" s="191">
        <f>SUM(C12:F12)</f>
        <v>0</v>
      </c>
      <c r="H12" s="189" t="str">
        <f t="shared" si="10"/>
        <v>Iraq</v>
      </c>
      <c r="I12" s="219">
        <f t="shared" si="11"/>
        <v>0</v>
      </c>
      <c r="J12" s="219">
        <f t="shared" si="11"/>
        <v>0</v>
      </c>
      <c r="K12" s="218">
        <f t="shared" si="11"/>
        <v>0</v>
      </c>
      <c r="L12" s="219">
        <f t="shared" si="11"/>
        <v>0</v>
      </c>
      <c r="M12" s="220">
        <f>SUM(I12:L12)</f>
        <v>0</v>
      </c>
      <c r="N12" s="189" t="str">
        <f t="shared" si="12"/>
        <v>Iraq</v>
      </c>
      <c r="O12" s="219">
        <f t="shared" si="13"/>
        <v>0</v>
      </c>
      <c r="P12" s="219">
        <f t="shared" si="8"/>
        <v>0</v>
      </c>
      <c r="Q12" s="218">
        <f t="shared" si="8"/>
        <v>0</v>
      </c>
      <c r="R12" s="219">
        <f t="shared" si="8"/>
        <v>0</v>
      </c>
      <c r="S12" s="220">
        <f>SUM(O12:R12)</f>
        <v>0</v>
      </c>
      <c r="T12" s="189" t="str">
        <f t="shared" si="14"/>
        <v>Iraq</v>
      </c>
      <c r="U12" s="219">
        <f t="shared" si="15"/>
        <v>0</v>
      </c>
      <c r="V12" s="219">
        <f t="shared" si="9"/>
        <v>0</v>
      </c>
      <c r="W12" s="218">
        <f t="shared" si="9"/>
        <v>0</v>
      </c>
      <c r="X12" s="219">
        <f t="shared" si="9"/>
        <v>0</v>
      </c>
      <c r="Y12" s="220">
        <f t="shared" si="16"/>
        <v>0</v>
      </c>
      <c r="Z12" s="224">
        <f t="shared" si="17"/>
        <v>1</v>
      </c>
    </row>
    <row r="13" spans="1:26" x14ac:dyDescent="0.25">
      <c r="A13" s="144"/>
      <c r="B13" s="192" t="str">
        <f>E2</f>
        <v>Norway</v>
      </c>
      <c r="C13" s="193">
        <f>H42</f>
        <v>0</v>
      </c>
      <c r="D13" s="193">
        <f>H40</f>
        <v>0</v>
      </c>
      <c r="E13" s="193">
        <f>I38</f>
        <v>0</v>
      </c>
      <c r="F13" s="205"/>
      <c r="G13" s="194">
        <f>SUM(C13:F13)</f>
        <v>0</v>
      </c>
      <c r="H13" s="192" t="str">
        <f t="shared" si="10"/>
        <v>Norway</v>
      </c>
      <c r="I13" s="221">
        <f t="shared" si="11"/>
        <v>0</v>
      </c>
      <c r="J13" s="221">
        <f t="shared" si="11"/>
        <v>0</v>
      </c>
      <c r="K13" s="221">
        <f t="shared" si="11"/>
        <v>0</v>
      </c>
      <c r="L13" s="222">
        <f t="shared" si="11"/>
        <v>0</v>
      </c>
      <c r="M13" s="223">
        <f>SUM(I13:L13)</f>
        <v>0</v>
      </c>
      <c r="N13" s="192" t="str">
        <f t="shared" si="12"/>
        <v>Norway</v>
      </c>
      <c r="O13" s="221">
        <f t="shared" si="13"/>
        <v>0</v>
      </c>
      <c r="P13" s="221">
        <f t="shared" si="8"/>
        <v>0</v>
      </c>
      <c r="Q13" s="221">
        <f t="shared" si="8"/>
        <v>0</v>
      </c>
      <c r="R13" s="222">
        <f t="shared" si="8"/>
        <v>0</v>
      </c>
      <c r="S13" s="223">
        <f>SUM(O13:R13)</f>
        <v>0</v>
      </c>
      <c r="T13" s="192" t="str">
        <f t="shared" si="14"/>
        <v>Norway</v>
      </c>
      <c r="U13" s="221">
        <f t="shared" si="15"/>
        <v>0</v>
      </c>
      <c r="V13" s="221">
        <f t="shared" si="9"/>
        <v>0</v>
      </c>
      <c r="W13" s="221">
        <f t="shared" si="9"/>
        <v>0</v>
      </c>
      <c r="X13" s="222">
        <f t="shared" si="9"/>
        <v>0</v>
      </c>
      <c r="Y13" s="223">
        <f t="shared" si="16"/>
        <v>0</v>
      </c>
      <c r="Z13" s="225">
        <f t="shared" si="17"/>
        <v>1</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France</v>
      </c>
      <c r="D16" s="177" t="str">
        <f>C2</f>
        <v>Senegal</v>
      </c>
      <c r="E16" s="177" t="str">
        <f>D2</f>
        <v>Iraq</v>
      </c>
      <c r="F16" s="177" t="str">
        <f>E2</f>
        <v>Norway</v>
      </c>
      <c r="G16" s="178" t="s">
        <v>26</v>
      </c>
      <c r="H16" s="183"/>
      <c r="I16" s="184" t="str">
        <f>C16</f>
        <v>France</v>
      </c>
      <c r="J16" s="184" t="str">
        <f t="shared" ref="J16:L16" si="18">D16</f>
        <v>Senegal</v>
      </c>
      <c r="K16" s="184" t="str">
        <f t="shared" si="18"/>
        <v>Iraq</v>
      </c>
      <c r="L16" s="184" t="str">
        <f t="shared" si="18"/>
        <v>Norway</v>
      </c>
      <c r="M16" s="185" t="s">
        <v>26</v>
      </c>
      <c r="N16" s="183"/>
      <c r="O16" s="184" t="str">
        <f>I16</f>
        <v>France</v>
      </c>
      <c r="P16" s="184" t="str">
        <f t="shared" ref="P16:R16" si="19">J16</f>
        <v>Senegal</v>
      </c>
      <c r="Q16" s="184" t="str">
        <f t="shared" si="19"/>
        <v>Iraq</v>
      </c>
      <c r="R16" s="184" t="str">
        <f t="shared" si="19"/>
        <v>Norway</v>
      </c>
      <c r="S16" s="185" t="s">
        <v>26</v>
      </c>
      <c r="T16" s="183"/>
      <c r="U16" s="184" t="str">
        <f>O16</f>
        <v>France</v>
      </c>
      <c r="V16" s="184" t="str">
        <f t="shared" ref="V16:X16" si="20">P16</f>
        <v>Senegal</v>
      </c>
      <c r="W16" s="184" t="str">
        <f t="shared" si="20"/>
        <v>Iraq</v>
      </c>
      <c r="X16" s="184" t="str">
        <f t="shared" si="20"/>
        <v>Norway</v>
      </c>
      <c r="Y16" s="185" t="s">
        <v>26</v>
      </c>
    </row>
    <row r="17" spans="1:25" x14ac:dyDescent="0.25">
      <c r="A17" s="144"/>
      <c r="B17" s="176" t="str">
        <f>B2</f>
        <v>France</v>
      </c>
      <c r="C17" s="206"/>
      <c r="D17" s="179">
        <f>IFERROR(F37-G37,0)</f>
        <v>0</v>
      </c>
      <c r="E17" s="179">
        <f>IFERROR(F39-G39,0)</f>
        <v>0</v>
      </c>
      <c r="F17" s="179">
        <f>IFERROR(G42-F42,0)</f>
        <v>0</v>
      </c>
      <c r="G17" s="178">
        <f>SUM(C17:F17)</f>
        <v>0</v>
      </c>
      <c r="H17" s="183" t="str">
        <f>B17</f>
        <v>France</v>
      </c>
      <c r="I17" s="208"/>
      <c r="J17" s="184">
        <f>D17*J3</f>
        <v>0</v>
      </c>
      <c r="K17" s="184">
        <f>E17*K3</f>
        <v>0</v>
      </c>
      <c r="L17" s="184">
        <f>F17*L3</f>
        <v>0</v>
      </c>
      <c r="M17" s="185">
        <f>SUM(I17:L17)</f>
        <v>0</v>
      </c>
      <c r="N17" s="183" t="str">
        <f>H17</f>
        <v>France</v>
      </c>
      <c r="O17" s="208"/>
      <c r="P17" s="184">
        <f>J17*P3</f>
        <v>0</v>
      </c>
      <c r="Q17" s="184">
        <f>K17*Q3</f>
        <v>0</v>
      </c>
      <c r="R17" s="184">
        <f>L17*R3</f>
        <v>0</v>
      </c>
      <c r="S17" s="185">
        <f>SUM(O17:R17)</f>
        <v>0</v>
      </c>
      <c r="T17" s="183" t="str">
        <f>N17</f>
        <v>France</v>
      </c>
      <c r="U17" s="208"/>
      <c r="V17" s="184">
        <f>P17*V3</f>
        <v>0</v>
      </c>
      <c r="W17" s="184">
        <f>Q17*W3</f>
        <v>0</v>
      </c>
      <c r="X17" s="184">
        <f>R17*X3</f>
        <v>0</v>
      </c>
      <c r="Y17" s="185">
        <f>SUM(U17:X17)</f>
        <v>0</v>
      </c>
    </row>
    <row r="18" spans="1:25" x14ac:dyDescent="0.25">
      <c r="A18" s="144"/>
      <c r="B18" s="176" t="str">
        <f>C2</f>
        <v>Senegal</v>
      </c>
      <c r="C18" s="179">
        <f>IFERROR(G37-F37,0)</f>
        <v>0</v>
      </c>
      <c r="D18" s="206"/>
      <c r="E18" s="179">
        <f>IFERROR(F41-G41,0)</f>
        <v>0</v>
      </c>
      <c r="F18" s="179">
        <f>IFERROR(G40-F40,0)</f>
        <v>0</v>
      </c>
      <c r="G18" s="178">
        <f>SUM(C18:F18)</f>
        <v>0</v>
      </c>
      <c r="H18" s="183" t="str">
        <f t="shared" ref="H18:H20" si="21">B18</f>
        <v>Senegal</v>
      </c>
      <c r="I18" s="184">
        <f>C18*I4</f>
        <v>0</v>
      </c>
      <c r="J18" s="208"/>
      <c r="K18" s="184">
        <f>E18*K4</f>
        <v>0</v>
      </c>
      <c r="L18" s="184">
        <f>F18*L4</f>
        <v>0</v>
      </c>
      <c r="M18" s="185">
        <f>SUM(I18:L18)</f>
        <v>0</v>
      </c>
      <c r="N18" s="183" t="str">
        <f t="shared" ref="N18:N20" si="22">H18</f>
        <v>Senegal</v>
      </c>
      <c r="O18" s="184">
        <f>I18*O4</f>
        <v>0</v>
      </c>
      <c r="P18" s="208"/>
      <c r="Q18" s="184">
        <f>K18*Q4</f>
        <v>0</v>
      </c>
      <c r="R18" s="184">
        <f>L18*R4</f>
        <v>0</v>
      </c>
      <c r="S18" s="185">
        <f>SUM(O18:R18)</f>
        <v>0</v>
      </c>
      <c r="T18" s="183" t="str">
        <f t="shared" ref="T18:T20" si="23">N18</f>
        <v>Senegal</v>
      </c>
      <c r="U18" s="184">
        <f>O18*U4</f>
        <v>0</v>
      </c>
      <c r="V18" s="208"/>
      <c r="W18" s="184">
        <f>Q18*W4</f>
        <v>0</v>
      </c>
      <c r="X18" s="184">
        <f>R18*X4</f>
        <v>0</v>
      </c>
      <c r="Y18" s="185">
        <f>SUM(U18:X18)</f>
        <v>0</v>
      </c>
    </row>
    <row r="19" spans="1:25" x14ac:dyDescent="0.25">
      <c r="A19" s="144"/>
      <c r="B19" s="176" t="str">
        <f>D2</f>
        <v>Iraq</v>
      </c>
      <c r="C19" s="179">
        <f>IFERROR(G39-F39,0)</f>
        <v>0</v>
      </c>
      <c r="D19" s="179">
        <f>IFERROR(G41-F41,0)</f>
        <v>0</v>
      </c>
      <c r="E19" s="206"/>
      <c r="F19" s="179">
        <f>IFERROR(F38-G38,0)</f>
        <v>0</v>
      </c>
      <c r="G19" s="178">
        <f>SUM(C19:F19)</f>
        <v>0</v>
      </c>
      <c r="H19" s="183" t="str">
        <f t="shared" si="21"/>
        <v>Iraq</v>
      </c>
      <c r="I19" s="184">
        <f>C19*I5</f>
        <v>0</v>
      </c>
      <c r="J19" s="184">
        <f>D19*J5</f>
        <v>0</v>
      </c>
      <c r="K19" s="208"/>
      <c r="L19" s="184">
        <f>F19*L5</f>
        <v>0</v>
      </c>
      <c r="M19" s="185">
        <f>SUM(I19:L19)</f>
        <v>0</v>
      </c>
      <c r="N19" s="183" t="str">
        <f t="shared" si="22"/>
        <v>Iraq</v>
      </c>
      <c r="O19" s="184">
        <f>I19*O5</f>
        <v>0</v>
      </c>
      <c r="P19" s="184">
        <f>J19*P5</f>
        <v>0</v>
      </c>
      <c r="Q19" s="208"/>
      <c r="R19" s="184">
        <f>L19*R5</f>
        <v>0</v>
      </c>
      <c r="S19" s="185">
        <f>SUM(O19:R19)</f>
        <v>0</v>
      </c>
      <c r="T19" s="183" t="str">
        <f t="shared" si="23"/>
        <v>Iraq</v>
      </c>
      <c r="U19" s="184">
        <f>O19*U5</f>
        <v>0</v>
      </c>
      <c r="V19" s="184">
        <f>P19*V5</f>
        <v>0</v>
      </c>
      <c r="W19" s="208"/>
      <c r="X19" s="184">
        <f>R19*X5</f>
        <v>0</v>
      </c>
      <c r="Y19" s="185">
        <f>SUM(U19:X19)</f>
        <v>0</v>
      </c>
    </row>
    <row r="20" spans="1:25" x14ac:dyDescent="0.25">
      <c r="A20" s="144"/>
      <c r="B20" s="180" t="str">
        <f>E2</f>
        <v>Norway</v>
      </c>
      <c r="C20" s="181">
        <f>IFERROR(F42-G42,0)</f>
        <v>0</v>
      </c>
      <c r="D20" s="181">
        <f>IFERROR(F40-G40,0)</f>
        <v>0</v>
      </c>
      <c r="E20" s="181">
        <f>IFERROR(G38-F38,0)</f>
        <v>0</v>
      </c>
      <c r="F20" s="207"/>
      <c r="G20" s="182">
        <f>SUM(C20:F20)</f>
        <v>0</v>
      </c>
      <c r="H20" s="186" t="str">
        <f t="shared" si="21"/>
        <v>Norway</v>
      </c>
      <c r="I20" s="187">
        <f>C20*I6</f>
        <v>0</v>
      </c>
      <c r="J20" s="187">
        <f>D20*J6</f>
        <v>0</v>
      </c>
      <c r="K20" s="187">
        <f>E20*K6</f>
        <v>0</v>
      </c>
      <c r="L20" s="213"/>
      <c r="M20" s="188">
        <f>SUM(I20:L20)</f>
        <v>0</v>
      </c>
      <c r="N20" s="186" t="str">
        <f t="shared" si="22"/>
        <v>Norway</v>
      </c>
      <c r="O20" s="187">
        <f>I20*O6</f>
        <v>0</v>
      </c>
      <c r="P20" s="187">
        <f>J20*P6</f>
        <v>0</v>
      </c>
      <c r="Q20" s="187">
        <f>K20*Q6</f>
        <v>0</v>
      </c>
      <c r="R20" s="213"/>
      <c r="S20" s="188">
        <f>SUM(O20:R20)</f>
        <v>0</v>
      </c>
      <c r="T20" s="186" t="str">
        <f t="shared" si="23"/>
        <v>Norway</v>
      </c>
      <c r="U20" s="187">
        <f>O20*U6</f>
        <v>0</v>
      </c>
      <c r="V20" s="187">
        <f>P20*V6</f>
        <v>0</v>
      </c>
      <c r="W20" s="187">
        <f>Q20*W6</f>
        <v>0</v>
      </c>
      <c r="X20" s="213"/>
      <c r="Y20" s="188">
        <f>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France</v>
      </c>
      <c r="D23" s="164" t="str">
        <f>C2</f>
        <v>Senegal</v>
      </c>
      <c r="E23" s="164" t="str">
        <f>D2</f>
        <v>Iraq</v>
      </c>
      <c r="F23" s="164" t="str">
        <f>E2</f>
        <v>Norway</v>
      </c>
      <c r="G23" s="165" t="s">
        <v>26</v>
      </c>
      <c r="H23" s="169"/>
      <c r="I23" s="170" t="str">
        <f>C23</f>
        <v>France</v>
      </c>
      <c r="J23" s="170" t="str">
        <f t="shared" ref="J23:L23" si="24">D23</f>
        <v>Senegal</v>
      </c>
      <c r="K23" s="170" t="str">
        <f t="shared" si="24"/>
        <v>Iraq</v>
      </c>
      <c r="L23" s="170" t="str">
        <f t="shared" si="24"/>
        <v>Norway</v>
      </c>
      <c r="M23" s="171" t="s">
        <v>26</v>
      </c>
      <c r="N23" s="169"/>
      <c r="O23" s="170" t="str">
        <f>I23</f>
        <v>France</v>
      </c>
      <c r="P23" s="170" t="str">
        <f t="shared" ref="P23:R23" si="25">J23</f>
        <v>Senegal</v>
      </c>
      <c r="Q23" s="170" t="str">
        <f t="shared" si="25"/>
        <v>Iraq</v>
      </c>
      <c r="R23" s="170" t="str">
        <f t="shared" si="25"/>
        <v>Norway</v>
      </c>
      <c r="S23" s="171" t="s">
        <v>26</v>
      </c>
      <c r="T23" s="169"/>
      <c r="U23" s="170" t="str">
        <f>O23</f>
        <v>France</v>
      </c>
      <c r="V23" s="170" t="str">
        <f t="shared" ref="V23:X23" si="26">P23</f>
        <v>Senegal</v>
      </c>
      <c r="W23" s="170" t="str">
        <f t="shared" si="26"/>
        <v>Iraq</v>
      </c>
      <c r="X23" s="170" t="str">
        <f t="shared" si="26"/>
        <v>Norway</v>
      </c>
      <c r="Y23" s="171" t="s">
        <v>26</v>
      </c>
    </row>
    <row r="24" spans="1:25" x14ac:dyDescent="0.25">
      <c r="A24" s="143"/>
      <c r="B24" s="163" t="str">
        <f>B2</f>
        <v>France</v>
      </c>
      <c r="C24" s="209"/>
      <c r="D24" s="164">
        <f>IF(F37="",0,F37)</f>
        <v>0</v>
      </c>
      <c r="E24" s="164">
        <f>IF(F39="",0,F39)</f>
        <v>0</v>
      </c>
      <c r="F24" s="164">
        <f>IF(G42="",0,G42)</f>
        <v>0</v>
      </c>
      <c r="G24" s="165">
        <f>SUM(C24:F24)</f>
        <v>0</v>
      </c>
      <c r="H24" s="169" t="str">
        <f>B24</f>
        <v>France</v>
      </c>
      <c r="I24" s="214"/>
      <c r="J24" s="170">
        <f>D24*J3</f>
        <v>0</v>
      </c>
      <c r="K24" s="170">
        <f>E24*K3</f>
        <v>0</v>
      </c>
      <c r="L24" s="170">
        <f>F24*L3</f>
        <v>0</v>
      </c>
      <c r="M24" s="171">
        <f>SUM(I24:L24)</f>
        <v>0</v>
      </c>
      <c r="N24" s="169" t="str">
        <f>H24</f>
        <v>France</v>
      </c>
      <c r="O24" s="214"/>
      <c r="P24" s="170">
        <f>J24*P3</f>
        <v>0</v>
      </c>
      <c r="Q24" s="170">
        <f>K24*Q3</f>
        <v>0</v>
      </c>
      <c r="R24" s="170">
        <f>L24*R3</f>
        <v>0</v>
      </c>
      <c r="S24" s="171">
        <f>SUM(O24:R24)</f>
        <v>0</v>
      </c>
      <c r="T24" s="169" t="str">
        <f>N24</f>
        <v>France</v>
      </c>
      <c r="U24" s="214"/>
      <c r="V24" s="170">
        <f>P24*V3</f>
        <v>0</v>
      </c>
      <c r="W24" s="170">
        <f>Q24*W3</f>
        <v>0</v>
      </c>
      <c r="X24" s="170">
        <f>R24*X3</f>
        <v>0</v>
      </c>
      <c r="Y24" s="171">
        <f>SUM(U24:X24)</f>
        <v>0</v>
      </c>
    </row>
    <row r="25" spans="1:25" x14ac:dyDescent="0.25">
      <c r="A25" s="143"/>
      <c r="B25" s="163" t="str">
        <f>C2</f>
        <v>Senegal</v>
      </c>
      <c r="C25" s="164">
        <f>IF(G37="",0,G37)</f>
        <v>0</v>
      </c>
      <c r="D25" s="209"/>
      <c r="E25" s="164">
        <f>IF(F41="",0,F41)</f>
        <v>0</v>
      </c>
      <c r="F25" s="164">
        <f>IF(G40="",0,G40)</f>
        <v>0</v>
      </c>
      <c r="G25" s="165">
        <f>SUM(C25:F25)</f>
        <v>0</v>
      </c>
      <c r="H25" s="169" t="str">
        <f t="shared" ref="H25:H27" si="27">B25</f>
        <v>Senegal</v>
      </c>
      <c r="I25" s="170">
        <f>C25*I4</f>
        <v>0</v>
      </c>
      <c r="J25" s="214"/>
      <c r="K25" s="170">
        <f>E25*K4</f>
        <v>0</v>
      </c>
      <c r="L25" s="170">
        <f>F25*L4</f>
        <v>0</v>
      </c>
      <c r="M25" s="171">
        <f>SUM(I25:L25)</f>
        <v>0</v>
      </c>
      <c r="N25" s="169" t="str">
        <f t="shared" ref="N25:N27" si="28">H25</f>
        <v>Senegal</v>
      </c>
      <c r="O25" s="170">
        <f>I25*O4</f>
        <v>0</v>
      </c>
      <c r="P25" s="214"/>
      <c r="Q25" s="170">
        <f>K25*Q4</f>
        <v>0</v>
      </c>
      <c r="R25" s="170">
        <f>L25*R4</f>
        <v>0</v>
      </c>
      <c r="S25" s="171">
        <f>SUM(O25:R25)</f>
        <v>0</v>
      </c>
      <c r="T25" s="169" t="str">
        <f t="shared" ref="T25:T27" si="29">N25</f>
        <v>Senegal</v>
      </c>
      <c r="U25" s="170">
        <f>O25*U4</f>
        <v>0</v>
      </c>
      <c r="V25" s="214"/>
      <c r="W25" s="170">
        <f>Q25*W4</f>
        <v>0</v>
      </c>
      <c r="X25" s="170">
        <f>R25*X4</f>
        <v>0</v>
      </c>
      <c r="Y25" s="171">
        <f>SUM(U25:X25)</f>
        <v>0</v>
      </c>
    </row>
    <row r="26" spans="1:25" x14ac:dyDescent="0.25">
      <c r="A26" s="143"/>
      <c r="B26" s="163" t="str">
        <f>D2</f>
        <v>Iraq</v>
      </c>
      <c r="C26" s="164">
        <f>IF(G39="",0,G39)</f>
        <v>0</v>
      </c>
      <c r="D26" s="164">
        <f>IF(G41="",0,G41)</f>
        <v>0</v>
      </c>
      <c r="E26" s="209"/>
      <c r="F26" s="164">
        <f>IF(F38="",0,F38)</f>
        <v>0</v>
      </c>
      <c r="G26" s="165">
        <f>SUM(C26:F26)</f>
        <v>0</v>
      </c>
      <c r="H26" s="169" t="str">
        <f t="shared" si="27"/>
        <v>Iraq</v>
      </c>
      <c r="I26" s="170">
        <f>C26*I5</f>
        <v>0</v>
      </c>
      <c r="J26" s="170">
        <f>D26*J5</f>
        <v>0</v>
      </c>
      <c r="K26" s="214"/>
      <c r="L26" s="170">
        <f>F26*L5</f>
        <v>0</v>
      </c>
      <c r="M26" s="171">
        <f>SUM(I26:L26)</f>
        <v>0</v>
      </c>
      <c r="N26" s="169" t="str">
        <f t="shared" si="28"/>
        <v>Iraq</v>
      </c>
      <c r="O26" s="170">
        <f>I26*O5</f>
        <v>0</v>
      </c>
      <c r="P26" s="170">
        <f>J26*P5</f>
        <v>0</v>
      </c>
      <c r="Q26" s="214"/>
      <c r="R26" s="170">
        <f>L26*R5</f>
        <v>0</v>
      </c>
      <c r="S26" s="171">
        <f>SUM(O26:R26)</f>
        <v>0</v>
      </c>
      <c r="T26" s="169" t="str">
        <f t="shared" si="29"/>
        <v>Iraq</v>
      </c>
      <c r="U26" s="170">
        <f>O26*U5</f>
        <v>0</v>
      </c>
      <c r="V26" s="170">
        <f>P26*V5</f>
        <v>0</v>
      </c>
      <c r="W26" s="214"/>
      <c r="X26" s="170">
        <f>R26*X5</f>
        <v>0</v>
      </c>
      <c r="Y26" s="171">
        <f>SUM(U26:X26)</f>
        <v>0</v>
      </c>
    </row>
    <row r="27" spans="1:25" x14ac:dyDescent="0.25">
      <c r="A27" s="143"/>
      <c r="B27" s="166" t="str">
        <f>E2</f>
        <v>Norway</v>
      </c>
      <c r="C27" s="167">
        <f>IF(F42="",0,F42)</f>
        <v>0</v>
      </c>
      <c r="D27" s="167">
        <f>IF(F40="",0,F40)</f>
        <v>0</v>
      </c>
      <c r="E27" s="167">
        <f>IF(G38="",0,G38)</f>
        <v>0</v>
      </c>
      <c r="F27" s="210"/>
      <c r="G27" s="168">
        <f>SUM(C27:F27)</f>
        <v>0</v>
      </c>
      <c r="H27" s="172" t="str">
        <f t="shared" si="27"/>
        <v>Norway</v>
      </c>
      <c r="I27" s="173">
        <f>C27*I6</f>
        <v>0</v>
      </c>
      <c r="J27" s="173">
        <f>D27*J6</f>
        <v>0</v>
      </c>
      <c r="K27" s="173">
        <f>E27*K6</f>
        <v>0</v>
      </c>
      <c r="L27" s="215"/>
      <c r="M27" s="174">
        <f>SUM(I27:L27)</f>
        <v>0</v>
      </c>
      <c r="N27" s="172" t="str">
        <f t="shared" si="28"/>
        <v>Norway</v>
      </c>
      <c r="O27" s="173">
        <f>I27*O6</f>
        <v>0</v>
      </c>
      <c r="P27" s="173">
        <f>J27*P6</f>
        <v>0</v>
      </c>
      <c r="Q27" s="173">
        <f>K27*Q6</f>
        <v>0</v>
      </c>
      <c r="R27" s="215"/>
      <c r="S27" s="174">
        <f>SUM(O27:R27)</f>
        <v>0</v>
      </c>
      <c r="T27" s="172" t="str">
        <f t="shared" si="29"/>
        <v>Norway</v>
      </c>
      <c r="U27" s="173">
        <f>O27*U6</f>
        <v>0</v>
      </c>
      <c r="V27" s="173">
        <f>P27*V6</f>
        <v>0</v>
      </c>
      <c r="W27" s="173">
        <f>Q27*W6</f>
        <v>0</v>
      </c>
      <c r="X27" s="215"/>
      <c r="Y27" s="174">
        <f>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232" t="s">
        <v>631</v>
      </c>
      <c r="E29" s="232" t="s">
        <v>632</v>
      </c>
      <c r="F29" s="232" t="s">
        <v>633</v>
      </c>
      <c r="G29" s="232" t="s">
        <v>676</v>
      </c>
      <c r="H29" s="232" t="s">
        <v>411</v>
      </c>
      <c r="I29" s="232" t="s">
        <v>661</v>
      </c>
      <c r="J29" s="232" t="s">
        <v>634</v>
      </c>
      <c r="K29" s="233" t="s">
        <v>635</v>
      </c>
    </row>
    <row r="30" spans="1:25" x14ac:dyDescent="0.25">
      <c r="A30" s="234">
        <f>K30</f>
        <v>1</v>
      </c>
      <c r="B30" s="235" t="str">
        <f>B2</f>
        <v>France</v>
      </c>
      <c r="C30" s="236">
        <f>VLOOKUP($B30,Lookup10,3,FALSE)</f>
        <v>0</v>
      </c>
      <c r="D30" s="236">
        <f>VLOOKUP($B30,Lookup10,7,FALSE)</f>
        <v>0</v>
      </c>
      <c r="E30" s="236">
        <f>VLOOKUP($B30,Lookup10,8,FALSE)</f>
        <v>0</v>
      </c>
      <c r="F30" s="236">
        <f>VLOOKUP($B30,Lookup10,9,FALSE)</f>
        <v>0</v>
      </c>
      <c r="G30" s="237">
        <f>Z10</f>
        <v>1</v>
      </c>
      <c r="H30" s="236">
        <f>VLOOKUP($B30,Lookup10,11,FALSE)</f>
        <v>0</v>
      </c>
      <c r="I30" s="236">
        <f>VLOOKUP($B30,Lookup11,2,FALSE)</f>
        <v>3</v>
      </c>
      <c r="J30" s="238">
        <f>ROUND(D30*D$34+F30*F$34+G30*G$34-H30*H$34-I30*I$34,8)</f>
        <v>9999.9997000000003</v>
      </c>
      <c r="K30" s="239">
        <f>RANK(J30,J$30:J$33,0)</f>
        <v>1</v>
      </c>
    </row>
    <row r="31" spans="1:25" x14ac:dyDescent="0.25">
      <c r="A31" s="234">
        <f t="shared" ref="A31:A33" si="30">K31</f>
        <v>2</v>
      </c>
      <c r="B31" s="235" t="str">
        <f>C2</f>
        <v>Senegal</v>
      </c>
      <c r="C31" s="236">
        <f>VLOOKUP($B31,Lookup10,3,FALSE)</f>
        <v>0</v>
      </c>
      <c r="D31" s="236">
        <f>VLOOKUP($B31,Lookup10,7,FALSE)</f>
        <v>0</v>
      </c>
      <c r="E31" s="236">
        <f>VLOOKUP($B31,Lookup10,8,FALSE)</f>
        <v>0</v>
      </c>
      <c r="F31" s="236">
        <f>VLOOKUP($B31,Lookup10,9,FALSE)</f>
        <v>0</v>
      </c>
      <c r="G31" s="237">
        <f t="shared" ref="G31:G33" si="31">Z11</f>
        <v>1</v>
      </c>
      <c r="H31" s="236">
        <f>VLOOKUP($B31,Lookup10,11,FALSE)</f>
        <v>0</v>
      </c>
      <c r="I31" s="236">
        <f>VLOOKUP($B31,Lookup11,2,FALSE)</f>
        <v>14</v>
      </c>
      <c r="J31" s="238">
        <f t="shared" ref="J31:J33" si="32">ROUND(D31*D$34+F31*F$34+G31*G$34-H31*H$34-I31*I$34,8)</f>
        <v>9999.9986000000008</v>
      </c>
      <c r="K31" s="239">
        <f>RANK(J31,J$30:J$33,0)</f>
        <v>2</v>
      </c>
    </row>
    <row r="32" spans="1:25" x14ac:dyDescent="0.25">
      <c r="A32" s="234">
        <f t="shared" si="30"/>
        <v>4</v>
      </c>
      <c r="B32" s="235" t="str">
        <f>D2</f>
        <v>Iraq</v>
      </c>
      <c r="C32" s="236">
        <f>VLOOKUP($B32,Lookup10,3,FALSE)</f>
        <v>0</v>
      </c>
      <c r="D32" s="236">
        <f>VLOOKUP($B32,Lookup10,7,FALSE)</f>
        <v>0</v>
      </c>
      <c r="E32" s="236">
        <f>VLOOKUP($B32,Lookup10,8,FALSE)</f>
        <v>0</v>
      </c>
      <c r="F32" s="236">
        <f>VLOOKUP($B32,Lookup10,9,FALSE)</f>
        <v>0</v>
      </c>
      <c r="G32" s="237">
        <f t="shared" si="31"/>
        <v>1</v>
      </c>
      <c r="H32" s="236">
        <f>VLOOKUP($B32,Lookup10,11,FALSE)</f>
        <v>0</v>
      </c>
      <c r="I32" s="236">
        <f>VLOOKUP($B32,Lookup11,2,FALSE)</f>
        <v>39</v>
      </c>
      <c r="J32" s="238">
        <f t="shared" si="32"/>
        <v>9999.9961000000003</v>
      </c>
      <c r="K32" s="239">
        <f>RANK(J32,J$30:J$33,0)</f>
        <v>4</v>
      </c>
    </row>
    <row r="33" spans="1:16" x14ac:dyDescent="0.25">
      <c r="A33" s="234">
        <f t="shared" si="30"/>
        <v>3</v>
      </c>
      <c r="B33" s="235" t="str">
        <f>E2</f>
        <v>Norway</v>
      </c>
      <c r="C33" s="236">
        <f>VLOOKUP($B33,Lookup10,3,FALSE)</f>
        <v>0</v>
      </c>
      <c r="D33" s="236">
        <f>VLOOKUP($B33,Lookup10,7,FALSE)</f>
        <v>0</v>
      </c>
      <c r="E33" s="236">
        <f>VLOOKUP($B33,Lookup10,8,FALSE)</f>
        <v>0</v>
      </c>
      <c r="F33" s="236">
        <f>VLOOKUP($B33,Lookup10,9,FALSE)</f>
        <v>0</v>
      </c>
      <c r="G33" s="237">
        <f t="shared" si="31"/>
        <v>1</v>
      </c>
      <c r="H33" s="236">
        <f>VLOOKUP($B33,Lookup10,11,FALSE)</f>
        <v>0</v>
      </c>
      <c r="I33" s="236">
        <f>VLOOKUP($B33,Lookup11,2,FALSE)</f>
        <v>28</v>
      </c>
      <c r="J33" s="238">
        <f t="shared" si="32"/>
        <v>9999.9971999999998</v>
      </c>
      <c r="K33" s="239">
        <f>RANK(J33,J$30:J$33,0)</f>
        <v>3</v>
      </c>
    </row>
    <row r="34" spans="1:16" x14ac:dyDescent="0.25">
      <c r="A34" s="240"/>
      <c r="B34" s="241" t="s">
        <v>636</v>
      </c>
      <c r="C34" s="242">
        <f>SUM(C30:C33)</f>
        <v>0</v>
      </c>
      <c r="D34" s="205">
        <v>1</v>
      </c>
      <c r="E34" s="205"/>
      <c r="F34" s="205">
        <v>100</v>
      </c>
      <c r="G34" s="205">
        <v>10000</v>
      </c>
      <c r="H34" s="205">
        <v>0.01</v>
      </c>
      <c r="I34" s="205">
        <v>1E-4</v>
      </c>
      <c r="J34" s="242"/>
      <c r="K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FranceSenegal</v>
      </c>
      <c r="B37" s="158" t="str">
        <f>B1&amp;C1</f>
        <v>I1I2</v>
      </c>
      <c r="C37" s="158">
        <f>IF(Data!Q59="",0,1)</f>
        <v>0</v>
      </c>
      <c r="D37" s="150" t="str">
        <f>B2</f>
        <v>France</v>
      </c>
      <c r="E37" s="150" t="str">
        <f>C2</f>
        <v>Senegal</v>
      </c>
      <c r="F37" s="158" t="str">
        <f t="shared" ref="F37:F42" si="33">VLOOKUP($B37,Lookup12,2,FALSE)</f>
        <v/>
      </c>
      <c r="G37" s="158" t="str">
        <f t="shared" ref="G37:G42" si="34">VLOOKUP($B37,Lookup12,3,FALSE)</f>
        <v/>
      </c>
      <c r="H37" s="158">
        <f t="shared" ref="H37:H42" si="35">IF(C37=0,0,IF(F37&lt;G37,Lpts,IF(F37&gt;G37,Wpts,Dpts)))</f>
        <v>0</v>
      </c>
      <c r="I37" s="158">
        <f t="shared" ref="I37:I42" si="36">IF(C37=0,0,IF(G37&lt;F37,Lpts,IF(G37&gt;F37,Wpts,Dpts)))</f>
        <v>0</v>
      </c>
      <c r="J37" s="158" t="str">
        <f t="shared" ref="J37:J42" si="37">VLOOKUP($B37,Lookup12,4,FALSE)</f>
        <v/>
      </c>
      <c r="K37" s="158" t="str">
        <f t="shared" ref="K37:K42" si="38">VLOOKUP($B37,Lookup12,5,FALSE)</f>
        <v/>
      </c>
      <c r="L37" s="143"/>
      <c r="M37" s="143"/>
      <c r="N37" s="143"/>
      <c r="O37" s="143"/>
      <c r="P37" s="143"/>
    </row>
    <row r="38" spans="1:16" x14ac:dyDescent="0.25">
      <c r="A38" s="149" t="str">
        <f>D2&amp;E2</f>
        <v>IraqNorway</v>
      </c>
      <c r="B38" s="158" t="str">
        <f>D1&amp;E1</f>
        <v>I3I4</v>
      </c>
      <c r="C38" s="158">
        <f>IF(Data!Q60="",0,1)</f>
        <v>0</v>
      </c>
      <c r="D38" s="150" t="str">
        <f>D2</f>
        <v>Iraq</v>
      </c>
      <c r="E38" s="150" t="str">
        <f>E2</f>
        <v>Norway</v>
      </c>
      <c r="F38" s="158" t="str">
        <f t="shared" si="33"/>
        <v/>
      </c>
      <c r="G38" s="158" t="str">
        <f t="shared" si="34"/>
        <v/>
      </c>
      <c r="H38" s="158">
        <f t="shared" si="35"/>
        <v>0</v>
      </c>
      <c r="I38" s="158">
        <f t="shared" si="36"/>
        <v>0</v>
      </c>
      <c r="J38" s="158" t="str">
        <f t="shared" si="37"/>
        <v/>
      </c>
      <c r="K38" s="158" t="str">
        <f t="shared" si="38"/>
        <v/>
      </c>
      <c r="L38" s="143"/>
      <c r="M38" s="143"/>
      <c r="N38" s="143"/>
      <c r="O38" s="143"/>
      <c r="P38" s="143"/>
    </row>
    <row r="39" spans="1:16" x14ac:dyDescent="0.25">
      <c r="A39" s="149" t="str">
        <f>B2&amp;D2</f>
        <v>FranceIraq</v>
      </c>
      <c r="B39" s="158" t="str">
        <f>B1&amp;D1</f>
        <v>I1I3</v>
      </c>
      <c r="C39" s="158">
        <f>IF(Data!Q61="",0,1)</f>
        <v>0</v>
      </c>
      <c r="D39" s="150" t="str">
        <f>B2</f>
        <v>France</v>
      </c>
      <c r="E39" s="150" t="str">
        <f>D2</f>
        <v>Iraq</v>
      </c>
      <c r="F39" s="158" t="str">
        <f t="shared" si="33"/>
        <v/>
      </c>
      <c r="G39" s="158" t="str">
        <f t="shared" si="34"/>
        <v/>
      </c>
      <c r="H39" s="158">
        <f t="shared" si="35"/>
        <v>0</v>
      </c>
      <c r="I39" s="158">
        <f t="shared" si="36"/>
        <v>0</v>
      </c>
      <c r="J39" s="158" t="str">
        <f t="shared" si="37"/>
        <v/>
      </c>
      <c r="K39" s="158" t="str">
        <f t="shared" si="38"/>
        <v/>
      </c>
      <c r="L39" s="143"/>
      <c r="M39" s="143"/>
      <c r="N39" s="143"/>
      <c r="O39" s="143"/>
      <c r="P39" s="143"/>
    </row>
    <row r="40" spans="1:16" x14ac:dyDescent="0.25">
      <c r="A40" s="149" t="str">
        <f>E2&amp;C2</f>
        <v>NorwaySenegal</v>
      </c>
      <c r="B40" s="158" t="str">
        <f>E1&amp;C1</f>
        <v>I4I2</v>
      </c>
      <c r="C40" s="158">
        <f>IF(Data!Q62="",0,1)</f>
        <v>0</v>
      </c>
      <c r="D40" s="150" t="str">
        <f>E2</f>
        <v>Norway</v>
      </c>
      <c r="E40" s="150" t="str">
        <f>C2</f>
        <v>Senegal</v>
      </c>
      <c r="F40" s="158" t="str">
        <f t="shared" si="33"/>
        <v/>
      </c>
      <c r="G40" s="158" t="str">
        <f t="shared" si="34"/>
        <v/>
      </c>
      <c r="H40" s="158">
        <f t="shared" si="35"/>
        <v>0</v>
      </c>
      <c r="I40" s="158">
        <f t="shared" si="36"/>
        <v>0</v>
      </c>
      <c r="J40" s="158" t="str">
        <f t="shared" si="37"/>
        <v/>
      </c>
      <c r="K40" s="158" t="str">
        <f t="shared" si="38"/>
        <v/>
      </c>
      <c r="L40" s="143"/>
      <c r="M40" s="143"/>
      <c r="N40" s="143"/>
      <c r="O40" s="143"/>
      <c r="P40" s="143"/>
    </row>
    <row r="41" spans="1:16" x14ac:dyDescent="0.25">
      <c r="A41" s="149" t="str">
        <f>C2&amp;D2</f>
        <v>SenegalIraq</v>
      </c>
      <c r="B41" s="158" t="str">
        <f>C1&amp;D1</f>
        <v>I2I3</v>
      </c>
      <c r="C41" s="158">
        <f>IF(Data!Q63="",0,1)</f>
        <v>0</v>
      </c>
      <c r="D41" s="150" t="str">
        <f>C2</f>
        <v>Senegal</v>
      </c>
      <c r="E41" s="150" t="str">
        <f>D2</f>
        <v>Iraq</v>
      </c>
      <c r="F41" s="158" t="str">
        <f t="shared" si="33"/>
        <v/>
      </c>
      <c r="G41" s="158" t="str">
        <f t="shared" si="34"/>
        <v/>
      </c>
      <c r="H41" s="158">
        <f t="shared" si="35"/>
        <v>0</v>
      </c>
      <c r="I41" s="158">
        <f t="shared" si="36"/>
        <v>0</v>
      </c>
      <c r="J41" s="158" t="str">
        <f t="shared" si="37"/>
        <v/>
      </c>
      <c r="K41" s="158" t="str">
        <f t="shared" si="38"/>
        <v/>
      </c>
      <c r="L41" s="143"/>
      <c r="M41" s="143"/>
      <c r="N41" s="143"/>
      <c r="O41" s="143"/>
      <c r="P41" s="143"/>
    </row>
    <row r="42" spans="1:16" x14ac:dyDescent="0.25">
      <c r="A42" s="151" t="str">
        <f>E2&amp;B2</f>
        <v>NorwayFrance</v>
      </c>
      <c r="B42" s="159" t="str">
        <f>E1&amp;B1</f>
        <v>I4I1</v>
      </c>
      <c r="C42" s="159">
        <f>IF(Data!Q64="",0,1)</f>
        <v>0</v>
      </c>
      <c r="D42" s="152" t="str">
        <f>E2</f>
        <v>Norway</v>
      </c>
      <c r="E42" s="152" t="str">
        <f>B2</f>
        <v>France</v>
      </c>
      <c r="F42" s="159" t="str">
        <f t="shared" si="33"/>
        <v/>
      </c>
      <c r="G42" s="159" t="str">
        <f t="shared" si="34"/>
        <v/>
      </c>
      <c r="H42" s="159">
        <f t="shared" si="35"/>
        <v>0</v>
      </c>
      <c r="I42" s="159">
        <f t="shared" si="36"/>
        <v>0</v>
      </c>
      <c r="J42" s="159" t="str">
        <f t="shared" si="37"/>
        <v/>
      </c>
      <c r="K42" s="159" t="str">
        <f t="shared" si="38"/>
        <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$B45</f>
        <v>France</v>
      </c>
      <c r="M44" s="154" t="str">
        <f>$B46</f>
        <v>Senegal</v>
      </c>
      <c r="N44" s="154" t="str">
        <f>$B47</f>
        <v>Norway</v>
      </c>
      <c r="O44" s="154" t="str">
        <f>$B48</f>
        <v>Iraq</v>
      </c>
      <c r="P44" s="155"/>
    </row>
    <row r="45" spans="1:16" x14ac:dyDescent="0.25">
      <c r="A45" s="156">
        <v>1</v>
      </c>
      <c r="B45" s="156" t="str">
        <f>VLOOKUP($A45,RankingI,2,FALSE)</f>
        <v>France</v>
      </c>
      <c r="C45" s="157">
        <f>VLOOKUP($B45,Lookup10,3,FALSE)</f>
        <v>0</v>
      </c>
      <c r="D45" s="157">
        <f>VLOOKUP($B45,Lookup10,4,FALSE)</f>
        <v>0</v>
      </c>
      <c r="E45" s="157">
        <f>VLOOKUP($B45,Lookup10,5,FALSE)</f>
        <v>0</v>
      </c>
      <c r="F45" s="157">
        <f>VLOOKUP($B45,Lookup10,6,FALSE)</f>
        <v>0</v>
      </c>
      <c r="G45" s="157">
        <f>VLOOKUP($B45,Lookup10,7,FALSE)</f>
        <v>0</v>
      </c>
      <c r="H45" s="157">
        <f>VLOOKUP($B45,Lookup10,8,FALSE)</f>
        <v>0</v>
      </c>
      <c r="I45" s="157">
        <f>VLOOKUP($B45,Lookup10,9,FALSE)</f>
        <v>0</v>
      </c>
      <c r="J45" s="157">
        <f>VLOOKUP($B45,Lookup10,10,FALSE)</f>
        <v>0</v>
      </c>
      <c r="K45" s="201" t="str">
        <f>B45</f>
        <v>France</v>
      </c>
      <c r="L45" s="203"/>
      <c r="M45" s="202" t="str">
        <f>IFERROR(VLOOKUP($B45&amp;M$44,A37:G42,6,FALSE)&amp;"-"&amp;VLOOKUP($B45&amp;M$44,A37:G42,7,FALSE),VLOOKUP(M$44&amp;$B45,A37:G42,7,FALSE)&amp;"-"&amp;VLOOKUP(M$44&amp;$B45,A37:G42,6,FALSE))</f>
        <v>-</v>
      </c>
      <c r="N45" s="202" t="str">
        <f>IFERROR(VLOOKUP($B45&amp;N$44,A37:G42,6,FALSE)&amp;"-"&amp;VLOOKUP($B45&amp;N$44,A37:G42,7,FALSE),VLOOKUP(N$44&amp;$B45,A37:G42,7,FALSE)&amp;"-"&amp;VLOOKUP(N$44&amp;$B45,A37:G42,6,FALSE))</f>
        <v>-</v>
      </c>
      <c r="O45" s="202" t="str">
        <f>IFERROR(VLOOKUP($B45&amp;O$44,A37:G42,6,FALSE)&amp;"-"&amp;VLOOKUP($B45&amp;O$44,A37:G42,7,FALSE),VLOOKUP(O$44&amp;$B45,A37:G42,7,FALSE)&amp;"-"&amp;VLOOKUP(O$44&amp;$B45,A37:G42,6,FALSE))</f>
        <v>-</v>
      </c>
      <c r="P45" s="155"/>
    </row>
    <row r="46" spans="1:16" x14ac:dyDescent="0.25">
      <c r="A46" s="156">
        <v>2</v>
      </c>
      <c r="B46" s="156" t="str">
        <f>VLOOKUP($A46,RankingI,2,FALSE)</f>
        <v>Senegal</v>
      </c>
      <c r="C46" s="157">
        <f>VLOOKUP($B46,Lookup10,3,FALSE)</f>
        <v>0</v>
      </c>
      <c r="D46" s="157">
        <f>VLOOKUP($B46,Lookup10,4,FALSE)</f>
        <v>0</v>
      </c>
      <c r="E46" s="157">
        <f>VLOOKUP($B46,Lookup10,5,FALSE)</f>
        <v>0</v>
      </c>
      <c r="F46" s="157">
        <f>VLOOKUP($B46,Lookup10,6,FALSE)</f>
        <v>0</v>
      </c>
      <c r="G46" s="157">
        <f>VLOOKUP($B46,Lookup10,7,FALSE)</f>
        <v>0</v>
      </c>
      <c r="H46" s="157">
        <f>VLOOKUP($B46,Lookup10,8,FALSE)</f>
        <v>0</v>
      </c>
      <c r="I46" s="157">
        <f>VLOOKUP($B46,Lookup10,9,FALSE)</f>
        <v>0</v>
      </c>
      <c r="J46" s="157">
        <f>VLOOKUP($B46,Lookup10,10,FALSE)</f>
        <v>0</v>
      </c>
      <c r="K46" s="201" t="str">
        <f>B46</f>
        <v>Senegal</v>
      </c>
      <c r="L46" s="202" t="str">
        <f>IFERROR(VLOOKUP($B46&amp;L$44,A37:G42,6,FALSE)&amp;"-"&amp;VLOOKUP($B46&amp;L$44,A37:G42,7,FALSE),VLOOKUP(L$44&amp;$B46,A37:G42,7,FALSE)&amp;"-"&amp;VLOOKUP(L$44&amp;$B46,A37:G42,6,FALSE))</f>
        <v>-</v>
      </c>
      <c r="M46" s="203"/>
      <c r="N46" s="202" t="str">
        <f>IFERROR(VLOOKUP($B46&amp;N$44,A37:G42,6,FALSE)&amp;"-"&amp;VLOOKUP($B46&amp;N$44,A37:G42,7,FALSE),VLOOKUP(N$44&amp;$B46,A37:G42,7,FALSE)&amp;"-"&amp;VLOOKUP(N$44&amp;$B46,A37:G42,6,FALSE))</f>
        <v>-</v>
      </c>
      <c r="O46" s="202" t="str">
        <f>IFERROR(VLOOKUP($B46&amp;O$44,A37:G42,6,FALSE)&amp;"-"&amp;VLOOKUP($B46&amp;O$44,A37:G42,7,FALSE),VLOOKUP(O$44&amp;$B46,A37:G42,7,FALSE)&amp;"-"&amp;VLOOKUP(O$44&amp;$B46,A37:G42,6,FALSE))</f>
        <v>-</v>
      </c>
      <c r="P46" s="155"/>
    </row>
    <row r="47" spans="1:16" x14ac:dyDescent="0.25">
      <c r="A47" s="156">
        <v>3</v>
      </c>
      <c r="B47" s="156" t="str">
        <f>VLOOKUP($A47,RankingI,2,FALSE)</f>
        <v>Norway</v>
      </c>
      <c r="C47" s="157">
        <f>VLOOKUP($B47,Lookup10,3,FALSE)</f>
        <v>0</v>
      </c>
      <c r="D47" s="157">
        <f>VLOOKUP($B47,Lookup10,4,FALSE)</f>
        <v>0</v>
      </c>
      <c r="E47" s="157">
        <f>VLOOKUP($B47,Lookup10,5,FALSE)</f>
        <v>0</v>
      </c>
      <c r="F47" s="157">
        <f>VLOOKUP($B47,Lookup10,6,FALSE)</f>
        <v>0</v>
      </c>
      <c r="G47" s="157">
        <f>VLOOKUP($B47,Lookup10,7,FALSE)</f>
        <v>0</v>
      </c>
      <c r="H47" s="157">
        <f>VLOOKUP($B47,Lookup10,8,FALSE)</f>
        <v>0</v>
      </c>
      <c r="I47" s="157">
        <f>VLOOKUP($B47,Lookup10,9,FALSE)</f>
        <v>0</v>
      </c>
      <c r="J47" s="157">
        <f>VLOOKUP($B47,Lookup10,10,FALSE)</f>
        <v>0</v>
      </c>
      <c r="K47" s="201" t="str">
        <f>B47</f>
        <v>Norway</v>
      </c>
      <c r="L47" s="202" t="str">
        <f>IFERROR(VLOOKUP($B47&amp;L$44,A37:G42,6,FALSE)&amp;"-"&amp;VLOOKUP($B47&amp;L$44,A37:G42,7,FALSE),VLOOKUP(L$44&amp;$B47,A37:G42,7,FALSE)&amp;"-"&amp;VLOOKUP(L$44&amp;$B47,A37:G42,6,FALSE))</f>
        <v>-</v>
      </c>
      <c r="M47" s="202" t="str">
        <f>IFERROR(VLOOKUP($B47&amp;M$44,A37:G42,6,FALSE)&amp;"-"&amp;VLOOKUP($B47&amp;M$44,A37:G42,7,FALSE),VLOOKUP(M$44&amp;$B47,A37:G42,7,FALSE)&amp;"-"&amp;VLOOKUP(M$44&amp;$B47,A37:G42,6,FALSE))</f>
        <v>-</v>
      </c>
      <c r="N47" s="203"/>
      <c r="O47" s="202" t="str">
        <f>IFERROR(VLOOKUP($B47&amp;O$44,A37:G42,6,FALSE)&amp;"-"&amp;VLOOKUP($B47&amp;O$44,A37:G42,7,FALSE),VLOOKUP(O$44&amp;$B47,A37:G42,7,FALSE)&amp;"-"&amp;VLOOKUP(O$44&amp;$B47,A37:G42,6,FALSE))</f>
        <v>-</v>
      </c>
      <c r="P47" s="155"/>
    </row>
    <row r="48" spans="1:16" x14ac:dyDescent="0.25">
      <c r="A48" s="156">
        <v>4</v>
      </c>
      <c r="B48" s="156" t="str">
        <f>VLOOKUP($A48,RankingI,2,FALSE)</f>
        <v>Iraq</v>
      </c>
      <c r="C48" s="157">
        <f>VLOOKUP($B48,Lookup10,3,FALSE)</f>
        <v>0</v>
      </c>
      <c r="D48" s="157">
        <f>VLOOKUP($B48,Lookup10,4,FALSE)</f>
        <v>0</v>
      </c>
      <c r="E48" s="157">
        <f>VLOOKUP($B48,Lookup10,5,FALSE)</f>
        <v>0</v>
      </c>
      <c r="F48" s="157">
        <f>VLOOKUP($B48,Lookup10,6,FALSE)</f>
        <v>0</v>
      </c>
      <c r="G48" s="157">
        <f>VLOOKUP($B48,Lookup10,7,FALSE)</f>
        <v>0</v>
      </c>
      <c r="H48" s="157">
        <f>VLOOKUP($B48,Lookup10,8,FALSE)</f>
        <v>0</v>
      </c>
      <c r="I48" s="157">
        <f>VLOOKUP($B48,Lookup10,9,FALSE)</f>
        <v>0</v>
      </c>
      <c r="J48" s="157">
        <f>VLOOKUP($B48,Lookup10,10,FALSE)</f>
        <v>0</v>
      </c>
      <c r="K48" s="201" t="str">
        <f>B48</f>
        <v>Iraq</v>
      </c>
      <c r="L48" s="202" t="str">
        <f>IFERROR(VLOOKUP($B48&amp;L$44,A37:G42,6,FALSE)&amp;"-"&amp;VLOOKUP($B48&amp;L$44,A37:G42,7,FALSE),VLOOKUP(L$44&amp;$B48,A37:G42,7,FALSE)&amp;"-"&amp;VLOOKUP(L$44&amp;$B48,A37:G42,6,FALSE))</f>
        <v>-</v>
      </c>
      <c r="M48" s="202" t="str">
        <f>IFERROR(VLOOKUP($B48&amp;M$44,A37:G42,6,FALSE)&amp;"-"&amp;VLOOKUP($B48&amp;M$44,A37:G42,7,FALSE),VLOOKUP(M$44&amp;$B48,A37:G42,7,FALSE)&amp;"-"&amp;VLOOKUP(M$44&amp;$B48,A37:G42,6,FALSE))</f>
        <v>-</v>
      </c>
      <c r="N48" s="202" t="str">
        <f>IFERROR(VLOOKUP($B48&amp;N$44,A37:G42,6,FALSE)&amp;"-"&amp;VLOOKUP($B48&amp;N$44,A37:G42,7,FALSE),VLOOKUP(N$44&amp;$B48,A37:G42,7,FALSE)&amp;"-"&amp;VLOOKUP(N$44&amp;$B48,A37:G42,6,FALSE))</f>
        <v>-</v>
      </c>
      <c r="O48" s="203"/>
      <c r="P48" s="155"/>
    </row>
    <row r="49" spans="1:16" x14ac:dyDescent="0.25">
      <c r="A49" s="143"/>
      <c r="B49" s="143"/>
      <c r="C49" s="461">
        <f>SUM(C45:C48)</f>
        <v>0</v>
      </c>
      <c r="D49" s="143"/>
      <c r="E49" s="143"/>
      <c r="F49" s="143"/>
      <c r="G49" s="143"/>
      <c r="H49" s="143"/>
      <c r="I49" s="143"/>
      <c r="J49" s="143"/>
      <c r="K49" s="143"/>
      <c r="L49" s="143"/>
      <c r="M49" s="143"/>
      <c r="N49" s="143"/>
      <c r="O49" s="143"/>
      <c r="P49" s="143"/>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9CC51-8D3B-467F-94A2-6B72BCA94CFB}">
  <sheetPr>
    <tabColor rgb="FFC00000"/>
  </sheetPr>
  <dimension ref="A1:Z49"/>
  <sheetViews>
    <sheetView workbookViewId="0">
      <pane ySplit="2" topLeftCell="A17" activePane="bottomLeft" state="frozen"/>
      <selection activeCell="C42" sqref="C42"/>
      <selection pane="bottomLeft" activeCell="C42" sqref="C42"/>
    </sheetView>
  </sheetViews>
  <sheetFormatPr defaultColWidth="16.7109375" defaultRowHeight="15" x14ac:dyDescent="0.25"/>
  <sheetData>
    <row r="1" spans="1:26" x14ac:dyDescent="0.25">
      <c r="A1" s="228" t="s">
        <v>320</v>
      </c>
      <c r="B1" s="216" t="str">
        <f>A2&amp;1</f>
        <v>J1</v>
      </c>
      <c r="C1" s="216" t="str">
        <f>A2&amp;2</f>
        <v>J2</v>
      </c>
      <c r="D1" s="216" t="str">
        <f>A2&amp;3</f>
        <v>J3</v>
      </c>
      <c r="E1" s="216" t="str">
        <f>A2&amp;4</f>
        <v>J4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622</v>
      </c>
      <c r="B2" s="217" t="str">
        <f>VLOOKUP(B1,Lookup08,2,FALSE)</f>
        <v>Argentina</v>
      </c>
      <c r="C2" s="217" t="str">
        <f>VLOOKUP(C1,Lookup08,2,FALSE)</f>
        <v>Algeria</v>
      </c>
      <c r="D2" s="217" t="str">
        <f>VLOOKUP(D1,Lookup08,2,FALSE)</f>
        <v>Austria</v>
      </c>
      <c r="E2" s="217" t="str">
        <f>VLOOKUP(E1,Lookup08,2,FALSE)</f>
        <v>Jordan</v>
      </c>
      <c r="F2" s="144"/>
      <c r="G2" s="144"/>
      <c r="H2" s="195"/>
      <c r="I2" s="196" t="str">
        <f>B2</f>
        <v>Argentina</v>
      </c>
      <c r="J2" s="196" t="str">
        <f>C2</f>
        <v>Algeria</v>
      </c>
      <c r="K2" s="196" t="str">
        <f>D2</f>
        <v>Austria</v>
      </c>
      <c r="L2" s="196" t="str">
        <f>E2</f>
        <v>Jordan</v>
      </c>
      <c r="M2" s="197" t="s">
        <v>26</v>
      </c>
      <c r="N2" s="195"/>
      <c r="O2" s="196" t="str">
        <f>I2</f>
        <v>Argentina</v>
      </c>
      <c r="P2" s="196" t="str">
        <f t="shared" ref="P2:R2" si="0">J2</f>
        <v>Algeria</v>
      </c>
      <c r="Q2" s="196" t="str">
        <f t="shared" si="0"/>
        <v>Austria</v>
      </c>
      <c r="R2" s="196" t="str">
        <f t="shared" si="0"/>
        <v>Jordan</v>
      </c>
      <c r="S2" s="197" t="s">
        <v>26</v>
      </c>
      <c r="T2" s="195"/>
      <c r="U2" s="196" t="str">
        <f>O2</f>
        <v>Argentina</v>
      </c>
      <c r="V2" s="196" t="str">
        <f t="shared" ref="V2:X2" si="1">P2</f>
        <v>Algeria</v>
      </c>
      <c r="W2" s="196" t="str">
        <f t="shared" si="1"/>
        <v>Austria</v>
      </c>
      <c r="X2" s="196" t="str">
        <f t="shared" si="1"/>
        <v>Jordan</v>
      </c>
      <c r="Y2" s="197" t="s">
        <v>26</v>
      </c>
    </row>
    <row r="3" spans="1:26" x14ac:dyDescent="0.25">
      <c r="A3" s="144"/>
      <c r="B3" s="144"/>
      <c r="C3" s="144"/>
      <c r="F3" s="144"/>
      <c r="G3" s="144"/>
      <c r="H3" s="195" t="str">
        <f>B2</f>
        <v>Argentina</v>
      </c>
      <c r="I3" s="211"/>
      <c r="J3" s="196">
        <f>IF(G10=G11,1,0)</f>
        <v>1</v>
      </c>
      <c r="K3" s="196">
        <f>IF(G10=G12,1,0)</f>
        <v>1</v>
      </c>
      <c r="L3" s="196">
        <f>IF(G10=G13,1,0)</f>
        <v>1</v>
      </c>
      <c r="M3" s="197">
        <f>SUM(I3:L3)</f>
        <v>3</v>
      </c>
      <c r="N3" s="195" t="str">
        <f>H3</f>
        <v>Argentina</v>
      </c>
      <c r="O3" s="211"/>
      <c r="P3" s="196">
        <f>IF(M10=M11,1,0)</f>
        <v>1</v>
      </c>
      <c r="Q3" s="196">
        <f>IF(M10=M12,1,0)</f>
        <v>1</v>
      </c>
      <c r="R3" s="196">
        <f>IF(M10=M13,1,0)</f>
        <v>1</v>
      </c>
      <c r="S3" s="197">
        <f>SUM(O3:R3)</f>
        <v>3</v>
      </c>
      <c r="T3" s="195" t="str">
        <f>N3</f>
        <v>Argentina</v>
      </c>
      <c r="U3" s="211"/>
      <c r="V3" s="196">
        <f>IF(S10=S11,1,0)</f>
        <v>1</v>
      </c>
      <c r="W3" s="196">
        <f>IF(S10=S12,1,0)</f>
        <v>1</v>
      </c>
      <c r="X3" s="196">
        <f>IF(S10=S13,1,0)</f>
        <v>1</v>
      </c>
      <c r="Y3" s="197">
        <f>SUM(U3:X3)</f>
        <v>3</v>
      </c>
    </row>
    <row r="4" spans="1:26" x14ac:dyDescent="0.25">
      <c r="A4" s="144"/>
      <c r="B4" s="144"/>
      <c r="C4" s="144"/>
      <c r="F4" s="144"/>
      <c r="G4" s="144"/>
      <c r="H4" s="195" t="str">
        <f>C2</f>
        <v>Algeria</v>
      </c>
      <c r="I4" s="196">
        <f>IF(G11=G10,1,0)</f>
        <v>1</v>
      </c>
      <c r="J4" s="211"/>
      <c r="K4" s="196">
        <f>IF(G11=G12,1,0)</f>
        <v>1</v>
      </c>
      <c r="L4" s="196">
        <f>IF(G11=G13,1,0)</f>
        <v>1</v>
      </c>
      <c r="M4" s="197">
        <f>SUM(I4:L4)</f>
        <v>3</v>
      </c>
      <c r="N4" s="195" t="str">
        <f t="shared" ref="N4:N6" si="2">H4</f>
        <v>Algeria</v>
      </c>
      <c r="O4" s="196">
        <f>IF(M11=M10,1,0)</f>
        <v>1</v>
      </c>
      <c r="P4" s="211"/>
      <c r="Q4" s="196">
        <f>IF(M11=M12,1,0)</f>
        <v>1</v>
      </c>
      <c r="R4" s="196">
        <f>IF(M11=M13,1,0)</f>
        <v>1</v>
      </c>
      <c r="S4" s="197">
        <f>SUM(O4:R4)</f>
        <v>3</v>
      </c>
      <c r="T4" s="195" t="str">
        <f t="shared" ref="T4:T6" si="3">N4</f>
        <v>Algeria</v>
      </c>
      <c r="U4" s="196">
        <f>IF(S11=S10,1,0)</f>
        <v>1</v>
      </c>
      <c r="V4" s="211"/>
      <c r="W4" s="196">
        <f>IF(S11=S12,1,0)</f>
        <v>1</v>
      </c>
      <c r="X4" s="196">
        <f>IF(S11=S13,1,0)</f>
        <v>1</v>
      </c>
      <c r="Y4" s="197">
        <f>SUM(U4:X4)</f>
        <v>3</v>
      </c>
    </row>
    <row r="5" spans="1:26" x14ac:dyDescent="0.25">
      <c r="A5" s="144"/>
      <c r="B5" s="144"/>
      <c r="C5" s="144"/>
      <c r="F5" s="144"/>
      <c r="G5" s="144"/>
      <c r="H5" s="195" t="str">
        <f>D2</f>
        <v>Austria</v>
      </c>
      <c r="I5" s="196">
        <f>IF(G12=G10,1,0)</f>
        <v>1</v>
      </c>
      <c r="J5" s="196">
        <f>IF(G12=G11,1,0)</f>
        <v>1</v>
      </c>
      <c r="K5" s="211"/>
      <c r="L5" s="196">
        <f>IF(G12=G13,1,0)</f>
        <v>1</v>
      </c>
      <c r="M5" s="197">
        <f>SUM(I5:L5)</f>
        <v>3</v>
      </c>
      <c r="N5" s="195" t="str">
        <f t="shared" si="2"/>
        <v>Austria</v>
      </c>
      <c r="O5" s="196">
        <f>IF(M12=M10,1,0)</f>
        <v>1</v>
      </c>
      <c r="P5" s="196">
        <f>IF(M12=M11,1,0)</f>
        <v>1</v>
      </c>
      <c r="Q5" s="211"/>
      <c r="R5" s="196">
        <f>IF(M12=M13,1,0)</f>
        <v>1</v>
      </c>
      <c r="S5" s="197">
        <f>SUM(O5:R5)</f>
        <v>3</v>
      </c>
      <c r="T5" s="195" t="str">
        <f t="shared" si="3"/>
        <v>Austria</v>
      </c>
      <c r="U5" s="196">
        <f>IF(S12=S10,1,0)</f>
        <v>1</v>
      </c>
      <c r="V5" s="196">
        <f>IF(S12=S11,1,0)</f>
        <v>1</v>
      </c>
      <c r="W5" s="211"/>
      <c r="X5" s="196">
        <f>IF(S12=S13,1,0)</f>
        <v>1</v>
      </c>
      <c r="Y5" s="197">
        <f>SUM(U5:X5)</f>
        <v>3</v>
      </c>
    </row>
    <row r="6" spans="1:26" x14ac:dyDescent="0.25">
      <c r="A6" s="144"/>
      <c r="B6" s="144"/>
      <c r="C6" s="144"/>
      <c r="F6" s="144"/>
      <c r="G6" s="144"/>
      <c r="H6" s="198" t="str">
        <f>E2</f>
        <v>Jordan</v>
      </c>
      <c r="I6" s="199">
        <f>IF(G13=G10,1,0)</f>
        <v>1</v>
      </c>
      <c r="J6" s="199">
        <f>IF(G13=G11,1,0)</f>
        <v>1</v>
      </c>
      <c r="K6" s="199">
        <f>IF(G13=G12,1,0)</f>
        <v>1</v>
      </c>
      <c r="L6" s="212"/>
      <c r="M6" s="200">
        <f>SUM(I6:L6)</f>
        <v>3</v>
      </c>
      <c r="N6" s="198" t="str">
        <f t="shared" si="2"/>
        <v>Jordan</v>
      </c>
      <c r="O6" s="199">
        <f>IF(M13=M10,1,0)</f>
        <v>1</v>
      </c>
      <c r="P6" s="199">
        <f>IF(M13=M11,1,0)</f>
        <v>1</v>
      </c>
      <c r="Q6" s="199">
        <f>IF(M13=M12,1,0)</f>
        <v>1</v>
      </c>
      <c r="R6" s="212"/>
      <c r="S6" s="200">
        <f>SUM(O6:R6)</f>
        <v>3</v>
      </c>
      <c r="T6" s="198" t="str">
        <f t="shared" si="3"/>
        <v>Jordan</v>
      </c>
      <c r="U6" s="199">
        <f>IF(S13=S10,1,0)</f>
        <v>1</v>
      </c>
      <c r="V6" s="199">
        <f>IF(S13=S11,1,0)</f>
        <v>1</v>
      </c>
      <c r="W6" s="199">
        <f>IF(S13=S12,1,0)</f>
        <v>1</v>
      </c>
      <c r="X6" s="212"/>
      <c r="Y6" s="200">
        <f>SUM(U6:X6)</f>
        <v>3</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Argentina</v>
      </c>
      <c r="D9" s="190" t="str">
        <f>C2</f>
        <v>Algeria</v>
      </c>
      <c r="E9" s="190" t="str">
        <f>D2</f>
        <v>Austria</v>
      </c>
      <c r="F9" s="190" t="str">
        <f>E2</f>
        <v>Jordan</v>
      </c>
      <c r="G9" s="191" t="s">
        <v>26</v>
      </c>
      <c r="H9" s="189"/>
      <c r="I9" s="190" t="str">
        <f>C9</f>
        <v>Argentina</v>
      </c>
      <c r="J9" s="190" t="str">
        <f t="shared" ref="J9:L9" si="4">D9</f>
        <v>Algeria</v>
      </c>
      <c r="K9" s="190" t="str">
        <f t="shared" si="4"/>
        <v>Austria</v>
      </c>
      <c r="L9" s="190" t="str">
        <f t="shared" si="4"/>
        <v>Jordan</v>
      </c>
      <c r="M9" s="191" t="s">
        <v>26</v>
      </c>
      <c r="N9" s="189"/>
      <c r="O9" s="190" t="str">
        <f>I9</f>
        <v>Argentina</v>
      </c>
      <c r="P9" s="190" t="str">
        <f t="shared" ref="P9:R9" si="5">J9</f>
        <v>Algeria</v>
      </c>
      <c r="Q9" s="190" t="str">
        <f t="shared" si="5"/>
        <v>Austria</v>
      </c>
      <c r="R9" s="190" t="str">
        <f t="shared" si="5"/>
        <v>Jordan</v>
      </c>
      <c r="S9" s="191" t="s">
        <v>26</v>
      </c>
      <c r="T9" s="189"/>
      <c r="U9" s="190" t="str">
        <f>O9</f>
        <v>Argentina</v>
      </c>
      <c r="V9" s="190" t="str">
        <f t="shared" ref="V9:X9" si="6">P9</f>
        <v>Algeria</v>
      </c>
      <c r="W9" s="190" t="str">
        <f t="shared" si="6"/>
        <v>Austria</v>
      </c>
      <c r="X9" s="190" t="str">
        <f t="shared" si="6"/>
        <v>Jordan</v>
      </c>
      <c r="Y9" s="191" t="s">
        <v>26</v>
      </c>
      <c r="Z9" s="227" t="s">
        <v>309</v>
      </c>
    </row>
    <row r="10" spans="1:26" x14ac:dyDescent="0.25">
      <c r="A10" s="144"/>
      <c r="B10" s="189" t="str">
        <f>B2</f>
        <v>Argentina</v>
      </c>
      <c r="C10" s="204"/>
      <c r="D10" s="190">
        <f>H37</f>
        <v>0</v>
      </c>
      <c r="E10" s="190">
        <f>H39</f>
        <v>0</v>
      </c>
      <c r="F10" s="190">
        <f>I42</f>
        <v>0</v>
      </c>
      <c r="G10" s="191">
        <f>SUM(C10:F10)</f>
        <v>0</v>
      </c>
      <c r="H10" s="189" t="str">
        <f>B10</f>
        <v>Argentina</v>
      </c>
      <c r="I10" s="218">
        <f>C10+I17/100+I24/10000</f>
        <v>0</v>
      </c>
      <c r="J10" s="219">
        <f t="shared" ref="J10:L10" si="7">D10+J17/100+J24/10000</f>
        <v>0</v>
      </c>
      <c r="K10" s="219">
        <f t="shared" si="7"/>
        <v>0</v>
      </c>
      <c r="L10" s="219">
        <f t="shared" si="7"/>
        <v>0</v>
      </c>
      <c r="M10" s="220">
        <f>SUM(I10:L10)</f>
        <v>0</v>
      </c>
      <c r="N10" s="189" t="str">
        <f>H10</f>
        <v>Argentina</v>
      </c>
      <c r="O10" s="218">
        <f>I10+O17/100+O24/10000</f>
        <v>0</v>
      </c>
      <c r="P10" s="219">
        <f t="shared" ref="P10:R13" si="8">J10+P17/100+P24/10000</f>
        <v>0</v>
      </c>
      <c r="Q10" s="219">
        <f t="shared" si="8"/>
        <v>0</v>
      </c>
      <c r="R10" s="219">
        <f t="shared" si="8"/>
        <v>0</v>
      </c>
      <c r="S10" s="220">
        <f>SUM(O10:R10)</f>
        <v>0</v>
      </c>
      <c r="T10" s="189" t="str">
        <f>N10</f>
        <v>Argentina</v>
      </c>
      <c r="U10" s="218">
        <f>O10+U17/100+U24/10000</f>
        <v>0</v>
      </c>
      <c r="V10" s="219">
        <f t="shared" ref="V10:X13" si="9">P10+V17/100+V24/10000</f>
        <v>0</v>
      </c>
      <c r="W10" s="219">
        <f t="shared" si="9"/>
        <v>0</v>
      </c>
      <c r="X10" s="219">
        <f t="shared" si="9"/>
        <v>0</v>
      </c>
      <c r="Y10" s="220">
        <f>ROUND(SUM(U10:X10),8)</f>
        <v>0</v>
      </c>
      <c r="Z10" s="224">
        <f>_xlfn.RANK.EQ(Y10,Y$10:Y$13,1)</f>
        <v>1</v>
      </c>
    </row>
    <row r="11" spans="1:26" x14ac:dyDescent="0.25">
      <c r="A11" s="144"/>
      <c r="B11" s="189" t="str">
        <f>C2</f>
        <v>Algeria</v>
      </c>
      <c r="C11" s="190">
        <f>I37</f>
        <v>0</v>
      </c>
      <c r="D11" s="204"/>
      <c r="E11" s="190">
        <f>H41</f>
        <v>0</v>
      </c>
      <c r="F11" s="190">
        <f>I40</f>
        <v>0</v>
      </c>
      <c r="G11" s="191">
        <f>SUM(C11:F11)</f>
        <v>0</v>
      </c>
      <c r="H11" s="189" t="str">
        <f t="shared" ref="H11:H13" si="10">B11</f>
        <v>Algeria</v>
      </c>
      <c r="I11" s="219">
        <f t="shared" ref="I11:L13" si="11">C11+I18/100+I25/10000</f>
        <v>0</v>
      </c>
      <c r="J11" s="218">
        <f t="shared" si="11"/>
        <v>0</v>
      </c>
      <c r="K11" s="219">
        <f t="shared" si="11"/>
        <v>0</v>
      </c>
      <c r="L11" s="219">
        <f t="shared" si="11"/>
        <v>0</v>
      </c>
      <c r="M11" s="220">
        <f>SUM(I11:L11)</f>
        <v>0</v>
      </c>
      <c r="N11" s="189" t="str">
        <f t="shared" ref="N11:N13" si="12">H11</f>
        <v>Algeria</v>
      </c>
      <c r="O11" s="219">
        <f t="shared" ref="O11:O13" si="13">I11+O18/100+O25/10000</f>
        <v>0</v>
      </c>
      <c r="P11" s="218">
        <f t="shared" si="8"/>
        <v>0</v>
      </c>
      <c r="Q11" s="219">
        <f t="shared" si="8"/>
        <v>0</v>
      </c>
      <c r="R11" s="219">
        <f t="shared" si="8"/>
        <v>0</v>
      </c>
      <c r="S11" s="220">
        <f>SUM(O11:R11)</f>
        <v>0</v>
      </c>
      <c r="T11" s="189" t="str">
        <f t="shared" ref="T11:T13" si="14">N11</f>
        <v>Algeria</v>
      </c>
      <c r="U11" s="219">
        <f t="shared" ref="U11:U13" si="15">O11+U18/100+U25/10000</f>
        <v>0</v>
      </c>
      <c r="V11" s="218">
        <f t="shared" si="9"/>
        <v>0</v>
      </c>
      <c r="W11" s="219">
        <f t="shared" si="9"/>
        <v>0</v>
      </c>
      <c r="X11" s="219">
        <f t="shared" si="9"/>
        <v>0</v>
      </c>
      <c r="Y11" s="220">
        <f t="shared" ref="Y11:Y13" si="16">ROUND(SUM(U11:X11),8)</f>
        <v>0</v>
      </c>
      <c r="Z11" s="224">
        <f t="shared" ref="Z11:Z13" si="17">_xlfn.RANK.EQ(Y11,Y$10:Y$13,1)</f>
        <v>1</v>
      </c>
    </row>
    <row r="12" spans="1:26" x14ac:dyDescent="0.25">
      <c r="A12" s="144"/>
      <c r="B12" s="189" t="str">
        <f>D2</f>
        <v>Austria</v>
      </c>
      <c r="C12" s="190">
        <f>I39</f>
        <v>0</v>
      </c>
      <c r="D12" s="190">
        <f>I41</f>
        <v>0</v>
      </c>
      <c r="E12" s="204"/>
      <c r="F12" s="190">
        <f>H38</f>
        <v>0</v>
      </c>
      <c r="G12" s="191">
        <f>SUM(C12:F12)</f>
        <v>0</v>
      </c>
      <c r="H12" s="189" t="str">
        <f t="shared" si="10"/>
        <v>Austria</v>
      </c>
      <c r="I12" s="219">
        <f t="shared" si="11"/>
        <v>0</v>
      </c>
      <c r="J12" s="219">
        <f t="shared" si="11"/>
        <v>0</v>
      </c>
      <c r="K12" s="218">
        <f t="shared" si="11"/>
        <v>0</v>
      </c>
      <c r="L12" s="219">
        <f t="shared" si="11"/>
        <v>0</v>
      </c>
      <c r="M12" s="220">
        <f>SUM(I12:L12)</f>
        <v>0</v>
      </c>
      <c r="N12" s="189" t="str">
        <f t="shared" si="12"/>
        <v>Austria</v>
      </c>
      <c r="O12" s="219">
        <f t="shared" si="13"/>
        <v>0</v>
      </c>
      <c r="P12" s="219">
        <f t="shared" si="8"/>
        <v>0</v>
      </c>
      <c r="Q12" s="218">
        <f t="shared" si="8"/>
        <v>0</v>
      </c>
      <c r="R12" s="219">
        <f t="shared" si="8"/>
        <v>0</v>
      </c>
      <c r="S12" s="220">
        <f>SUM(O12:R12)</f>
        <v>0</v>
      </c>
      <c r="T12" s="189" t="str">
        <f t="shared" si="14"/>
        <v>Austria</v>
      </c>
      <c r="U12" s="219">
        <f t="shared" si="15"/>
        <v>0</v>
      </c>
      <c r="V12" s="219">
        <f t="shared" si="9"/>
        <v>0</v>
      </c>
      <c r="W12" s="218">
        <f t="shared" si="9"/>
        <v>0</v>
      </c>
      <c r="X12" s="219">
        <f t="shared" si="9"/>
        <v>0</v>
      </c>
      <c r="Y12" s="220">
        <f t="shared" si="16"/>
        <v>0</v>
      </c>
      <c r="Z12" s="224">
        <f t="shared" si="17"/>
        <v>1</v>
      </c>
    </row>
    <row r="13" spans="1:26" x14ac:dyDescent="0.25">
      <c r="A13" s="144"/>
      <c r="B13" s="192" t="str">
        <f>E2</f>
        <v>Jordan</v>
      </c>
      <c r="C13" s="193">
        <f>H42</f>
        <v>0</v>
      </c>
      <c r="D13" s="193">
        <f>H40</f>
        <v>0</v>
      </c>
      <c r="E13" s="193">
        <f>I38</f>
        <v>0</v>
      </c>
      <c r="F13" s="205"/>
      <c r="G13" s="194">
        <f>SUM(C13:F13)</f>
        <v>0</v>
      </c>
      <c r="H13" s="192" t="str">
        <f t="shared" si="10"/>
        <v>Jordan</v>
      </c>
      <c r="I13" s="221">
        <f t="shared" si="11"/>
        <v>0</v>
      </c>
      <c r="J13" s="221">
        <f t="shared" si="11"/>
        <v>0</v>
      </c>
      <c r="K13" s="221">
        <f t="shared" si="11"/>
        <v>0</v>
      </c>
      <c r="L13" s="222">
        <f t="shared" si="11"/>
        <v>0</v>
      </c>
      <c r="M13" s="223">
        <f>SUM(I13:L13)</f>
        <v>0</v>
      </c>
      <c r="N13" s="192" t="str">
        <f t="shared" si="12"/>
        <v>Jordan</v>
      </c>
      <c r="O13" s="221">
        <f t="shared" si="13"/>
        <v>0</v>
      </c>
      <c r="P13" s="221">
        <f t="shared" si="8"/>
        <v>0</v>
      </c>
      <c r="Q13" s="221">
        <f t="shared" si="8"/>
        <v>0</v>
      </c>
      <c r="R13" s="222">
        <f t="shared" si="8"/>
        <v>0</v>
      </c>
      <c r="S13" s="223">
        <f>SUM(O13:R13)</f>
        <v>0</v>
      </c>
      <c r="T13" s="192" t="str">
        <f t="shared" si="14"/>
        <v>Jordan</v>
      </c>
      <c r="U13" s="221">
        <f t="shared" si="15"/>
        <v>0</v>
      </c>
      <c r="V13" s="221">
        <f t="shared" si="9"/>
        <v>0</v>
      </c>
      <c r="W13" s="221">
        <f t="shared" si="9"/>
        <v>0</v>
      </c>
      <c r="X13" s="222">
        <f t="shared" si="9"/>
        <v>0</v>
      </c>
      <c r="Y13" s="223">
        <f t="shared" si="16"/>
        <v>0</v>
      </c>
      <c r="Z13" s="225">
        <f t="shared" si="17"/>
        <v>1</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Argentina</v>
      </c>
      <c r="D16" s="177" t="str">
        <f>C2</f>
        <v>Algeria</v>
      </c>
      <c r="E16" s="177" t="str">
        <f>D2</f>
        <v>Austria</v>
      </c>
      <c r="F16" s="177" t="str">
        <f>E2</f>
        <v>Jordan</v>
      </c>
      <c r="G16" s="178" t="s">
        <v>26</v>
      </c>
      <c r="H16" s="183"/>
      <c r="I16" s="184" t="str">
        <f>C16</f>
        <v>Argentina</v>
      </c>
      <c r="J16" s="184" t="str">
        <f t="shared" ref="J16:L16" si="18">D16</f>
        <v>Algeria</v>
      </c>
      <c r="K16" s="184" t="str">
        <f t="shared" si="18"/>
        <v>Austria</v>
      </c>
      <c r="L16" s="184" t="str">
        <f t="shared" si="18"/>
        <v>Jordan</v>
      </c>
      <c r="M16" s="185" t="s">
        <v>26</v>
      </c>
      <c r="N16" s="183"/>
      <c r="O16" s="184" t="str">
        <f>I16</f>
        <v>Argentina</v>
      </c>
      <c r="P16" s="184" t="str">
        <f t="shared" ref="P16:R16" si="19">J16</f>
        <v>Algeria</v>
      </c>
      <c r="Q16" s="184" t="str">
        <f t="shared" si="19"/>
        <v>Austria</v>
      </c>
      <c r="R16" s="184" t="str">
        <f t="shared" si="19"/>
        <v>Jordan</v>
      </c>
      <c r="S16" s="185" t="s">
        <v>26</v>
      </c>
      <c r="T16" s="183"/>
      <c r="U16" s="184" t="str">
        <f>O16</f>
        <v>Argentina</v>
      </c>
      <c r="V16" s="184" t="str">
        <f t="shared" ref="V16:X16" si="20">P16</f>
        <v>Algeria</v>
      </c>
      <c r="W16" s="184" t="str">
        <f t="shared" si="20"/>
        <v>Austria</v>
      </c>
      <c r="X16" s="184" t="str">
        <f t="shared" si="20"/>
        <v>Jordan</v>
      </c>
      <c r="Y16" s="185" t="s">
        <v>26</v>
      </c>
    </row>
    <row r="17" spans="1:25" x14ac:dyDescent="0.25">
      <c r="A17" s="144"/>
      <c r="B17" s="176" t="str">
        <f>B2</f>
        <v>Argentina</v>
      </c>
      <c r="C17" s="206"/>
      <c r="D17" s="179">
        <f>IFERROR(F37-G37,0)</f>
        <v>0</v>
      </c>
      <c r="E17" s="179">
        <f>IFERROR(F39-G39,0)</f>
        <v>0</v>
      </c>
      <c r="F17" s="179">
        <f>IFERROR(G42-F42,0)</f>
        <v>0</v>
      </c>
      <c r="G17" s="178">
        <f>SUM(C17:F17)</f>
        <v>0</v>
      </c>
      <c r="H17" s="183" t="str">
        <f>B17</f>
        <v>Argentina</v>
      </c>
      <c r="I17" s="208"/>
      <c r="J17" s="184">
        <f>D17*J3</f>
        <v>0</v>
      </c>
      <c r="K17" s="184">
        <f>E17*K3</f>
        <v>0</v>
      </c>
      <c r="L17" s="184">
        <f>F17*L3</f>
        <v>0</v>
      </c>
      <c r="M17" s="185">
        <f>SUM(I17:L17)</f>
        <v>0</v>
      </c>
      <c r="N17" s="183" t="str">
        <f>H17</f>
        <v>Argentina</v>
      </c>
      <c r="O17" s="208"/>
      <c r="P17" s="184">
        <f>J17*P3</f>
        <v>0</v>
      </c>
      <c r="Q17" s="184">
        <f>K17*Q3</f>
        <v>0</v>
      </c>
      <c r="R17" s="184">
        <f>L17*R3</f>
        <v>0</v>
      </c>
      <c r="S17" s="185">
        <f>SUM(O17:R17)</f>
        <v>0</v>
      </c>
      <c r="T17" s="183" t="str">
        <f>N17</f>
        <v>Argentina</v>
      </c>
      <c r="U17" s="208"/>
      <c r="V17" s="184">
        <f>P17*V3</f>
        <v>0</v>
      </c>
      <c r="W17" s="184">
        <f>Q17*W3</f>
        <v>0</v>
      </c>
      <c r="X17" s="184">
        <f>R17*X3</f>
        <v>0</v>
      </c>
      <c r="Y17" s="185">
        <f>SUM(U17:X17)</f>
        <v>0</v>
      </c>
    </row>
    <row r="18" spans="1:25" x14ac:dyDescent="0.25">
      <c r="A18" s="144"/>
      <c r="B18" s="176" t="str">
        <f>C2</f>
        <v>Algeria</v>
      </c>
      <c r="C18" s="179">
        <f>IFERROR(G37-F37,0)</f>
        <v>0</v>
      </c>
      <c r="D18" s="206"/>
      <c r="E18" s="179">
        <f>IFERROR(F41-G41,0)</f>
        <v>0</v>
      </c>
      <c r="F18" s="179">
        <f>IFERROR(G40-F40,0)</f>
        <v>0</v>
      </c>
      <c r="G18" s="178">
        <f>SUM(C18:F18)</f>
        <v>0</v>
      </c>
      <c r="H18" s="183" t="str">
        <f t="shared" ref="H18:H20" si="21">B18</f>
        <v>Algeria</v>
      </c>
      <c r="I18" s="184">
        <f>C18*I4</f>
        <v>0</v>
      </c>
      <c r="J18" s="208"/>
      <c r="K18" s="184">
        <f>E18*K4</f>
        <v>0</v>
      </c>
      <c r="L18" s="184">
        <f>F18*L4</f>
        <v>0</v>
      </c>
      <c r="M18" s="185">
        <f>SUM(I18:L18)</f>
        <v>0</v>
      </c>
      <c r="N18" s="183" t="str">
        <f t="shared" ref="N18:N20" si="22">H18</f>
        <v>Algeria</v>
      </c>
      <c r="O18" s="184">
        <f>I18*O4</f>
        <v>0</v>
      </c>
      <c r="P18" s="208"/>
      <c r="Q18" s="184">
        <f>K18*Q4</f>
        <v>0</v>
      </c>
      <c r="R18" s="184">
        <f>L18*R4</f>
        <v>0</v>
      </c>
      <c r="S18" s="185">
        <f>SUM(O18:R18)</f>
        <v>0</v>
      </c>
      <c r="T18" s="183" t="str">
        <f t="shared" ref="T18:T20" si="23">N18</f>
        <v>Algeria</v>
      </c>
      <c r="U18" s="184">
        <f>O18*U4</f>
        <v>0</v>
      </c>
      <c r="V18" s="208"/>
      <c r="W18" s="184">
        <f>Q18*W4</f>
        <v>0</v>
      </c>
      <c r="X18" s="184">
        <f>R18*X4</f>
        <v>0</v>
      </c>
      <c r="Y18" s="185">
        <f>SUM(U18:X18)</f>
        <v>0</v>
      </c>
    </row>
    <row r="19" spans="1:25" x14ac:dyDescent="0.25">
      <c r="A19" s="144"/>
      <c r="B19" s="176" t="str">
        <f>D2</f>
        <v>Austria</v>
      </c>
      <c r="C19" s="179">
        <f>IFERROR(G39-F39,0)</f>
        <v>0</v>
      </c>
      <c r="D19" s="179">
        <f>IFERROR(G41-F41,0)</f>
        <v>0</v>
      </c>
      <c r="E19" s="206"/>
      <c r="F19" s="179">
        <f>IFERROR(F38-G38,0)</f>
        <v>0</v>
      </c>
      <c r="G19" s="178">
        <f>SUM(C19:F19)</f>
        <v>0</v>
      </c>
      <c r="H19" s="183" t="str">
        <f t="shared" si="21"/>
        <v>Austria</v>
      </c>
      <c r="I19" s="184">
        <f>C19*I5</f>
        <v>0</v>
      </c>
      <c r="J19" s="184">
        <f>D19*J5</f>
        <v>0</v>
      </c>
      <c r="K19" s="208"/>
      <c r="L19" s="184">
        <f>F19*L5</f>
        <v>0</v>
      </c>
      <c r="M19" s="185">
        <f>SUM(I19:L19)</f>
        <v>0</v>
      </c>
      <c r="N19" s="183" t="str">
        <f t="shared" si="22"/>
        <v>Austria</v>
      </c>
      <c r="O19" s="184">
        <f>I19*O5</f>
        <v>0</v>
      </c>
      <c r="P19" s="184">
        <f>J19*P5</f>
        <v>0</v>
      </c>
      <c r="Q19" s="208"/>
      <c r="R19" s="184">
        <f>L19*R5</f>
        <v>0</v>
      </c>
      <c r="S19" s="185">
        <f>SUM(O19:R19)</f>
        <v>0</v>
      </c>
      <c r="T19" s="183" t="str">
        <f t="shared" si="23"/>
        <v>Austria</v>
      </c>
      <c r="U19" s="184">
        <f>O19*U5</f>
        <v>0</v>
      </c>
      <c r="V19" s="184">
        <f>P19*V5</f>
        <v>0</v>
      </c>
      <c r="W19" s="208"/>
      <c r="X19" s="184">
        <f>R19*X5</f>
        <v>0</v>
      </c>
      <c r="Y19" s="185">
        <f>SUM(U19:X19)</f>
        <v>0</v>
      </c>
    </row>
    <row r="20" spans="1:25" x14ac:dyDescent="0.25">
      <c r="A20" s="144"/>
      <c r="B20" s="180" t="str">
        <f>E2</f>
        <v>Jordan</v>
      </c>
      <c r="C20" s="181">
        <f>IFERROR(F42-G42,0)</f>
        <v>0</v>
      </c>
      <c r="D20" s="181">
        <f>IFERROR(F40-G40,0)</f>
        <v>0</v>
      </c>
      <c r="E20" s="181">
        <f>IFERROR(G38-F38,0)</f>
        <v>0</v>
      </c>
      <c r="F20" s="207"/>
      <c r="G20" s="182">
        <f>SUM(C20:F20)</f>
        <v>0</v>
      </c>
      <c r="H20" s="186" t="str">
        <f t="shared" si="21"/>
        <v>Jordan</v>
      </c>
      <c r="I20" s="187">
        <f>C20*I6</f>
        <v>0</v>
      </c>
      <c r="J20" s="187">
        <f>D20*J6</f>
        <v>0</v>
      </c>
      <c r="K20" s="187">
        <f>E20*K6</f>
        <v>0</v>
      </c>
      <c r="L20" s="213"/>
      <c r="M20" s="188">
        <f>SUM(I20:L20)</f>
        <v>0</v>
      </c>
      <c r="N20" s="186" t="str">
        <f t="shared" si="22"/>
        <v>Jordan</v>
      </c>
      <c r="O20" s="187">
        <f>I20*O6</f>
        <v>0</v>
      </c>
      <c r="P20" s="187">
        <f>J20*P6</f>
        <v>0</v>
      </c>
      <c r="Q20" s="187">
        <f>K20*Q6</f>
        <v>0</v>
      </c>
      <c r="R20" s="213"/>
      <c r="S20" s="188">
        <f>SUM(O20:R20)</f>
        <v>0</v>
      </c>
      <c r="T20" s="186" t="str">
        <f t="shared" si="23"/>
        <v>Jordan</v>
      </c>
      <c r="U20" s="187">
        <f>O20*U6</f>
        <v>0</v>
      </c>
      <c r="V20" s="187">
        <f>P20*V6</f>
        <v>0</v>
      </c>
      <c r="W20" s="187">
        <f>Q20*W6</f>
        <v>0</v>
      </c>
      <c r="X20" s="213"/>
      <c r="Y20" s="188">
        <f>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Argentina</v>
      </c>
      <c r="D23" s="164" t="str">
        <f>C2</f>
        <v>Algeria</v>
      </c>
      <c r="E23" s="164" t="str">
        <f>D2</f>
        <v>Austria</v>
      </c>
      <c r="F23" s="164" t="str">
        <f>E2</f>
        <v>Jordan</v>
      </c>
      <c r="G23" s="165" t="s">
        <v>26</v>
      </c>
      <c r="H23" s="169"/>
      <c r="I23" s="170" t="str">
        <f>C23</f>
        <v>Argentina</v>
      </c>
      <c r="J23" s="170" t="str">
        <f t="shared" ref="J23:L23" si="24">D23</f>
        <v>Algeria</v>
      </c>
      <c r="K23" s="170" t="str">
        <f t="shared" si="24"/>
        <v>Austria</v>
      </c>
      <c r="L23" s="170" t="str">
        <f t="shared" si="24"/>
        <v>Jordan</v>
      </c>
      <c r="M23" s="171" t="s">
        <v>26</v>
      </c>
      <c r="N23" s="169"/>
      <c r="O23" s="170" t="str">
        <f>I23</f>
        <v>Argentina</v>
      </c>
      <c r="P23" s="170" t="str">
        <f t="shared" ref="P23:R23" si="25">J23</f>
        <v>Algeria</v>
      </c>
      <c r="Q23" s="170" t="str">
        <f t="shared" si="25"/>
        <v>Austria</v>
      </c>
      <c r="R23" s="170" t="str">
        <f t="shared" si="25"/>
        <v>Jordan</v>
      </c>
      <c r="S23" s="171" t="s">
        <v>26</v>
      </c>
      <c r="T23" s="169"/>
      <c r="U23" s="170" t="str">
        <f>O23</f>
        <v>Argentina</v>
      </c>
      <c r="V23" s="170" t="str">
        <f t="shared" ref="V23:X23" si="26">P23</f>
        <v>Algeria</v>
      </c>
      <c r="W23" s="170" t="str">
        <f t="shared" si="26"/>
        <v>Austria</v>
      </c>
      <c r="X23" s="170" t="str">
        <f t="shared" si="26"/>
        <v>Jordan</v>
      </c>
      <c r="Y23" s="171" t="s">
        <v>26</v>
      </c>
    </row>
    <row r="24" spans="1:25" x14ac:dyDescent="0.25">
      <c r="A24" s="143"/>
      <c r="B24" s="163" t="str">
        <f>B2</f>
        <v>Argentina</v>
      </c>
      <c r="C24" s="209"/>
      <c r="D24" s="164">
        <f>IF(F37="",0,F37)</f>
        <v>0</v>
      </c>
      <c r="E24" s="164">
        <f>IF(F39="",0,F39)</f>
        <v>0</v>
      </c>
      <c r="F24" s="164">
        <f>IF(G42="",0,G42)</f>
        <v>0</v>
      </c>
      <c r="G24" s="165">
        <f>SUM(C24:F24)</f>
        <v>0</v>
      </c>
      <c r="H24" s="169" t="str">
        <f>B24</f>
        <v>Argentina</v>
      </c>
      <c r="I24" s="214"/>
      <c r="J24" s="170">
        <f>D24*J3</f>
        <v>0</v>
      </c>
      <c r="K24" s="170">
        <f>E24*K3</f>
        <v>0</v>
      </c>
      <c r="L24" s="170">
        <f>F24*L3</f>
        <v>0</v>
      </c>
      <c r="M24" s="171">
        <f>SUM(I24:L24)</f>
        <v>0</v>
      </c>
      <c r="N24" s="169" t="str">
        <f>H24</f>
        <v>Argentina</v>
      </c>
      <c r="O24" s="214"/>
      <c r="P24" s="170">
        <f>J24*P3</f>
        <v>0</v>
      </c>
      <c r="Q24" s="170">
        <f>K24*Q3</f>
        <v>0</v>
      </c>
      <c r="R24" s="170">
        <f>L24*R3</f>
        <v>0</v>
      </c>
      <c r="S24" s="171">
        <f>SUM(O24:R24)</f>
        <v>0</v>
      </c>
      <c r="T24" s="169" t="str">
        <f>N24</f>
        <v>Argentina</v>
      </c>
      <c r="U24" s="214"/>
      <c r="V24" s="170">
        <f>P24*V3</f>
        <v>0</v>
      </c>
      <c r="W24" s="170">
        <f>Q24*W3</f>
        <v>0</v>
      </c>
      <c r="X24" s="170">
        <f>R24*X3</f>
        <v>0</v>
      </c>
      <c r="Y24" s="171">
        <f>SUM(U24:X24)</f>
        <v>0</v>
      </c>
    </row>
    <row r="25" spans="1:25" x14ac:dyDescent="0.25">
      <c r="A25" s="143"/>
      <c r="B25" s="163" t="str">
        <f>C2</f>
        <v>Algeria</v>
      </c>
      <c r="C25" s="164">
        <f>IF(G37="",0,G37)</f>
        <v>0</v>
      </c>
      <c r="D25" s="209"/>
      <c r="E25" s="164">
        <f>IF(F41="",0,F41)</f>
        <v>0</v>
      </c>
      <c r="F25" s="164">
        <f>IF(G40="",0,G40)</f>
        <v>0</v>
      </c>
      <c r="G25" s="165">
        <f>SUM(C25:F25)</f>
        <v>0</v>
      </c>
      <c r="H25" s="169" t="str">
        <f t="shared" ref="H25:H27" si="27">B25</f>
        <v>Algeria</v>
      </c>
      <c r="I25" s="170">
        <f>C25*I4</f>
        <v>0</v>
      </c>
      <c r="J25" s="214"/>
      <c r="K25" s="170">
        <f>E25*K4</f>
        <v>0</v>
      </c>
      <c r="L25" s="170">
        <f>F25*L4</f>
        <v>0</v>
      </c>
      <c r="M25" s="171">
        <f>SUM(I25:L25)</f>
        <v>0</v>
      </c>
      <c r="N25" s="169" t="str">
        <f t="shared" ref="N25:N27" si="28">H25</f>
        <v>Algeria</v>
      </c>
      <c r="O25" s="170">
        <f>I25*O4</f>
        <v>0</v>
      </c>
      <c r="P25" s="214"/>
      <c r="Q25" s="170">
        <f>K25*Q4</f>
        <v>0</v>
      </c>
      <c r="R25" s="170">
        <f>L25*R4</f>
        <v>0</v>
      </c>
      <c r="S25" s="171">
        <f>SUM(O25:R25)</f>
        <v>0</v>
      </c>
      <c r="T25" s="169" t="str">
        <f t="shared" ref="T25:T27" si="29">N25</f>
        <v>Algeria</v>
      </c>
      <c r="U25" s="170">
        <f>O25*U4</f>
        <v>0</v>
      </c>
      <c r="V25" s="214"/>
      <c r="W25" s="170">
        <f>Q25*W4</f>
        <v>0</v>
      </c>
      <c r="X25" s="170">
        <f>R25*X4</f>
        <v>0</v>
      </c>
      <c r="Y25" s="171">
        <f>SUM(U25:X25)</f>
        <v>0</v>
      </c>
    </row>
    <row r="26" spans="1:25" x14ac:dyDescent="0.25">
      <c r="A26" s="143"/>
      <c r="B26" s="163" t="str">
        <f>D2</f>
        <v>Austria</v>
      </c>
      <c r="C26" s="164">
        <f>IF(G39="",0,G39)</f>
        <v>0</v>
      </c>
      <c r="D26" s="164">
        <f>IF(G41="",0,G41)</f>
        <v>0</v>
      </c>
      <c r="E26" s="209"/>
      <c r="F26" s="164">
        <f>IF(F38="",0,F38)</f>
        <v>0</v>
      </c>
      <c r="G26" s="165">
        <f>SUM(C26:F26)</f>
        <v>0</v>
      </c>
      <c r="H26" s="169" t="str">
        <f t="shared" si="27"/>
        <v>Austria</v>
      </c>
      <c r="I26" s="170">
        <f>C26*I5</f>
        <v>0</v>
      </c>
      <c r="J26" s="170">
        <f>D26*J5</f>
        <v>0</v>
      </c>
      <c r="K26" s="214"/>
      <c r="L26" s="170">
        <f>F26*L5</f>
        <v>0</v>
      </c>
      <c r="M26" s="171">
        <f>SUM(I26:L26)</f>
        <v>0</v>
      </c>
      <c r="N26" s="169" t="str">
        <f t="shared" si="28"/>
        <v>Austria</v>
      </c>
      <c r="O26" s="170">
        <f>I26*O5</f>
        <v>0</v>
      </c>
      <c r="P26" s="170">
        <f>J26*P5</f>
        <v>0</v>
      </c>
      <c r="Q26" s="214"/>
      <c r="R26" s="170">
        <f>L26*R5</f>
        <v>0</v>
      </c>
      <c r="S26" s="171">
        <f>SUM(O26:R26)</f>
        <v>0</v>
      </c>
      <c r="T26" s="169" t="str">
        <f t="shared" si="29"/>
        <v>Austria</v>
      </c>
      <c r="U26" s="170">
        <f>O26*U5</f>
        <v>0</v>
      </c>
      <c r="V26" s="170">
        <f>P26*V5</f>
        <v>0</v>
      </c>
      <c r="W26" s="214"/>
      <c r="X26" s="170">
        <f>R26*X5</f>
        <v>0</v>
      </c>
      <c r="Y26" s="171">
        <f>SUM(U26:X26)</f>
        <v>0</v>
      </c>
    </row>
    <row r="27" spans="1:25" x14ac:dyDescent="0.25">
      <c r="A27" s="143"/>
      <c r="B27" s="166" t="str">
        <f>E2</f>
        <v>Jordan</v>
      </c>
      <c r="C27" s="167">
        <f>IF(F42="",0,F42)</f>
        <v>0</v>
      </c>
      <c r="D27" s="167">
        <f>IF(F40="",0,F40)</f>
        <v>0</v>
      </c>
      <c r="E27" s="167">
        <f>IF(G38="",0,G38)</f>
        <v>0</v>
      </c>
      <c r="F27" s="210"/>
      <c r="G27" s="168">
        <f>SUM(C27:F27)</f>
        <v>0</v>
      </c>
      <c r="H27" s="172" t="str">
        <f t="shared" si="27"/>
        <v>Jordan</v>
      </c>
      <c r="I27" s="173">
        <f>C27*I6</f>
        <v>0</v>
      </c>
      <c r="J27" s="173">
        <f>D27*J6</f>
        <v>0</v>
      </c>
      <c r="K27" s="173">
        <f>E27*K6</f>
        <v>0</v>
      </c>
      <c r="L27" s="215"/>
      <c r="M27" s="174">
        <f>SUM(I27:L27)</f>
        <v>0</v>
      </c>
      <c r="N27" s="172" t="str">
        <f t="shared" si="28"/>
        <v>Jordan</v>
      </c>
      <c r="O27" s="173">
        <f>I27*O6</f>
        <v>0</v>
      </c>
      <c r="P27" s="173">
        <f>J27*P6</f>
        <v>0</v>
      </c>
      <c r="Q27" s="173">
        <f>K27*Q6</f>
        <v>0</v>
      </c>
      <c r="R27" s="215"/>
      <c r="S27" s="174">
        <f>SUM(O27:R27)</f>
        <v>0</v>
      </c>
      <c r="T27" s="172" t="str">
        <f t="shared" si="29"/>
        <v>Jordan</v>
      </c>
      <c r="U27" s="173">
        <f>O27*U6</f>
        <v>0</v>
      </c>
      <c r="V27" s="173">
        <f>P27*V6</f>
        <v>0</v>
      </c>
      <c r="W27" s="173">
        <f>Q27*W6</f>
        <v>0</v>
      </c>
      <c r="X27" s="215"/>
      <c r="Y27" s="174">
        <f>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232" t="s">
        <v>631</v>
      </c>
      <c r="E29" s="232" t="s">
        <v>632</v>
      </c>
      <c r="F29" s="232" t="s">
        <v>633</v>
      </c>
      <c r="G29" s="232" t="s">
        <v>676</v>
      </c>
      <c r="H29" s="232" t="s">
        <v>411</v>
      </c>
      <c r="I29" s="232" t="s">
        <v>661</v>
      </c>
      <c r="J29" s="232" t="s">
        <v>634</v>
      </c>
      <c r="K29" s="233" t="s">
        <v>635</v>
      </c>
    </row>
    <row r="30" spans="1:25" x14ac:dyDescent="0.25">
      <c r="A30" s="234">
        <f>K30</f>
        <v>1</v>
      </c>
      <c r="B30" s="235" t="str">
        <f>B2</f>
        <v>Argentina</v>
      </c>
      <c r="C30" s="236">
        <f>VLOOKUP($B30,Lookup10,3,FALSE)</f>
        <v>0</v>
      </c>
      <c r="D30" s="236">
        <f>VLOOKUP($B30,Lookup10,7,FALSE)</f>
        <v>0</v>
      </c>
      <c r="E30" s="236">
        <f>VLOOKUP($B30,Lookup10,8,FALSE)</f>
        <v>0</v>
      </c>
      <c r="F30" s="236">
        <f>VLOOKUP($B30,Lookup10,9,FALSE)</f>
        <v>0</v>
      </c>
      <c r="G30" s="237">
        <f>Z10</f>
        <v>1</v>
      </c>
      <c r="H30" s="236">
        <f>VLOOKUP($B30,Lookup10,11,FALSE)</f>
        <v>0</v>
      </c>
      <c r="I30" s="236">
        <f>VLOOKUP($B30,Lookup11,2,FALSE)</f>
        <v>1</v>
      </c>
      <c r="J30" s="238">
        <f>ROUND(D30*D$34+F30*F$34+G30*G$34-H30*H$34-I30*I$34,8)</f>
        <v>9999.9999000000007</v>
      </c>
      <c r="K30" s="239">
        <f>RANK(J30,J$30:J$33,0)</f>
        <v>1</v>
      </c>
    </row>
    <row r="31" spans="1:25" x14ac:dyDescent="0.25">
      <c r="A31" s="234">
        <f t="shared" ref="A31:A33" si="30">K31</f>
        <v>3</v>
      </c>
      <c r="B31" s="235" t="str">
        <f>C2</f>
        <v>Algeria</v>
      </c>
      <c r="C31" s="236">
        <f>VLOOKUP($B31,Lookup10,3,FALSE)</f>
        <v>0</v>
      </c>
      <c r="D31" s="236">
        <f>VLOOKUP($B31,Lookup10,7,FALSE)</f>
        <v>0</v>
      </c>
      <c r="E31" s="236">
        <f>VLOOKUP($B31,Lookup10,8,FALSE)</f>
        <v>0</v>
      </c>
      <c r="F31" s="236">
        <f>VLOOKUP($B31,Lookup10,9,FALSE)</f>
        <v>0</v>
      </c>
      <c r="G31" s="237">
        <f t="shared" ref="G31:G33" si="31">Z11</f>
        <v>1</v>
      </c>
      <c r="H31" s="236">
        <f>VLOOKUP($B31,Lookup10,11,FALSE)</f>
        <v>0</v>
      </c>
      <c r="I31" s="236">
        <f>VLOOKUP($B31,Lookup11,2,FALSE)</f>
        <v>25</v>
      </c>
      <c r="J31" s="238">
        <f t="shared" ref="J31:J33" si="32">ROUND(D31*D$34+F31*F$34+G31*G$34-H31*H$34-I31*I$34,8)</f>
        <v>9999.9974999999995</v>
      </c>
      <c r="K31" s="239">
        <f>RANK(J31,J$30:J$33,0)</f>
        <v>3</v>
      </c>
    </row>
    <row r="32" spans="1:25" x14ac:dyDescent="0.25">
      <c r="A32" s="234">
        <f t="shared" si="30"/>
        <v>2</v>
      </c>
      <c r="B32" s="235" t="str">
        <f>D2</f>
        <v>Austria</v>
      </c>
      <c r="C32" s="236">
        <f>VLOOKUP($B32,Lookup10,3,FALSE)</f>
        <v>0</v>
      </c>
      <c r="D32" s="236">
        <f>VLOOKUP($B32,Lookup10,7,FALSE)</f>
        <v>0</v>
      </c>
      <c r="E32" s="236">
        <f>VLOOKUP($B32,Lookup10,8,FALSE)</f>
        <v>0</v>
      </c>
      <c r="F32" s="236">
        <f>VLOOKUP($B32,Lookup10,9,FALSE)</f>
        <v>0</v>
      </c>
      <c r="G32" s="237">
        <f t="shared" si="31"/>
        <v>1</v>
      </c>
      <c r="H32" s="236">
        <f>VLOOKUP($B32,Lookup10,11,FALSE)</f>
        <v>0</v>
      </c>
      <c r="I32" s="236">
        <f>VLOOKUP($B32,Lookup11,2,FALSE)</f>
        <v>22</v>
      </c>
      <c r="J32" s="238">
        <f t="shared" si="32"/>
        <v>9999.9977999999992</v>
      </c>
      <c r="K32" s="239">
        <f>RANK(J32,J$30:J$33,0)</f>
        <v>2</v>
      </c>
    </row>
    <row r="33" spans="1:16" x14ac:dyDescent="0.25">
      <c r="A33" s="234">
        <f t="shared" si="30"/>
        <v>4</v>
      </c>
      <c r="B33" s="235" t="str">
        <f>E2</f>
        <v>Jordan</v>
      </c>
      <c r="C33" s="236">
        <f>VLOOKUP($B33,Lookup10,3,FALSE)</f>
        <v>0</v>
      </c>
      <c r="D33" s="236">
        <f>VLOOKUP($B33,Lookup10,7,FALSE)</f>
        <v>0</v>
      </c>
      <c r="E33" s="236">
        <f>VLOOKUP($B33,Lookup10,8,FALSE)</f>
        <v>0</v>
      </c>
      <c r="F33" s="236">
        <f>VLOOKUP($B33,Lookup10,9,FALSE)</f>
        <v>0</v>
      </c>
      <c r="G33" s="237">
        <f t="shared" si="31"/>
        <v>1</v>
      </c>
      <c r="H33" s="236">
        <f>VLOOKUP($B33,Lookup10,11,FALSE)</f>
        <v>0</v>
      </c>
      <c r="I33" s="236">
        <f>VLOOKUP($B33,Lookup11,2,FALSE)</f>
        <v>42</v>
      </c>
      <c r="J33" s="238">
        <f t="shared" si="32"/>
        <v>9999.9958000000006</v>
      </c>
      <c r="K33" s="239">
        <f>RANK(J33,J$30:J$33,0)</f>
        <v>4</v>
      </c>
    </row>
    <row r="34" spans="1:16" x14ac:dyDescent="0.25">
      <c r="A34" s="240"/>
      <c r="B34" s="241" t="s">
        <v>636</v>
      </c>
      <c r="C34" s="242">
        <f>SUM(C30:C33)</f>
        <v>0</v>
      </c>
      <c r="D34" s="205">
        <v>1</v>
      </c>
      <c r="E34" s="205"/>
      <c r="F34" s="205">
        <v>100</v>
      </c>
      <c r="G34" s="205">
        <v>10000</v>
      </c>
      <c r="H34" s="205">
        <v>0.01</v>
      </c>
      <c r="I34" s="205">
        <v>1E-4</v>
      </c>
      <c r="J34" s="242"/>
      <c r="K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ArgentinaAlgeria</v>
      </c>
      <c r="B37" s="158" t="str">
        <f>B1&amp;C1</f>
        <v>J1J2</v>
      </c>
      <c r="C37" s="158">
        <f>IF(Data!Q66="",0,1)</f>
        <v>0</v>
      </c>
      <c r="D37" s="150" t="str">
        <f>B2</f>
        <v>Argentina</v>
      </c>
      <c r="E37" s="150" t="str">
        <f>C2</f>
        <v>Algeria</v>
      </c>
      <c r="F37" s="158" t="str">
        <f t="shared" ref="F37:F42" si="33">VLOOKUP($B37,Lookup12,2,FALSE)</f>
        <v/>
      </c>
      <c r="G37" s="158" t="str">
        <f t="shared" ref="G37:G42" si="34">VLOOKUP($B37,Lookup12,3,FALSE)</f>
        <v/>
      </c>
      <c r="H37" s="158">
        <f t="shared" ref="H37:H42" si="35">IF(C37=0,0,IF(F37&lt;G37,Lpts,IF(F37&gt;G37,Wpts,Dpts)))</f>
        <v>0</v>
      </c>
      <c r="I37" s="158">
        <f t="shared" ref="I37:I42" si="36">IF(C37=0,0,IF(G37&lt;F37,Lpts,IF(G37&gt;F37,Wpts,Dpts)))</f>
        <v>0</v>
      </c>
      <c r="J37" s="158" t="str">
        <f t="shared" ref="J37:J42" si="37">VLOOKUP($B37,Lookup12,4,FALSE)</f>
        <v/>
      </c>
      <c r="K37" s="158" t="str">
        <f t="shared" ref="K37:K42" si="38">VLOOKUP($B37,Lookup12,5,FALSE)</f>
        <v/>
      </c>
      <c r="L37" s="143"/>
      <c r="M37" s="143"/>
      <c r="N37" s="143"/>
      <c r="O37" s="143"/>
      <c r="P37" s="143"/>
    </row>
    <row r="38" spans="1:16" x14ac:dyDescent="0.25">
      <c r="A38" s="149" t="str">
        <f>D2&amp;E2</f>
        <v>AustriaJordan</v>
      </c>
      <c r="B38" s="158" t="str">
        <f>D1&amp;E1</f>
        <v>J3J4</v>
      </c>
      <c r="C38" s="158">
        <f>IF(Data!Q67="",0,1)</f>
        <v>0</v>
      </c>
      <c r="D38" s="150" t="str">
        <f>D2</f>
        <v>Austria</v>
      </c>
      <c r="E38" s="150" t="str">
        <f>E2</f>
        <v>Jordan</v>
      </c>
      <c r="F38" s="158" t="str">
        <f t="shared" si="33"/>
        <v/>
      </c>
      <c r="G38" s="158" t="str">
        <f t="shared" si="34"/>
        <v/>
      </c>
      <c r="H38" s="158">
        <f t="shared" si="35"/>
        <v>0</v>
      </c>
      <c r="I38" s="158">
        <f t="shared" si="36"/>
        <v>0</v>
      </c>
      <c r="J38" s="158" t="str">
        <f t="shared" si="37"/>
        <v/>
      </c>
      <c r="K38" s="158" t="str">
        <f t="shared" si="38"/>
        <v/>
      </c>
      <c r="L38" s="143"/>
      <c r="M38" s="143"/>
      <c r="N38" s="143"/>
      <c r="O38" s="143"/>
      <c r="P38" s="143"/>
    </row>
    <row r="39" spans="1:16" x14ac:dyDescent="0.25">
      <c r="A39" s="149" t="str">
        <f>B2&amp;D2</f>
        <v>ArgentinaAustria</v>
      </c>
      <c r="B39" s="158" t="str">
        <f>B1&amp;D1</f>
        <v>J1J3</v>
      </c>
      <c r="C39" s="158">
        <f>IF(Data!Q68="",0,1)</f>
        <v>0</v>
      </c>
      <c r="D39" s="150" t="str">
        <f>B2</f>
        <v>Argentina</v>
      </c>
      <c r="E39" s="150" t="str">
        <f>D2</f>
        <v>Austria</v>
      </c>
      <c r="F39" s="158" t="str">
        <f t="shared" si="33"/>
        <v/>
      </c>
      <c r="G39" s="158" t="str">
        <f t="shared" si="34"/>
        <v/>
      </c>
      <c r="H39" s="158">
        <f t="shared" si="35"/>
        <v>0</v>
      </c>
      <c r="I39" s="158">
        <f t="shared" si="36"/>
        <v>0</v>
      </c>
      <c r="J39" s="158" t="str">
        <f t="shared" si="37"/>
        <v/>
      </c>
      <c r="K39" s="158" t="str">
        <f t="shared" si="38"/>
        <v/>
      </c>
      <c r="L39" s="143"/>
      <c r="M39" s="143"/>
      <c r="N39" s="143"/>
      <c r="O39" s="143"/>
      <c r="P39" s="143"/>
    </row>
    <row r="40" spans="1:16" x14ac:dyDescent="0.25">
      <c r="A40" s="149" t="str">
        <f>E2&amp;C2</f>
        <v>JordanAlgeria</v>
      </c>
      <c r="B40" s="158" t="str">
        <f>E1&amp;C1</f>
        <v>J4J2</v>
      </c>
      <c r="C40" s="158">
        <f>IF(Data!Q69="",0,1)</f>
        <v>0</v>
      </c>
      <c r="D40" s="150" t="str">
        <f>E2</f>
        <v>Jordan</v>
      </c>
      <c r="E40" s="150" t="str">
        <f>C2</f>
        <v>Algeria</v>
      </c>
      <c r="F40" s="158" t="str">
        <f t="shared" si="33"/>
        <v/>
      </c>
      <c r="G40" s="158" t="str">
        <f t="shared" si="34"/>
        <v/>
      </c>
      <c r="H40" s="158">
        <f t="shared" si="35"/>
        <v>0</v>
      </c>
      <c r="I40" s="158">
        <f t="shared" si="36"/>
        <v>0</v>
      </c>
      <c r="J40" s="158" t="str">
        <f t="shared" si="37"/>
        <v/>
      </c>
      <c r="K40" s="158" t="str">
        <f t="shared" si="38"/>
        <v/>
      </c>
      <c r="L40" s="143"/>
      <c r="M40" s="143"/>
      <c r="N40" s="143"/>
      <c r="O40" s="143"/>
      <c r="P40" s="143"/>
    </row>
    <row r="41" spans="1:16" x14ac:dyDescent="0.25">
      <c r="A41" s="149" t="str">
        <f>C2&amp;D2</f>
        <v>AlgeriaAustria</v>
      </c>
      <c r="B41" s="158" t="str">
        <f>C1&amp;D1</f>
        <v>J2J3</v>
      </c>
      <c r="C41" s="158">
        <f>IF(Data!Q70="",0,1)</f>
        <v>0</v>
      </c>
      <c r="D41" s="150" t="str">
        <f>C2</f>
        <v>Algeria</v>
      </c>
      <c r="E41" s="150" t="str">
        <f>D2</f>
        <v>Austria</v>
      </c>
      <c r="F41" s="158" t="str">
        <f t="shared" si="33"/>
        <v/>
      </c>
      <c r="G41" s="158" t="str">
        <f t="shared" si="34"/>
        <v/>
      </c>
      <c r="H41" s="158">
        <f t="shared" si="35"/>
        <v>0</v>
      </c>
      <c r="I41" s="158">
        <f t="shared" si="36"/>
        <v>0</v>
      </c>
      <c r="J41" s="158" t="str">
        <f t="shared" si="37"/>
        <v/>
      </c>
      <c r="K41" s="158" t="str">
        <f t="shared" si="38"/>
        <v/>
      </c>
      <c r="L41" s="143"/>
      <c r="M41" s="143"/>
      <c r="N41" s="143"/>
      <c r="O41" s="143"/>
      <c r="P41" s="143"/>
    </row>
    <row r="42" spans="1:16" x14ac:dyDescent="0.25">
      <c r="A42" s="151" t="str">
        <f>E2&amp;B2</f>
        <v>JordanArgentina</v>
      </c>
      <c r="B42" s="159" t="str">
        <f>E1&amp;B1</f>
        <v>J4J1</v>
      </c>
      <c r="C42" s="159">
        <f>IF(Data!Q71="",0,1)</f>
        <v>0</v>
      </c>
      <c r="D42" s="152" t="str">
        <f>E2</f>
        <v>Jordan</v>
      </c>
      <c r="E42" s="152" t="str">
        <f>B2</f>
        <v>Argentina</v>
      </c>
      <c r="F42" s="159" t="str">
        <f t="shared" si="33"/>
        <v/>
      </c>
      <c r="G42" s="159" t="str">
        <f t="shared" si="34"/>
        <v/>
      </c>
      <c r="H42" s="159">
        <f t="shared" si="35"/>
        <v>0</v>
      </c>
      <c r="I42" s="159">
        <f t="shared" si="36"/>
        <v>0</v>
      </c>
      <c r="J42" s="159" t="str">
        <f t="shared" si="37"/>
        <v/>
      </c>
      <c r="K42" s="159" t="str">
        <f t="shared" si="38"/>
        <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$B45</f>
        <v>Argentina</v>
      </c>
      <c r="M44" s="154" t="str">
        <f>$B46</f>
        <v>Austria</v>
      </c>
      <c r="N44" s="154" t="str">
        <f>$B47</f>
        <v>Algeria</v>
      </c>
      <c r="O44" s="154" t="str">
        <f>$B48</f>
        <v>Jordan</v>
      </c>
      <c r="P44" s="155"/>
    </row>
    <row r="45" spans="1:16" x14ac:dyDescent="0.25">
      <c r="A45" s="156">
        <v>1</v>
      </c>
      <c r="B45" s="156" t="str">
        <f>VLOOKUP($A45,RankingJ,2,FALSE)</f>
        <v>Argentina</v>
      </c>
      <c r="C45" s="157">
        <f>VLOOKUP($B45,Lookup10,3,FALSE)</f>
        <v>0</v>
      </c>
      <c r="D45" s="157">
        <f>VLOOKUP($B45,Lookup10,4,FALSE)</f>
        <v>0</v>
      </c>
      <c r="E45" s="157">
        <f>VLOOKUP($B45,Lookup10,5,FALSE)</f>
        <v>0</v>
      </c>
      <c r="F45" s="157">
        <f>VLOOKUP($B45,Lookup10,6,FALSE)</f>
        <v>0</v>
      </c>
      <c r="G45" s="157">
        <f>VLOOKUP($B45,Lookup10,7,FALSE)</f>
        <v>0</v>
      </c>
      <c r="H45" s="157">
        <f>VLOOKUP($B45,Lookup10,8,FALSE)</f>
        <v>0</v>
      </c>
      <c r="I45" s="157">
        <f>VLOOKUP($B45,Lookup10,9,FALSE)</f>
        <v>0</v>
      </c>
      <c r="J45" s="157">
        <f>VLOOKUP($B45,Lookup10,10,FALSE)</f>
        <v>0</v>
      </c>
      <c r="K45" s="201" t="str">
        <f>B45</f>
        <v>Argentina</v>
      </c>
      <c r="L45" s="203"/>
      <c r="M45" s="202" t="str">
        <f>IFERROR(VLOOKUP($B45&amp;M$44,A37:G42,6,FALSE)&amp;"-"&amp;VLOOKUP($B45&amp;M$44,A37:G42,7,FALSE),VLOOKUP(M$44&amp;$B45,A37:G42,7,FALSE)&amp;"-"&amp;VLOOKUP(M$44&amp;$B45,A37:G42,6,FALSE))</f>
        <v>-</v>
      </c>
      <c r="N45" s="202" t="str">
        <f>IFERROR(VLOOKUP($B45&amp;N$44,A37:G42,6,FALSE)&amp;"-"&amp;VLOOKUP($B45&amp;N$44,A37:G42,7,FALSE),VLOOKUP(N$44&amp;$B45,A37:G42,7,FALSE)&amp;"-"&amp;VLOOKUP(N$44&amp;$B45,A37:G42,6,FALSE))</f>
        <v>-</v>
      </c>
      <c r="O45" s="202" t="str">
        <f>IFERROR(VLOOKUP($B45&amp;O$44,A37:G42,6,FALSE)&amp;"-"&amp;VLOOKUP($B45&amp;O$44,A37:G42,7,FALSE),VLOOKUP(O$44&amp;$B45,A37:G42,7,FALSE)&amp;"-"&amp;VLOOKUP(O$44&amp;$B45,A37:G42,6,FALSE))</f>
        <v>-</v>
      </c>
      <c r="P45" s="155"/>
    </row>
    <row r="46" spans="1:16" x14ac:dyDescent="0.25">
      <c r="A46" s="156">
        <v>2</v>
      </c>
      <c r="B46" s="156" t="str">
        <f>VLOOKUP($A46,RankingJ,2,FALSE)</f>
        <v>Austria</v>
      </c>
      <c r="C46" s="157">
        <f>VLOOKUP($B46,Lookup10,3,FALSE)</f>
        <v>0</v>
      </c>
      <c r="D46" s="157">
        <f>VLOOKUP($B46,Lookup10,4,FALSE)</f>
        <v>0</v>
      </c>
      <c r="E46" s="157">
        <f>VLOOKUP($B46,Lookup10,5,FALSE)</f>
        <v>0</v>
      </c>
      <c r="F46" s="157">
        <f>VLOOKUP($B46,Lookup10,6,FALSE)</f>
        <v>0</v>
      </c>
      <c r="G46" s="157">
        <f>VLOOKUP($B46,Lookup10,7,FALSE)</f>
        <v>0</v>
      </c>
      <c r="H46" s="157">
        <f>VLOOKUP($B46,Lookup10,8,FALSE)</f>
        <v>0</v>
      </c>
      <c r="I46" s="157">
        <f>VLOOKUP($B46,Lookup10,9,FALSE)</f>
        <v>0</v>
      </c>
      <c r="J46" s="157">
        <f>VLOOKUP($B46,Lookup10,10,FALSE)</f>
        <v>0</v>
      </c>
      <c r="K46" s="201" t="str">
        <f>B46</f>
        <v>Austria</v>
      </c>
      <c r="L46" s="202" t="str">
        <f>IFERROR(VLOOKUP($B46&amp;L$44,A37:G42,6,FALSE)&amp;"-"&amp;VLOOKUP($B46&amp;L$44,A37:G42,7,FALSE),VLOOKUP(L$44&amp;$B46,A37:G42,7,FALSE)&amp;"-"&amp;VLOOKUP(L$44&amp;$B46,A37:G42,6,FALSE))</f>
        <v>-</v>
      </c>
      <c r="M46" s="203"/>
      <c r="N46" s="202" t="str">
        <f>IFERROR(VLOOKUP($B46&amp;N$44,A37:G42,6,FALSE)&amp;"-"&amp;VLOOKUP($B46&amp;N$44,A37:G42,7,FALSE),VLOOKUP(N$44&amp;$B46,A37:G42,7,FALSE)&amp;"-"&amp;VLOOKUP(N$44&amp;$B46,A37:G42,6,FALSE))</f>
        <v>-</v>
      </c>
      <c r="O46" s="202" t="str">
        <f>IFERROR(VLOOKUP($B46&amp;O$44,A37:G42,6,FALSE)&amp;"-"&amp;VLOOKUP($B46&amp;O$44,A37:G42,7,FALSE),VLOOKUP(O$44&amp;$B46,A37:G42,7,FALSE)&amp;"-"&amp;VLOOKUP(O$44&amp;$B46,A37:G42,6,FALSE))</f>
        <v>-</v>
      </c>
      <c r="P46" s="155"/>
    </row>
    <row r="47" spans="1:16" x14ac:dyDescent="0.25">
      <c r="A47" s="156">
        <v>3</v>
      </c>
      <c r="B47" s="156" t="str">
        <f>VLOOKUP($A47,RankingJ,2,FALSE)</f>
        <v>Algeria</v>
      </c>
      <c r="C47" s="157">
        <f>VLOOKUP($B47,Lookup10,3,FALSE)</f>
        <v>0</v>
      </c>
      <c r="D47" s="157">
        <f>VLOOKUP($B47,Lookup10,4,FALSE)</f>
        <v>0</v>
      </c>
      <c r="E47" s="157">
        <f>VLOOKUP($B47,Lookup10,5,FALSE)</f>
        <v>0</v>
      </c>
      <c r="F47" s="157">
        <f>VLOOKUP($B47,Lookup10,6,FALSE)</f>
        <v>0</v>
      </c>
      <c r="G47" s="157">
        <f>VLOOKUP($B47,Lookup10,7,FALSE)</f>
        <v>0</v>
      </c>
      <c r="H47" s="157">
        <f>VLOOKUP($B47,Lookup10,8,FALSE)</f>
        <v>0</v>
      </c>
      <c r="I47" s="157">
        <f>VLOOKUP($B47,Lookup10,9,FALSE)</f>
        <v>0</v>
      </c>
      <c r="J47" s="157">
        <f>VLOOKUP($B47,Lookup10,10,FALSE)</f>
        <v>0</v>
      </c>
      <c r="K47" s="201" t="str">
        <f>B47</f>
        <v>Algeria</v>
      </c>
      <c r="L47" s="202" t="str">
        <f>IFERROR(VLOOKUP($B47&amp;L$44,A37:G42,6,FALSE)&amp;"-"&amp;VLOOKUP($B47&amp;L$44,A37:G42,7,FALSE),VLOOKUP(L$44&amp;$B47,A37:G42,7,FALSE)&amp;"-"&amp;VLOOKUP(L$44&amp;$B47,A37:G42,6,FALSE))</f>
        <v>-</v>
      </c>
      <c r="M47" s="202" t="str">
        <f>IFERROR(VLOOKUP($B47&amp;M$44,A37:G42,6,FALSE)&amp;"-"&amp;VLOOKUP($B47&amp;M$44,A37:G42,7,FALSE),VLOOKUP(M$44&amp;$B47,A37:G42,7,FALSE)&amp;"-"&amp;VLOOKUP(M$44&amp;$B47,A37:G42,6,FALSE))</f>
        <v>-</v>
      </c>
      <c r="N47" s="203"/>
      <c r="O47" s="202" t="str">
        <f>IFERROR(VLOOKUP($B47&amp;O$44,A37:G42,6,FALSE)&amp;"-"&amp;VLOOKUP($B47&amp;O$44,A37:G42,7,FALSE),VLOOKUP(O$44&amp;$B47,A37:G42,7,FALSE)&amp;"-"&amp;VLOOKUP(O$44&amp;$B47,A37:G42,6,FALSE))</f>
        <v>-</v>
      </c>
      <c r="P47" s="155"/>
    </row>
    <row r="48" spans="1:16" x14ac:dyDescent="0.25">
      <c r="A48" s="156">
        <v>4</v>
      </c>
      <c r="B48" s="156" t="str">
        <f>VLOOKUP($A48,RankingJ,2,FALSE)</f>
        <v>Jordan</v>
      </c>
      <c r="C48" s="157">
        <f>VLOOKUP($B48,Lookup10,3,FALSE)</f>
        <v>0</v>
      </c>
      <c r="D48" s="157">
        <f>VLOOKUP($B48,Lookup10,4,FALSE)</f>
        <v>0</v>
      </c>
      <c r="E48" s="157">
        <f>VLOOKUP($B48,Lookup10,5,FALSE)</f>
        <v>0</v>
      </c>
      <c r="F48" s="157">
        <f>VLOOKUP($B48,Lookup10,6,FALSE)</f>
        <v>0</v>
      </c>
      <c r="G48" s="157">
        <f>VLOOKUP($B48,Lookup10,7,FALSE)</f>
        <v>0</v>
      </c>
      <c r="H48" s="157">
        <f>VLOOKUP($B48,Lookup10,8,FALSE)</f>
        <v>0</v>
      </c>
      <c r="I48" s="157">
        <f>VLOOKUP($B48,Lookup10,9,FALSE)</f>
        <v>0</v>
      </c>
      <c r="J48" s="157">
        <f>VLOOKUP($B48,Lookup10,10,FALSE)</f>
        <v>0</v>
      </c>
      <c r="K48" s="201" t="str">
        <f>B48</f>
        <v>Jordan</v>
      </c>
      <c r="L48" s="202" t="str">
        <f>IFERROR(VLOOKUP($B48&amp;L$44,A37:G42,6,FALSE)&amp;"-"&amp;VLOOKUP($B48&amp;L$44,A37:G42,7,FALSE),VLOOKUP(L$44&amp;$B48,A37:G42,7,FALSE)&amp;"-"&amp;VLOOKUP(L$44&amp;$B48,A37:G42,6,FALSE))</f>
        <v>-</v>
      </c>
      <c r="M48" s="202" t="str">
        <f>IFERROR(VLOOKUP($B48&amp;M$44,A37:G42,6,FALSE)&amp;"-"&amp;VLOOKUP($B48&amp;M$44,A37:G42,7,FALSE),VLOOKUP(M$44&amp;$B48,A37:G42,7,FALSE)&amp;"-"&amp;VLOOKUP(M$44&amp;$B48,A37:G42,6,FALSE))</f>
        <v>-</v>
      </c>
      <c r="N48" s="202" t="str">
        <f>IFERROR(VLOOKUP($B48&amp;N$44,A37:G42,6,FALSE)&amp;"-"&amp;VLOOKUP($B48&amp;N$44,A37:G42,7,FALSE),VLOOKUP(N$44&amp;$B48,A37:G42,7,FALSE)&amp;"-"&amp;VLOOKUP(N$44&amp;$B48,A37:G42,6,FALSE))</f>
        <v>-</v>
      </c>
      <c r="O48" s="203"/>
      <c r="P48" s="155"/>
    </row>
    <row r="49" spans="1:16" x14ac:dyDescent="0.25">
      <c r="A49" s="143"/>
      <c r="B49" s="143"/>
      <c r="C49" s="461">
        <f>SUM(C45:C48)</f>
        <v>0</v>
      </c>
      <c r="D49" s="143"/>
      <c r="E49" s="143"/>
      <c r="F49" s="143"/>
      <c r="G49" s="143"/>
      <c r="H49" s="143"/>
      <c r="I49" s="143"/>
      <c r="J49" s="143"/>
      <c r="K49" s="143"/>
      <c r="L49" s="143"/>
      <c r="M49" s="143"/>
      <c r="N49" s="143"/>
      <c r="O49" s="143"/>
      <c r="P49" s="143"/>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B9D2E-EBD1-47B3-A7C4-155A70EBB986}">
  <sheetPr>
    <tabColor rgb="FFC00000"/>
  </sheetPr>
  <dimension ref="A1:Z49"/>
  <sheetViews>
    <sheetView workbookViewId="0">
      <pane ySplit="2" topLeftCell="A20" activePane="bottomLeft" state="frozen"/>
      <selection activeCell="C42" sqref="C42"/>
      <selection pane="bottomLeft" activeCell="C42" sqref="C42"/>
    </sheetView>
  </sheetViews>
  <sheetFormatPr defaultColWidth="16.7109375" defaultRowHeight="15" x14ac:dyDescent="0.25"/>
  <sheetData>
    <row r="1" spans="1:26" x14ac:dyDescent="0.25">
      <c r="A1" s="228" t="s">
        <v>320</v>
      </c>
      <c r="B1" s="216" t="str">
        <f>A2&amp;1</f>
        <v>K1</v>
      </c>
      <c r="C1" s="216" t="str">
        <f>A2&amp;2</f>
        <v>K2</v>
      </c>
      <c r="D1" s="216" t="str">
        <f>A2&amp;3</f>
        <v>K3</v>
      </c>
      <c r="E1" s="216" t="str">
        <f>A2&amp;4</f>
        <v>K4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623</v>
      </c>
      <c r="B2" s="217" t="str">
        <f>VLOOKUP(B1,Lookup08,2,FALSE)</f>
        <v>Portugal</v>
      </c>
      <c r="C2" s="217" t="str">
        <f>VLOOKUP(C1,Lookup08,2,FALSE)</f>
        <v>Congo DR</v>
      </c>
      <c r="D2" s="217" t="str">
        <f>VLOOKUP(D1,Lookup08,2,FALSE)</f>
        <v>Uzbekistan</v>
      </c>
      <c r="E2" s="217" t="str">
        <f>VLOOKUP(E1,Lookup08,2,FALSE)</f>
        <v>Colombia</v>
      </c>
      <c r="F2" s="144"/>
      <c r="G2" s="144"/>
      <c r="H2" s="195"/>
      <c r="I2" s="196" t="str">
        <f>B2</f>
        <v>Portugal</v>
      </c>
      <c r="J2" s="196" t="str">
        <f>C2</f>
        <v>Congo DR</v>
      </c>
      <c r="K2" s="196" t="str">
        <f>D2</f>
        <v>Uzbekistan</v>
      </c>
      <c r="L2" s="196" t="str">
        <f>E2</f>
        <v>Colombia</v>
      </c>
      <c r="M2" s="197" t="s">
        <v>26</v>
      </c>
      <c r="N2" s="195"/>
      <c r="O2" s="196" t="str">
        <f>I2</f>
        <v>Portugal</v>
      </c>
      <c r="P2" s="196" t="str">
        <f t="shared" ref="P2:R2" si="0">J2</f>
        <v>Congo DR</v>
      </c>
      <c r="Q2" s="196" t="str">
        <f t="shared" si="0"/>
        <v>Uzbekistan</v>
      </c>
      <c r="R2" s="196" t="str">
        <f t="shared" si="0"/>
        <v>Colombia</v>
      </c>
      <c r="S2" s="197" t="s">
        <v>26</v>
      </c>
      <c r="T2" s="195"/>
      <c r="U2" s="196" t="str">
        <f>O2</f>
        <v>Portugal</v>
      </c>
      <c r="V2" s="196" t="str">
        <f t="shared" ref="V2:X2" si="1">P2</f>
        <v>Congo DR</v>
      </c>
      <c r="W2" s="196" t="str">
        <f t="shared" si="1"/>
        <v>Uzbekistan</v>
      </c>
      <c r="X2" s="196" t="str">
        <f t="shared" si="1"/>
        <v>Colombia</v>
      </c>
      <c r="Y2" s="197" t="s">
        <v>26</v>
      </c>
    </row>
    <row r="3" spans="1:26" x14ac:dyDescent="0.25">
      <c r="A3" s="144"/>
      <c r="B3" s="144"/>
      <c r="C3" s="144"/>
      <c r="F3" s="144"/>
      <c r="G3" s="144"/>
      <c r="H3" s="195" t="str">
        <f>B2</f>
        <v>Portugal</v>
      </c>
      <c r="I3" s="211"/>
      <c r="J3" s="196">
        <f>IF(G10=G11,1,0)</f>
        <v>1</v>
      </c>
      <c r="K3" s="196">
        <f>IF(G10=G12,1,0)</f>
        <v>1</v>
      </c>
      <c r="L3" s="196">
        <f>IF(G10=G13,1,0)</f>
        <v>1</v>
      </c>
      <c r="M3" s="197">
        <f>SUM(I3:L3)</f>
        <v>3</v>
      </c>
      <c r="N3" s="195" t="str">
        <f>H3</f>
        <v>Portugal</v>
      </c>
      <c r="O3" s="211"/>
      <c r="P3" s="196">
        <f>IF(M10=M11,1,0)</f>
        <v>1</v>
      </c>
      <c r="Q3" s="196">
        <f>IF(M10=M12,1,0)</f>
        <v>1</v>
      </c>
      <c r="R3" s="196">
        <f>IF(M10=M13,1,0)</f>
        <v>1</v>
      </c>
      <c r="S3" s="197">
        <f>SUM(O3:R3)</f>
        <v>3</v>
      </c>
      <c r="T3" s="195" t="str">
        <f>N3</f>
        <v>Portugal</v>
      </c>
      <c r="U3" s="211"/>
      <c r="V3" s="196">
        <f>IF(S10=S11,1,0)</f>
        <v>1</v>
      </c>
      <c r="W3" s="196">
        <f>IF(S10=S12,1,0)</f>
        <v>1</v>
      </c>
      <c r="X3" s="196">
        <f>IF(S10=S13,1,0)</f>
        <v>1</v>
      </c>
      <c r="Y3" s="197">
        <f>SUM(U3:X3)</f>
        <v>3</v>
      </c>
    </row>
    <row r="4" spans="1:26" x14ac:dyDescent="0.25">
      <c r="A4" s="144"/>
      <c r="B4" s="144"/>
      <c r="C4" s="144"/>
      <c r="F4" s="144"/>
      <c r="G4" s="144"/>
      <c r="H4" s="195" t="str">
        <f>C2</f>
        <v>Congo DR</v>
      </c>
      <c r="I4" s="196">
        <f>IF(G11=G10,1,0)</f>
        <v>1</v>
      </c>
      <c r="J4" s="211"/>
      <c r="K4" s="196">
        <f>IF(G11=G12,1,0)</f>
        <v>1</v>
      </c>
      <c r="L4" s="196">
        <f>IF(G11=G13,1,0)</f>
        <v>1</v>
      </c>
      <c r="M4" s="197">
        <f>SUM(I4:L4)</f>
        <v>3</v>
      </c>
      <c r="N4" s="195" t="str">
        <f t="shared" ref="N4:N6" si="2">H4</f>
        <v>Congo DR</v>
      </c>
      <c r="O4" s="196">
        <f>IF(M11=M10,1,0)</f>
        <v>1</v>
      </c>
      <c r="P4" s="211"/>
      <c r="Q4" s="196">
        <f>IF(M11=M12,1,0)</f>
        <v>1</v>
      </c>
      <c r="R4" s="196">
        <f>IF(M11=M13,1,0)</f>
        <v>1</v>
      </c>
      <c r="S4" s="197">
        <f>SUM(O4:R4)</f>
        <v>3</v>
      </c>
      <c r="T4" s="195" t="str">
        <f t="shared" ref="T4:T6" si="3">N4</f>
        <v>Congo DR</v>
      </c>
      <c r="U4" s="196">
        <f>IF(S11=S10,1,0)</f>
        <v>1</v>
      </c>
      <c r="V4" s="211"/>
      <c r="W4" s="196">
        <f>IF(S11=S12,1,0)</f>
        <v>1</v>
      </c>
      <c r="X4" s="196">
        <f>IF(S11=S13,1,0)</f>
        <v>1</v>
      </c>
      <c r="Y4" s="197">
        <f>SUM(U4:X4)</f>
        <v>3</v>
      </c>
    </row>
    <row r="5" spans="1:26" x14ac:dyDescent="0.25">
      <c r="A5" s="144"/>
      <c r="B5" s="144"/>
      <c r="C5" s="144"/>
      <c r="F5" s="144"/>
      <c r="G5" s="144"/>
      <c r="H5" s="195" t="str">
        <f>D2</f>
        <v>Uzbekistan</v>
      </c>
      <c r="I5" s="196">
        <f>IF(G12=G10,1,0)</f>
        <v>1</v>
      </c>
      <c r="J5" s="196">
        <f>IF(G12=G11,1,0)</f>
        <v>1</v>
      </c>
      <c r="K5" s="211"/>
      <c r="L5" s="196">
        <f>IF(G12=G13,1,0)</f>
        <v>1</v>
      </c>
      <c r="M5" s="197">
        <f>SUM(I5:L5)</f>
        <v>3</v>
      </c>
      <c r="N5" s="195" t="str">
        <f t="shared" si="2"/>
        <v>Uzbekistan</v>
      </c>
      <c r="O5" s="196">
        <f>IF(M12=M10,1,0)</f>
        <v>1</v>
      </c>
      <c r="P5" s="196">
        <f>IF(M12=M11,1,0)</f>
        <v>1</v>
      </c>
      <c r="Q5" s="211"/>
      <c r="R5" s="196">
        <f>IF(M12=M13,1,0)</f>
        <v>1</v>
      </c>
      <c r="S5" s="197">
        <f>SUM(O5:R5)</f>
        <v>3</v>
      </c>
      <c r="T5" s="195" t="str">
        <f t="shared" si="3"/>
        <v>Uzbekistan</v>
      </c>
      <c r="U5" s="196">
        <f>IF(S12=S10,1,0)</f>
        <v>1</v>
      </c>
      <c r="V5" s="196">
        <f>IF(S12=S11,1,0)</f>
        <v>1</v>
      </c>
      <c r="W5" s="211"/>
      <c r="X5" s="196">
        <f>IF(S12=S13,1,0)</f>
        <v>1</v>
      </c>
      <c r="Y5" s="197">
        <f>SUM(U5:X5)</f>
        <v>3</v>
      </c>
    </row>
    <row r="6" spans="1:26" x14ac:dyDescent="0.25">
      <c r="A6" s="144"/>
      <c r="B6" s="144"/>
      <c r="C6" s="144"/>
      <c r="F6" s="144"/>
      <c r="G6" s="144"/>
      <c r="H6" s="198" t="str">
        <f>E2</f>
        <v>Colombia</v>
      </c>
      <c r="I6" s="199">
        <f>IF(G13=G10,1,0)</f>
        <v>1</v>
      </c>
      <c r="J6" s="199">
        <f>IF(G13=G11,1,0)</f>
        <v>1</v>
      </c>
      <c r="K6" s="199">
        <f>IF(G13=G12,1,0)</f>
        <v>1</v>
      </c>
      <c r="L6" s="212"/>
      <c r="M6" s="200">
        <f>SUM(I6:L6)</f>
        <v>3</v>
      </c>
      <c r="N6" s="198" t="str">
        <f t="shared" si="2"/>
        <v>Colombia</v>
      </c>
      <c r="O6" s="199">
        <f>IF(M13=M10,1,0)</f>
        <v>1</v>
      </c>
      <c r="P6" s="199">
        <f>IF(M13=M11,1,0)</f>
        <v>1</v>
      </c>
      <c r="Q6" s="199">
        <f>IF(M13=M12,1,0)</f>
        <v>1</v>
      </c>
      <c r="R6" s="212"/>
      <c r="S6" s="200">
        <f>SUM(O6:R6)</f>
        <v>3</v>
      </c>
      <c r="T6" s="198" t="str">
        <f t="shared" si="3"/>
        <v>Colombia</v>
      </c>
      <c r="U6" s="199">
        <f>IF(S13=S10,1,0)</f>
        <v>1</v>
      </c>
      <c r="V6" s="199">
        <f>IF(S13=S11,1,0)</f>
        <v>1</v>
      </c>
      <c r="W6" s="199">
        <f>IF(S13=S12,1,0)</f>
        <v>1</v>
      </c>
      <c r="X6" s="212"/>
      <c r="Y6" s="200">
        <f>SUM(U6:X6)</f>
        <v>3</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Portugal</v>
      </c>
      <c r="D9" s="190" t="str">
        <f>C2</f>
        <v>Congo DR</v>
      </c>
      <c r="E9" s="190" t="str">
        <f>D2</f>
        <v>Uzbekistan</v>
      </c>
      <c r="F9" s="190" t="str">
        <f>E2</f>
        <v>Colombia</v>
      </c>
      <c r="G9" s="191" t="s">
        <v>26</v>
      </c>
      <c r="H9" s="189"/>
      <c r="I9" s="190" t="str">
        <f>C9</f>
        <v>Portugal</v>
      </c>
      <c r="J9" s="190" t="str">
        <f t="shared" ref="J9:L9" si="4">D9</f>
        <v>Congo DR</v>
      </c>
      <c r="K9" s="190" t="str">
        <f t="shared" si="4"/>
        <v>Uzbekistan</v>
      </c>
      <c r="L9" s="190" t="str">
        <f t="shared" si="4"/>
        <v>Colombia</v>
      </c>
      <c r="M9" s="191" t="s">
        <v>26</v>
      </c>
      <c r="N9" s="189"/>
      <c r="O9" s="190" t="str">
        <f>I9</f>
        <v>Portugal</v>
      </c>
      <c r="P9" s="190" t="str">
        <f t="shared" ref="P9:R9" si="5">J9</f>
        <v>Congo DR</v>
      </c>
      <c r="Q9" s="190" t="str">
        <f t="shared" si="5"/>
        <v>Uzbekistan</v>
      </c>
      <c r="R9" s="190" t="str">
        <f t="shared" si="5"/>
        <v>Colombia</v>
      </c>
      <c r="S9" s="191" t="s">
        <v>26</v>
      </c>
      <c r="T9" s="189"/>
      <c r="U9" s="190" t="str">
        <f>O9</f>
        <v>Portugal</v>
      </c>
      <c r="V9" s="190" t="str">
        <f t="shared" ref="V9:X9" si="6">P9</f>
        <v>Congo DR</v>
      </c>
      <c r="W9" s="190" t="str">
        <f t="shared" si="6"/>
        <v>Uzbekistan</v>
      </c>
      <c r="X9" s="190" t="str">
        <f t="shared" si="6"/>
        <v>Colombia</v>
      </c>
      <c r="Y9" s="191" t="s">
        <v>26</v>
      </c>
      <c r="Z9" s="227" t="s">
        <v>309</v>
      </c>
    </row>
    <row r="10" spans="1:26" x14ac:dyDescent="0.25">
      <c r="A10" s="144"/>
      <c r="B10" s="189" t="str">
        <f>B2</f>
        <v>Portugal</v>
      </c>
      <c r="C10" s="204"/>
      <c r="D10" s="190">
        <f>H37</f>
        <v>0</v>
      </c>
      <c r="E10" s="190">
        <f>H39</f>
        <v>0</v>
      </c>
      <c r="F10" s="190">
        <f>I42</f>
        <v>0</v>
      </c>
      <c r="G10" s="191">
        <f>SUM(C10:F10)</f>
        <v>0</v>
      </c>
      <c r="H10" s="189" t="str">
        <f>B10</f>
        <v>Portugal</v>
      </c>
      <c r="I10" s="218">
        <f>C10+I17/100+I24/10000</f>
        <v>0</v>
      </c>
      <c r="J10" s="219">
        <f t="shared" ref="J10:L10" si="7">D10+J17/100+J24/10000</f>
        <v>0</v>
      </c>
      <c r="K10" s="219">
        <f t="shared" si="7"/>
        <v>0</v>
      </c>
      <c r="L10" s="219">
        <f t="shared" si="7"/>
        <v>0</v>
      </c>
      <c r="M10" s="220">
        <f>SUM(I10:L10)</f>
        <v>0</v>
      </c>
      <c r="N10" s="189" t="str">
        <f>H10</f>
        <v>Portugal</v>
      </c>
      <c r="O10" s="218">
        <f>I10+O17/100+O24/10000</f>
        <v>0</v>
      </c>
      <c r="P10" s="219">
        <f t="shared" ref="P10:R13" si="8">J10+P17/100+P24/10000</f>
        <v>0</v>
      </c>
      <c r="Q10" s="219">
        <f t="shared" si="8"/>
        <v>0</v>
      </c>
      <c r="R10" s="219">
        <f t="shared" si="8"/>
        <v>0</v>
      </c>
      <c r="S10" s="220">
        <f>SUM(O10:R10)</f>
        <v>0</v>
      </c>
      <c r="T10" s="189" t="str">
        <f>N10</f>
        <v>Portugal</v>
      </c>
      <c r="U10" s="218">
        <f>O10+U17/100+U24/10000</f>
        <v>0</v>
      </c>
      <c r="V10" s="219">
        <f t="shared" ref="V10:X13" si="9">P10+V17/100+V24/10000</f>
        <v>0</v>
      </c>
      <c r="W10" s="219">
        <f t="shared" si="9"/>
        <v>0</v>
      </c>
      <c r="X10" s="219">
        <f t="shared" si="9"/>
        <v>0</v>
      </c>
      <c r="Y10" s="220">
        <f>ROUND(SUM(U10:X10),8)</f>
        <v>0</v>
      </c>
      <c r="Z10" s="224">
        <f>_xlfn.RANK.EQ(Y10,Y$10:Y$13,1)</f>
        <v>1</v>
      </c>
    </row>
    <row r="11" spans="1:26" x14ac:dyDescent="0.25">
      <c r="A11" s="144"/>
      <c r="B11" s="189" t="str">
        <f>C2</f>
        <v>Congo DR</v>
      </c>
      <c r="C11" s="190">
        <f>I37</f>
        <v>0</v>
      </c>
      <c r="D11" s="204"/>
      <c r="E11" s="190">
        <f>H41</f>
        <v>0</v>
      </c>
      <c r="F11" s="190">
        <f>I40</f>
        <v>0</v>
      </c>
      <c r="G11" s="191">
        <f>SUM(C11:F11)</f>
        <v>0</v>
      </c>
      <c r="H11" s="189" t="str">
        <f t="shared" ref="H11:H13" si="10">B11</f>
        <v>Congo DR</v>
      </c>
      <c r="I11" s="219">
        <f t="shared" ref="I11:L13" si="11">C11+I18/100+I25/10000</f>
        <v>0</v>
      </c>
      <c r="J11" s="218">
        <f t="shared" si="11"/>
        <v>0</v>
      </c>
      <c r="K11" s="219">
        <f t="shared" si="11"/>
        <v>0</v>
      </c>
      <c r="L11" s="219">
        <f t="shared" si="11"/>
        <v>0</v>
      </c>
      <c r="M11" s="220">
        <f>SUM(I11:L11)</f>
        <v>0</v>
      </c>
      <c r="N11" s="189" t="str">
        <f t="shared" ref="N11:N13" si="12">H11</f>
        <v>Congo DR</v>
      </c>
      <c r="O11" s="219">
        <f t="shared" ref="O11:O13" si="13">I11+O18/100+O25/10000</f>
        <v>0</v>
      </c>
      <c r="P11" s="218">
        <f t="shared" si="8"/>
        <v>0</v>
      </c>
      <c r="Q11" s="219">
        <f t="shared" si="8"/>
        <v>0</v>
      </c>
      <c r="R11" s="219">
        <f t="shared" si="8"/>
        <v>0</v>
      </c>
      <c r="S11" s="220">
        <f>SUM(O11:R11)</f>
        <v>0</v>
      </c>
      <c r="T11" s="189" t="str">
        <f t="shared" ref="T11:T13" si="14">N11</f>
        <v>Congo DR</v>
      </c>
      <c r="U11" s="219">
        <f t="shared" ref="U11:U13" si="15">O11+U18/100+U25/10000</f>
        <v>0</v>
      </c>
      <c r="V11" s="218">
        <f t="shared" si="9"/>
        <v>0</v>
      </c>
      <c r="W11" s="219">
        <f t="shared" si="9"/>
        <v>0</v>
      </c>
      <c r="X11" s="219">
        <f t="shared" si="9"/>
        <v>0</v>
      </c>
      <c r="Y11" s="220">
        <f t="shared" ref="Y11:Y13" si="16">ROUND(SUM(U11:X11),8)</f>
        <v>0</v>
      </c>
      <c r="Z11" s="224">
        <f t="shared" ref="Z11:Z13" si="17">_xlfn.RANK.EQ(Y11,Y$10:Y$13,1)</f>
        <v>1</v>
      </c>
    </row>
    <row r="12" spans="1:26" x14ac:dyDescent="0.25">
      <c r="A12" s="144"/>
      <c r="B12" s="189" t="str">
        <f>D2</f>
        <v>Uzbekistan</v>
      </c>
      <c r="C12" s="190">
        <f>I39</f>
        <v>0</v>
      </c>
      <c r="D12" s="190">
        <f>I41</f>
        <v>0</v>
      </c>
      <c r="E12" s="204"/>
      <c r="F12" s="190">
        <f>H38</f>
        <v>0</v>
      </c>
      <c r="G12" s="191">
        <f>SUM(C12:F12)</f>
        <v>0</v>
      </c>
      <c r="H12" s="189" t="str">
        <f t="shared" si="10"/>
        <v>Uzbekistan</v>
      </c>
      <c r="I12" s="219">
        <f t="shared" si="11"/>
        <v>0</v>
      </c>
      <c r="J12" s="219">
        <f t="shared" si="11"/>
        <v>0</v>
      </c>
      <c r="K12" s="218">
        <f t="shared" si="11"/>
        <v>0</v>
      </c>
      <c r="L12" s="219">
        <f t="shared" si="11"/>
        <v>0</v>
      </c>
      <c r="M12" s="220">
        <f>SUM(I12:L12)</f>
        <v>0</v>
      </c>
      <c r="N12" s="189" t="str">
        <f t="shared" si="12"/>
        <v>Uzbekistan</v>
      </c>
      <c r="O12" s="219">
        <f t="shared" si="13"/>
        <v>0</v>
      </c>
      <c r="P12" s="219">
        <f t="shared" si="8"/>
        <v>0</v>
      </c>
      <c r="Q12" s="218">
        <f t="shared" si="8"/>
        <v>0</v>
      </c>
      <c r="R12" s="219">
        <f t="shared" si="8"/>
        <v>0</v>
      </c>
      <c r="S12" s="220">
        <f>SUM(O12:R12)</f>
        <v>0</v>
      </c>
      <c r="T12" s="189" t="str">
        <f t="shared" si="14"/>
        <v>Uzbekistan</v>
      </c>
      <c r="U12" s="219">
        <f t="shared" si="15"/>
        <v>0</v>
      </c>
      <c r="V12" s="219">
        <f t="shared" si="9"/>
        <v>0</v>
      </c>
      <c r="W12" s="218">
        <f t="shared" si="9"/>
        <v>0</v>
      </c>
      <c r="X12" s="219">
        <f t="shared" si="9"/>
        <v>0</v>
      </c>
      <c r="Y12" s="220">
        <f t="shared" si="16"/>
        <v>0</v>
      </c>
      <c r="Z12" s="224">
        <f t="shared" si="17"/>
        <v>1</v>
      </c>
    </row>
    <row r="13" spans="1:26" x14ac:dyDescent="0.25">
      <c r="A13" s="144"/>
      <c r="B13" s="192" t="str">
        <f>E2</f>
        <v>Colombia</v>
      </c>
      <c r="C13" s="193">
        <f>H42</f>
        <v>0</v>
      </c>
      <c r="D13" s="193">
        <f>H40</f>
        <v>0</v>
      </c>
      <c r="E13" s="193">
        <f>I38</f>
        <v>0</v>
      </c>
      <c r="F13" s="205"/>
      <c r="G13" s="194">
        <f>SUM(C13:F13)</f>
        <v>0</v>
      </c>
      <c r="H13" s="192" t="str">
        <f t="shared" si="10"/>
        <v>Colombia</v>
      </c>
      <c r="I13" s="221">
        <f t="shared" si="11"/>
        <v>0</v>
      </c>
      <c r="J13" s="221">
        <f t="shared" si="11"/>
        <v>0</v>
      </c>
      <c r="K13" s="221">
        <f t="shared" si="11"/>
        <v>0</v>
      </c>
      <c r="L13" s="222">
        <f t="shared" si="11"/>
        <v>0</v>
      </c>
      <c r="M13" s="223">
        <f>SUM(I13:L13)</f>
        <v>0</v>
      </c>
      <c r="N13" s="192" t="str">
        <f t="shared" si="12"/>
        <v>Colombia</v>
      </c>
      <c r="O13" s="221">
        <f t="shared" si="13"/>
        <v>0</v>
      </c>
      <c r="P13" s="221">
        <f t="shared" si="8"/>
        <v>0</v>
      </c>
      <c r="Q13" s="221">
        <f t="shared" si="8"/>
        <v>0</v>
      </c>
      <c r="R13" s="222">
        <f t="shared" si="8"/>
        <v>0</v>
      </c>
      <c r="S13" s="223">
        <f>SUM(O13:R13)</f>
        <v>0</v>
      </c>
      <c r="T13" s="192" t="str">
        <f t="shared" si="14"/>
        <v>Colombia</v>
      </c>
      <c r="U13" s="221">
        <f t="shared" si="15"/>
        <v>0</v>
      </c>
      <c r="V13" s="221">
        <f t="shared" si="9"/>
        <v>0</v>
      </c>
      <c r="W13" s="221">
        <f t="shared" si="9"/>
        <v>0</v>
      </c>
      <c r="X13" s="222">
        <f t="shared" si="9"/>
        <v>0</v>
      </c>
      <c r="Y13" s="223">
        <f t="shared" si="16"/>
        <v>0</v>
      </c>
      <c r="Z13" s="225">
        <f t="shared" si="17"/>
        <v>1</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Portugal</v>
      </c>
      <c r="D16" s="177" t="str">
        <f>C2</f>
        <v>Congo DR</v>
      </c>
      <c r="E16" s="177" t="str">
        <f>D2</f>
        <v>Uzbekistan</v>
      </c>
      <c r="F16" s="177" t="str">
        <f>E2</f>
        <v>Colombia</v>
      </c>
      <c r="G16" s="178" t="s">
        <v>26</v>
      </c>
      <c r="H16" s="183"/>
      <c r="I16" s="184" t="str">
        <f>C16</f>
        <v>Portugal</v>
      </c>
      <c r="J16" s="184" t="str">
        <f t="shared" ref="J16:L16" si="18">D16</f>
        <v>Congo DR</v>
      </c>
      <c r="K16" s="184" t="str">
        <f t="shared" si="18"/>
        <v>Uzbekistan</v>
      </c>
      <c r="L16" s="184" t="str">
        <f t="shared" si="18"/>
        <v>Colombia</v>
      </c>
      <c r="M16" s="185" t="s">
        <v>26</v>
      </c>
      <c r="N16" s="183"/>
      <c r="O16" s="184" t="str">
        <f>I16</f>
        <v>Portugal</v>
      </c>
      <c r="P16" s="184" t="str">
        <f t="shared" ref="P16:R16" si="19">J16</f>
        <v>Congo DR</v>
      </c>
      <c r="Q16" s="184" t="str">
        <f t="shared" si="19"/>
        <v>Uzbekistan</v>
      </c>
      <c r="R16" s="184" t="str">
        <f t="shared" si="19"/>
        <v>Colombia</v>
      </c>
      <c r="S16" s="185" t="s">
        <v>26</v>
      </c>
      <c r="T16" s="183"/>
      <c r="U16" s="184" t="str">
        <f>O16</f>
        <v>Portugal</v>
      </c>
      <c r="V16" s="184" t="str">
        <f t="shared" ref="V16:X16" si="20">P16</f>
        <v>Congo DR</v>
      </c>
      <c r="W16" s="184" t="str">
        <f t="shared" si="20"/>
        <v>Uzbekistan</v>
      </c>
      <c r="X16" s="184" t="str">
        <f t="shared" si="20"/>
        <v>Colombia</v>
      </c>
      <c r="Y16" s="185" t="s">
        <v>26</v>
      </c>
    </row>
    <row r="17" spans="1:25" x14ac:dyDescent="0.25">
      <c r="A17" s="144"/>
      <c r="B17" s="176" t="str">
        <f>B2</f>
        <v>Portugal</v>
      </c>
      <c r="C17" s="206"/>
      <c r="D17" s="179">
        <f>IFERROR(F37-G37,0)</f>
        <v>0</v>
      </c>
      <c r="E17" s="179">
        <f>IFERROR(F39-G39,0)</f>
        <v>0</v>
      </c>
      <c r="F17" s="179">
        <f>IFERROR(G42-F42,0)</f>
        <v>0</v>
      </c>
      <c r="G17" s="178">
        <f>SUM(C17:F17)</f>
        <v>0</v>
      </c>
      <c r="H17" s="183" t="str">
        <f>B17</f>
        <v>Portugal</v>
      </c>
      <c r="I17" s="208"/>
      <c r="J17" s="184">
        <f>D17*J3</f>
        <v>0</v>
      </c>
      <c r="K17" s="184">
        <f>E17*K3</f>
        <v>0</v>
      </c>
      <c r="L17" s="184">
        <f>F17*L3</f>
        <v>0</v>
      </c>
      <c r="M17" s="185">
        <f>SUM(I17:L17)</f>
        <v>0</v>
      </c>
      <c r="N17" s="183" t="str">
        <f>H17</f>
        <v>Portugal</v>
      </c>
      <c r="O17" s="208"/>
      <c r="P17" s="184">
        <f>J17*P3</f>
        <v>0</v>
      </c>
      <c r="Q17" s="184">
        <f>K17*Q3</f>
        <v>0</v>
      </c>
      <c r="R17" s="184">
        <f>L17*R3</f>
        <v>0</v>
      </c>
      <c r="S17" s="185">
        <f>SUM(O17:R17)</f>
        <v>0</v>
      </c>
      <c r="T17" s="183" t="str">
        <f>N17</f>
        <v>Portugal</v>
      </c>
      <c r="U17" s="208"/>
      <c r="V17" s="184">
        <f>P17*V3</f>
        <v>0</v>
      </c>
      <c r="W17" s="184">
        <f>Q17*W3</f>
        <v>0</v>
      </c>
      <c r="X17" s="184">
        <f>R17*X3</f>
        <v>0</v>
      </c>
      <c r="Y17" s="185">
        <f>SUM(U17:X17)</f>
        <v>0</v>
      </c>
    </row>
    <row r="18" spans="1:25" x14ac:dyDescent="0.25">
      <c r="A18" s="144"/>
      <c r="B18" s="176" t="str">
        <f>C2</f>
        <v>Congo DR</v>
      </c>
      <c r="C18" s="179">
        <f>IFERROR(G37-F37,0)</f>
        <v>0</v>
      </c>
      <c r="D18" s="206"/>
      <c r="E18" s="179">
        <f>IFERROR(F41-G41,0)</f>
        <v>0</v>
      </c>
      <c r="F18" s="179">
        <f>IFERROR(G40-F40,0)</f>
        <v>0</v>
      </c>
      <c r="G18" s="178">
        <f>SUM(C18:F18)</f>
        <v>0</v>
      </c>
      <c r="H18" s="183" t="str">
        <f t="shared" ref="H18:H20" si="21">B18</f>
        <v>Congo DR</v>
      </c>
      <c r="I18" s="184">
        <f>C18*I4</f>
        <v>0</v>
      </c>
      <c r="J18" s="208"/>
      <c r="K18" s="184">
        <f>E18*K4</f>
        <v>0</v>
      </c>
      <c r="L18" s="184">
        <f>F18*L4</f>
        <v>0</v>
      </c>
      <c r="M18" s="185">
        <f>SUM(I18:L18)</f>
        <v>0</v>
      </c>
      <c r="N18" s="183" t="str">
        <f t="shared" ref="N18:N20" si="22">H18</f>
        <v>Congo DR</v>
      </c>
      <c r="O18" s="184">
        <f>I18*O4</f>
        <v>0</v>
      </c>
      <c r="P18" s="208"/>
      <c r="Q18" s="184">
        <f>K18*Q4</f>
        <v>0</v>
      </c>
      <c r="R18" s="184">
        <f>L18*R4</f>
        <v>0</v>
      </c>
      <c r="S18" s="185">
        <f>SUM(O18:R18)</f>
        <v>0</v>
      </c>
      <c r="T18" s="183" t="str">
        <f t="shared" ref="T18:T20" si="23">N18</f>
        <v>Congo DR</v>
      </c>
      <c r="U18" s="184">
        <f>O18*U4</f>
        <v>0</v>
      </c>
      <c r="V18" s="208"/>
      <c r="W18" s="184">
        <f>Q18*W4</f>
        <v>0</v>
      </c>
      <c r="X18" s="184">
        <f>R18*X4</f>
        <v>0</v>
      </c>
      <c r="Y18" s="185">
        <f>SUM(U18:X18)</f>
        <v>0</v>
      </c>
    </row>
    <row r="19" spans="1:25" x14ac:dyDescent="0.25">
      <c r="A19" s="144"/>
      <c r="B19" s="176" t="str">
        <f>D2</f>
        <v>Uzbekistan</v>
      </c>
      <c r="C19" s="179">
        <f>IFERROR(G39-F39,0)</f>
        <v>0</v>
      </c>
      <c r="D19" s="179">
        <f>IFERROR(G41-F41,0)</f>
        <v>0</v>
      </c>
      <c r="E19" s="206"/>
      <c r="F19" s="179">
        <f>IFERROR(F38-G38,0)</f>
        <v>0</v>
      </c>
      <c r="G19" s="178">
        <f>SUM(C19:F19)</f>
        <v>0</v>
      </c>
      <c r="H19" s="183" t="str">
        <f t="shared" si="21"/>
        <v>Uzbekistan</v>
      </c>
      <c r="I19" s="184">
        <f>C19*I5</f>
        <v>0</v>
      </c>
      <c r="J19" s="184">
        <f>D19*J5</f>
        <v>0</v>
      </c>
      <c r="K19" s="208"/>
      <c r="L19" s="184">
        <f>F19*L5</f>
        <v>0</v>
      </c>
      <c r="M19" s="185">
        <f>SUM(I19:L19)</f>
        <v>0</v>
      </c>
      <c r="N19" s="183" t="str">
        <f t="shared" si="22"/>
        <v>Uzbekistan</v>
      </c>
      <c r="O19" s="184">
        <f>I19*O5</f>
        <v>0</v>
      </c>
      <c r="P19" s="184">
        <f>J19*P5</f>
        <v>0</v>
      </c>
      <c r="Q19" s="208"/>
      <c r="R19" s="184">
        <f>L19*R5</f>
        <v>0</v>
      </c>
      <c r="S19" s="185">
        <f>SUM(O19:R19)</f>
        <v>0</v>
      </c>
      <c r="T19" s="183" t="str">
        <f t="shared" si="23"/>
        <v>Uzbekistan</v>
      </c>
      <c r="U19" s="184">
        <f>O19*U5</f>
        <v>0</v>
      </c>
      <c r="V19" s="184">
        <f>P19*V5</f>
        <v>0</v>
      </c>
      <c r="W19" s="208"/>
      <c r="X19" s="184">
        <f>R19*X5</f>
        <v>0</v>
      </c>
      <c r="Y19" s="185">
        <f>SUM(U19:X19)</f>
        <v>0</v>
      </c>
    </row>
    <row r="20" spans="1:25" x14ac:dyDescent="0.25">
      <c r="A20" s="144"/>
      <c r="B20" s="180" t="str">
        <f>E2</f>
        <v>Colombia</v>
      </c>
      <c r="C20" s="181">
        <f>IFERROR(F42-G42,0)</f>
        <v>0</v>
      </c>
      <c r="D20" s="181">
        <f>IFERROR(F40-G40,0)</f>
        <v>0</v>
      </c>
      <c r="E20" s="181">
        <f>IFERROR(G38-F38,0)</f>
        <v>0</v>
      </c>
      <c r="F20" s="207"/>
      <c r="G20" s="182">
        <f>SUM(C20:F20)</f>
        <v>0</v>
      </c>
      <c r="H20" s="186" t="str">
        <f t="shared" si="21"/>
        <v>Colombia</v>
      </c>
      <c r="I20" s="187">
        <f>C20*I6</f>
        <v>0</v>
      </c>
      <c r="J20" s="187">
        <f>D20*J6</f>
        <v>0</v>
      </c>
      <c r="K20" s="187">
        <f>E20*K6</f>
        <v>0</v>
      </c>
      <c r="L20" s="213"/>
      <c r="M20" s="188">
        <f>SUM(I20:L20)</f>
        <v>0</v>
      </c>
      <c r="N20" s="186" t="str">
        <f t="shared" si="22"/>
        <v>Colombia</v>
      </c>
      <c r="O20" s="187">
        <f>I20*O6</f>
        <v>0</v>
      </c>
      <c r="P20" s="187">
        <f>J20*P6</f>
        <v>0</v>
      </c>
      <c r="Q20" s="187">
        <f>K20*Q6</f>
        <v>0</v>
      </c>
      <c r="R20" s="213"/>
      <c r="S20" s="188">
        <f>SUM(O20:R20)</f>
        <v>0</v>
      </c>
      <c r="T20" s="186" t="str">
        <f t="shared" si="23"/>
        <v>Colombia</v>
      </c>
      <c r="U20" s="187">
        <f>O20*U6</f>
        <v>0</v>
      </c>
      <c r="V20" s="187">
        <f>P20*V6</f>
        <v>0</v>
      </c>
      <c r="W20" s="187">
        <f>Q20*W6</f>
        <v>0</v>
      </c>
      <c r="X20" s="213"/>
      <c r="Y20" s="188">
        <f>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Portugal</v>
      </c>
      <c r="D23" s="164" t="str">
        <f>C2</f>
        <v>Congo DR</v>
      </c>
      <c r="E23" s="164" t="str">
        <f>D2</f>
        <v>Uzbekistan</v>
      </c>
      <c r="F23" s="164" t="str">
        <f>E2</f>
        <v>Colombia</v>
      </c>
      <c r="G23" s="165" t="s">
        <v>26</v>
      </c>
      <c r="H23" s="169"/>
      <c r="I23" s="170" t="str">
        <f>C23</f>
        <v>Portugal</v>
      </c>
      <c r="J23" s="170" t="str">
        <f t="shared" ref="J23:L23" si="24">D23</f>
        <v>Congo DR</v>
      </c>
      <c r="K23" s="170" t="str">
        <f t="shared" si="24"/>
        <v>Uzbekistan</v>
      </c>
      <c r="L23" s="170" t="str">
        <f t="shared" si="24"/>
        <v>Colombia</v>
      </c>
      <c r="M23" s="171" t="s">
        <v>26</v>
      </c>
      <c r="N23" s="169"/>
      <c r="O23" s="170" t="str">
        <f>I23</f>
        <v>Portugal</v>
      </c>
      <c r="P23" s="170" t="str">
        <f t="shared" ref="P23:R23" si="25">J23</f>
        <v>Congo DR</v>
      </c>
      <c r="Q23" s="170" t="str">
        <f t="shared" si="25"/>
        <v>Uzbekistan</v>
      </c>
      <c r="R23" s="170" t="str">
        <f t="shared" si="25"/>
        <v>Colombia</v>
      </c>
      <c r="S23" s="171" t="s">
        <v>26</v>
      </c>
      <c r="T23" s="169"/>
      <c r="U23" s="170" t="str">
        <f>O23</f>
        <v>Portugal</v>
      </c>
      <c r="V23" s="170" t="str">
        <f t="shared" ref="V23:X23" si="26">P23</f>
        <v>Congo DR</v>
      </c>
      <c r="W23" s="170" t="str">
        <f t="shared" si="26"/>
        <v>Uzbekistan</v>
      </c>
      <c r="X23" s="170" t="str">
        <f t="shared" si="26"/>
        <v>Colombia</v>
      </c>
      <c r="Y23" s="171" t="s">
        <v>26</v>
      </c>
    </row>
    <row r="24" spans="1:25" x14ac:dyDescent="0.25">
      <c r="A24" s="143"/>
      <c r="B24" s="163" t="str">
        <f>B2</f>
        <v>Portugal</v>
      </c>
      <c r="C24" s="209"/>
      <c r="D24" s="164">
        <f>IF(F37="",0,F37)</f>
        <v>0</v>
      </c>
      <c r="E24" s="164">
        <f>IF(F39="",0,F39)</f>
        <v>0</v>
      </c>
      <c r="F24" s="164">
        <f>IF(G42="",0,G42)</f>
        <v>0</v>
      </c>
      <c r="G24" s="165">
        <f>SUM(C24:F24)</f>
        <v>0</v>
      </c>
      <c r="H24" s="169" t="str">
        <f>B24</f>
        <v>Portugal</v>
      </c>
      <c r="I24" s="214"/>
      <c r="J24" s="170">
        <f>D24*J3</f>
        <v>0</v>
      </c>
      <c r="K24" s="170">
        <f>E24*K3</f>
        <v>0</v>
      </c>
      <c r="L24" s="170">
        <f>F24*L3</f>
        <v>0</v>
      </c>
      <c r="M24" s="171">
        <f>SUM(I24:L24)</f>
        <v>0</v>
      </c>
      <c r="N24" s="169" t="str">
        <f>H24</f>
        <v>Portugal</v>
      </c>
      <c r="O24" s="214"/>
      <c r="P24" s="170">
        <f>J24*P3</f>
        <v>0</v>
      </c>
      <c r="Q24" s="170">
        <f>K24*Q3</f>
        <v>0</v>
      </c>
      <c r="R24" s="170">
        <f>L24*R3</f>
        <v>0</v>
      </c>
      <c r="S24" s="171">
        <f>SUM(O24:R24)</f>
        <v>0</v>
      </c>
      <c r="T24" s="169" t="str">
        <f>N24</f>
        <v>Portugal</v>
      </c>
      <c r="U24" s="214"/>
      <c r="V24" s="170">
        <f>P24*V3</f>
        <v>0</v>
      </c>
      <c r="W24" s="170">
        <f>Q24*W3</f>
        <v>0</v>
      </c>
      <c r="X24" s="170">
        <f>R24*X3</f>
        <v>0</v>
      </c>
      <c r="Y24" s="171">
        <f>SUM(U24:X24)</f>
        <v>0</v>
      </c>
    </row>
    <row r="25" spans="1:25" x14ac:dyDescent="0.25">
      <c r="A25" s="143"/>
      <c r="B25" s="163" t="str">
        <f>C2</f>
        <v>Congo DR</v>
      </c>
      <c r="C25" s="164">
        <f>IF(G37="",0,G37)</f>
        <v>0</v>
      </c>
      <c r="D25" s="209"/>
      <c r="E25" s="164">
        <f>IF(F41="",0,F41)</f>
        <v>0</v>
      </c>
      <c r="F25" s="164">
        <f>IF(G40="",0,G40)</f>
        <v>0</v>
      </c>
      <c r="G25" s="165">
        <f>SUM(C25:F25)</f>
        <v>0</v>
      </c>
      <c r="H25" s="169" t="str">
        <f t="shared" ref="H25:H27" si="27">B25</f>
        <v>Congo DR</v>
      </c>
      <c r="I25" s="170">
        <f>C25*I4</f>
        <v>0</v>
      </c>
      <c r="J25" s="214"/>
      <c r="K25" s="170">
        <f>E25*K4</f>
        <v>0</v>
      </c>
      <c r="L25" s="170">
        <f>F25*L4</f>
        <v>0</v>
      </c>
      <c r="M25" s="171">
        <f>SUM(I25:L25)</f>
        <v>0</v>
      </c>
      <c r="N25" s="169" t="str">
        <f t="shared" ref="N25:N27" si="28">H25</f>
        <v>Congo DR</v>
      </c>
      <c r="O25" s="170">
        <f>I25*O4</f>
        <v>0</v>
      </c>
      <c r="P25" s="214"/>
      <c r="Q25" s="170">
        <f>K25*Q4</f>
        <v>0</v>
      </c>
      <c r="R25" s="170">
        <f>L25*R4</f>
        <v>0</v>
      </c>
      <c r="S25" s="171">
        <f>SUM(O25:R25)</f>
        <v>0</v>
      </c>
      <c r="T25" s="169" t="str">
        <f t="shared" ref="T25:T27" si="29">N25</f>
        <v>Congo DR</v>
      </c>
      <c r="U25" s="170">
        <f>O25*U4</f>
        <v>0</v>
      </c>
      <c r="V25" s="214"/>
      <c r="W25" s="170">
        <f>Q25*W4</f>
        <v>0</v>
      </c>
      <c r="X25" s="170">
        <f>R25*X4</f>
        <v>0</v>
      </c>
      <c r="Y25" s="171">
        <f>SUM(U25:X25)</f>
        <v>0</v>
      </c>
    </row>
    <row r="26" spans="1:25" x14ac:dyDescent="0.25">
      <c r="A26" s="143"/>
      <c r="B26" s="163" t="str">
        <f>D2</f>
        <v>Uzbekistan</v>
      </c>
      <c r="C26" s="164">
        <f>IF(G39="",0,G39)</f>
        <v>0</v>
      </c>
      <c r="D26" s="164">
        <f>IF(G41="",0,G41)</f>
        <v>0</v>
      </c>
      <c r="E26" s="209"/>
      <c r="F26" s="164">
        <f>IF(F38="",0,F38)</f>
        <v>0</v>
      </c>
      <c r="G26" s="165">
        <f>SUM(C26:F26)</f>
        <v>0</v>
      </c>
      <c r="H26" s="169" t="str">
        <f t="shared" si="27"/>
        <v>Uzbekistan</v>
      </c>
      <c r="I26" s="170">
        <f>C26*I5</f>
        <v>0</v>
      </c>
      <c r="J26" s="170">
        <f>D26*J5</f>
        <v>0</v>
      </c>
      <c r="K26" s="214"/>
      <c r="L26" s="170">
        <f>F26*L5</f>
        <v>0</v>
      </c>
      <c r="M26" s="171">
        <f>SUM(I26:L26)</f>
        <v>0</v>
      </c>
      <c r="N26" s="169" t="str">
        <f t="shared" si="28"/>
        <v>Uzbekistan</v>
      </c>
      <c r="O26" s="170">
        <f>I26*O5</f>
        <v>0</v>
      </c>
      <c r="P26" s="170">
        <f>J26*P5</f>
        <v>0</v>
      </c>
      <c r="Q26" s="214"/>
      <c r="R26" s="170">
        <f>L26*R5</f>
        <v>0</v>
      </c>
      <c r="S26" s="171">
        <f>SUM(O26:R26)</f>
        <v>0</v>
      </c>
      <c r="T26" s="169" t="str">
        <f t="shared" si="29"/>
        <v>Uzbekistan</v>
      </c>
      <c r="U26" s="170">
        <f>O26*U5</f>
        <v>0</v>
      </c>
      <c r="V26" s="170">
        <f>P26*V5</f>
        <v>0</v>
      </c>
      <c r="W26" s="214"/>
      <c r="X26" s="170">
        <f>R26*X5</f>
        <v>0</v>
      </c>
      <c r="Y26" s="171">
        <f>SUM(U26:X26)</f>
        <v>0</v>
      </c>
    </row>
    <row r="27" spans="1:25" x14ac:dyDescent="0.25">
      <c r="A27" s="143"/>
      <c r="B27" s="166" t="str">
        <f>E2</f>
        <v>Colombia</v>
      </c>
      <c r="C27" s="167">
        <f>IF(F42="",0,F42)</f>
        <v>0</v>
      </c>
      <c r="D27" s="167">
        <f>IF(F40="",0,F40)</f>
        <v>0</v>
      </c>
      <c r="E27" s="167">
        <f>IF(G38="",0,G38)</f>
        <v>0</v>
      </c>
      <c r="F27" s="210"/>
      <c r="G27" s="168">
        <f>SUM(C27:F27)</f>
        <v>0</v>
      </c>
      <c r="H27" s="172" t="str">
        <f t="shared" si="27"/>
        <v>Colombia</v>
      </c>
      <c r="I27" s="173">
        <f>C27*I6</f>
        <v>0</v>
      </c>
      <c r="J27" s="173">
        <f>D27*J6</f>
        <v>0</v>
      </c>
      <c r="K27" s="173">
        <f>E27*K6</f>
        <v>0</v>
      </c>
      <c r="L27" s="215"/>
      <c r="M27" s="174">
        <f>SUM(I27:L27)</f>
        <v>0</v>
      </c>
      <c r="N27" s="172" t="str">
        <f t="shared" si="28"/>
        <v>Colombia</v>
      </c>
      <c r="O27" s="173">
        <f>I27*O6</f>
        <v>0</v>
      </c>
      <c r="P27" s="173">
        <f>J27*P6</f>
        <v>0</v>
      </c>
      <c r="Q27" s="173">
        <f>K27*Q6</f>
        <v>0</v>
      </c>
      <c r="R27" s="215"/>
      <c r="S27" s="174">
        <f>SUM(O27:R27)</f>
        <v>0</v>
      </c>
      <c r="T27" s="172" t="str">
        <f t="shared" si="29"/>
        <v>Colombia</v>
      </c>
      <c r="U27" s="173">
        <f>O27*U6</f>
        <v>0</v>
      </c>
      <c r="V27" s="173">
        <f>P27*V6</f>
        <v>0</v>
      </c>
      <c r="W27" s="173">
        <f>Q27*W6</f>
        <v>0</v>
      </c>
      <c r="X27" s="215"/>
      <c r="Y27" s="174">
        <f>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232" t="s">
        <v>631</v>
      </c>
      <c r="E29" s="232" t="s">
        <v>632</v>
      </c>
      <c r="F29" s="232" t="s">
        <v>633</v>
      </c>
      <c r="G29" s="232" t="s">
        <v>676</v>
      </c>
      <c r="H29" s="232" t="s">
        <v>411</v>
      </c>
      <c r="I29" s="232" t="s">
        <v>661</v>
      </c>
      <c r="J29" s="232" t="s">
        <v>634</v>
      </c>
      <c r="K29" s="233" t="s">
        <v>635</v>
      </c>
    </row>
    <row r="30" spans="1:25" x14ac:dyDescent="0.25">
      <c r="A30" s="234">
        <f>K30</f>
        <v>1</v>
      </c>
      <c r="B30" s="235" t="str">
        <f>B2</f>
        <v>Portugal</v>
      </c>
      <c r="C30" s="236">
        <f>VLOOKUP($B30,Lookup10,3,FALSE)</f>
        <v>0</v>
      </c>
      <c r="D30" s="236">
        <f>VLOOKUP($B30,Lookup10,7,FALSE)</f>
        <v>0</v>
      </c>
      <c r="E30" s="236">
        <f>VLOOKUP($B30,Lookup10,8,FALSE)</f>
        <v>0</v>
      </c>
      <c r="F30" s="236">
        <f>VLOOKUP($B30,Lookup10,9,FALSE)</f>
        <v>0</v>
      </c>
      <c r="G30" s="237">
        <f>Z10</f>
        <v>1</v>
      </c>
      <c r="H30" s="236">
        <f>VLOOKUP($B30,Lookup10,11,FALSE)</f>
        <v>0</v>
      </c>
      <c r="I30" s="236">
        <f>VLOOKUP($B30,Lookup11,2,FALSE)</f>
        <v>5</v>
      </c>
      <c r="J30" s="238">
        <f>ROUND(D30*D$34+F30*F$34+G30*G$34-H30*H$34-I30*I$34,8)</f>
        <v>9999.9994999999999</v>
      </c>
      <c r="K30" s="239">
        <f>RANK(J30,J$30:J$33,0)</f>
        <v>1</v>
      </c>
    </row>
    <row r="31" spans="1:25" x14ac:dyDescent="0.25">
      <c r="A31" s="234">
        <f t="shared" ref="A31:A33" si="30">K31</f>
        <v>3</v>
      </c>
      <c r="B31" s="235" t="str">
        <f>C2</f>
        <v>Congo DR</v>
      </c>
      <c r="C31" s="236">
        <f>VLOOKUP($B31,Lookup10,3,FALSE)</f>
        <v>0</v>
      </c>
      <c r="D31" s="236">
        <f>VLOOKUP($B31,Lookup10,7,FALSE)</f>
        <v>0</v>
      </c>
      <c r="E31" s="236">
        <f>VLOOKUP($B31,Lookup10,8,FALSE)</f>
        <v>0</v>
      </c>
      <c r="F31" s="236">
        <f>VLOOKUP($B31,Lookup10,9,FALSE)</f>
        <v>0</v>
      </c>
      <c r="G31" s="237">
        <f t="shared" ref="G31:G33" si="31">Z11</f>
        <v>1</v>
      </c>
      <c r="H31" s="236">
        <f>VLOOKUP($B31,Lookup10,11,FALSE)</f>
        <v>0</v>
      </c>
      <c r="I31" s="236">
        <f>VLOOKUP($B31,Lookup11,2,FALSE)</f>
        <v>36</v>
      </c>
      <c r="J31" s="238">
        <f t="shared" ref="J31:J33" si="32">ROUND(D31*D$34+F31*F$34+G31*G$34-H31*H$34-I31*I$34,8)</f>
        <v>9999.9964</v>
      </c>
      <c r="K31" s="239">
        <f>RANK(J31,J$30:J$33,0)</f>
        <v>3</v>
      </c>
    </row>
    <row r="32" spans="1:25" x14ac:dyDescent="0.25">
      <c r="A32" s="234">
        <f t="shared" si="30"/>
        <v>4</v>
      </c>
      <c r="B32" s="235" t="str">
        <f>D2</f>
        <v>Uzbekistan</v>
      </c>
      <c r="C32" s="236">
        <f>VLOOKUP($B32,Lookup10,3,FALSE)</f>
        <v>0</v>
      </c>
      <c r="D32" s="236">
        <f>VLOOKUP($B32,Lookup10,7,FALSE)</f>
        <v>0</v>
      </c>
      <c r="E32" s="236">
        <f>VLOOKUP($B32,Lookup10,8,FALSE)</f>
        <v>0</v>
      </c>
      <c r="F32" s="236">
        <f>VLOOKUP($B32,Lookup10,9,FALSE)</f>
        <v>0</v>
      </c>
      <c r="G32" s="237">
        <f t="shared" si="31"/>
        <v>1</v>
      </c>
      <c r="H32" s="236">
        <f>VLOOKUP($B32,Lookup10,11,FALSE)</f>
        <v>0</v>
      </c>
      <c r="I32" s="236">
        <f>VLOOKUP($B32,Lookup11,2,FALSE)</f>
        <v>37</v>
      </c>
      <c r="J32" s="238">
        <f t="shared" si="32"/>
        <v>9999.9963000000007</v>
      </c>
      <c r="K32" s="239">
        <f>RANK(J32,J$30:J$33,0)</f>
        <v>4</v>
      </c>
    </row>
    <row r="33" spans="1:16" x14ac:dyDescent="0.25">
      <c r="A33" s="234">
        <f t="shared" si="30"/>
        <v>2</v>
      </c>
      <c r="B33" s="235" t="str">
        <f>E2</f>
        <v>Colombia</v>
      </c>
      <c r="C33" s="236">
        <f>VLOOKUP($B33,Lookup10,3,FALSE)</f>
        <v>0</v>
      </c>
      <c r="D33" s="236">
        <f>VLOOKUP($B33,Lookup10,7,FALSE)</f>
        <v>0</v>
      </c>
      <c r="E33" s="236">
        <f>VLOOKUP($B33,Lookup10,8,FALSE)</f>
        <v>0</v>
      </c>
      <c r="F33" s="236">
        <f>VLOOKUP($B33,Lookup10,9,FALSE)</f>
        <v>0</v>
      </c>
      <c r="G33" s="237">
        <f t="shared" si="31"/>
        <v>1</v>
      </c>
      <c r="H33" s="236">
        <f>VLOOKUP($B33,Lookup10,11,FALSE)</f>
        <v>0</v>
      </c>
      <c r="I33" s="236">
        <f>VLOOKUP($B33,Lookup11,2,FALSE)</f>
        <v>12</v>
      </c>
      <c r="J33" s="238">
        <f t="shared" si="32"/>
        <v>9999.9987999999994</v>
      </c>
      <c r="K33" s="239">
        <f>RANK(J33,J$30:J$33,0)</f>
        <v>2</v>
      </c>
    </row>
    <row r="34" spans="1:16" x14ac:dyDescent="0.25">
      <c r="A34" s="240"/>
      <c r="B34" s="241" t="s">
        <v>636</v>
      </c>
      <c r="C34" s="242">
        <f>SUM(C30:C33)</f>
        <v>0</v>
      </c>
      <c r="D34" s="205">
        <v>1</v>
      </c>
      <c r="E34" s="205"/>
      <c r="F34" s="205">
        <v>100</v>
      </c>
      <c r="G34" s="205">
        <v>10000</v>
      </c>
      <c r="H34" s="205">
        <v>0.01</v>
      </c>
      <c r="I34" s="205">
        <v>1E-4</v>
      </c>
      <c r="J34" s="242"/>
      <c r="K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PortugalCongo DR</v>
      </c>
      <c r="B37" s="158" t="str">
        <f>B1&amp;C1</f>
        <v>K1K2</v>
      </c>
      <c r="C37" s="158">
        <f>IF(Data!Q73="",0,1)</f>
        <v>0</v>
      </c>
      <c r="D37" s="150" t="str">
        <f>B2</f>
        <v>Portugal</v>
      </c>
      <c r="E37" s="150" t="str">
        <f>C2</f>
        <v>Congo DR</v>
      </c>
      <c r="F37" s="158" t="str">
        <f t="shared" ref="F37:F42" si="33">VLOOKUP($B37,Lookup12,2,FALSE)</f>
        <v/>
      </c>
      <c r="G37" s="158" t="str">
        <f t="shared" ref="G37:G42" si="34">VLOOKUP($B37,Lookup12,3,FALSE)</f>
        <v/>
      </c>
      <c r="H37" s="158">
        <f t="shared" ref="H37:H42" si="35">IF(C37=0,0,IF(F37&lt;G37,Lpts,IF(F37&gt;G37,Wpts,Dpts)))</f>
        <v>0</v>
      </c>
      <c r="I37" s="158">
        <f t="shared" ref="I37:I42" si="36">IF(C37=0,0,IF(G37&lt;F37,Lpts,IF(G37&gt;F37,Wpts,Dpts)))</f>
        <v>0</v>
      </c>
      <c r="J37" s="158" t="str">
        <f t="shared" ref="J37:J42" si="37">VLOOKUP($B37,Lookup12,4,FALSE)</f>
        <v/>
      </c>
      <c r="K37" s="158" t="str">
        <f t="shared" ref="K37:K42" si="38">VLOOKUP($B37,Lookup12,5,FALSE)</f>
        <v/>
      </c>
      <c r="L37" s="143"/>
      <c r="M37" s="143"/>
      <c r="N37" s="143"/>
      <c r="O37" s="143"/>
      <c r="P37" s="143"/>
    </row>
    <row r="38" spans="1:16" x14ac:dyDescent="0.25">
      <c r="A38" s="149" t="str">
        <f>D2&amp;E2</f>
        <v>UzbekistanColombia</v>
      </c>
      <c r="B38" s="158" t="str">
        <f>D1&amp;E1</f>
        <v>K3K4</v>
      </c>
      <c r="C38" s="158">
        <f>IF(Data!Q74="",0,1)</f>
        <v>0</v>
      </c>
      <c r="D38" s="150" t="str">
        <f>D2</f>
        <v>Uzbekistan</v>
      </c>
      <c r="E38" s="150" t="str">
        <f>E2</f>
        <v>Colombia</v>
      </c>
      <c r="F38" s="158" t="str">
        <f t="shared" si="33"/>
        <v/>
      </c>
      <c r="G38" s="158" t="str">
        <f t="shared" si="34"/>
        <v/>
      </c>
      <c r="H38" s="158">
        <f t="shared" si="35"/>
        <v>0</v>
      </c>
      <c r="I38" s="158">
        <f t="shared" si="36"/>
        <v>0</v>
      </c>
      <c r="J38" s="158" t="str">
        <f t="shared" si="37"/>
        <v/>
      </c>
      <c r="K38" s="158" t="str">
        <f t="shared" si="38"/>
        <v/>
      </c>
      <c r="L38" s="143"/>
      <c r="M38" s="143"/>
      <c r="N38" s="143"/>
      <c r="O38" s="143"/>
      <c r="P38" s="143"/>
    </row>
    <row r="39" spans="1:16" x14ac:dyDescent="0.25">
      <c r="A39" s="149" t="str">
        <f>B2&amp;D2</f>
        <v>PortugalUzbekistan</v>
      </c>
      <c r="B39" s="158" t="str">
        <f>B1&amp;D1</f>
        <v>K1K3</v>
      </c>
      <c r="C39" s="158">
        <f>IF(Data!Q75="",0,1)</f>
        <v>0</v>
      </c>
      <c r="D39" s="150" t="str">
        <f>B2</f>
        <v>Portugal</v>
      </c>
      <c r="E39" s="150" t="str">
        <f>D2</f>
        <v>Uzbekistan</v>
      </c>
      <c r="F39" s="158" t="str">
        <f t="shared" si="33"/>
        <v/>
      </c>
      <c r="G39" s="158" t="str">
        <f t="shared" si="34"/>
        <v/>
      </c>
      <c r="H39" s="158">
        <f t="shared" si="35"/>
        <v>0</v>
      </c>
      <c r="I39" s="158">
        <f t="shared" si="36"/>
        <v>0</v>
      </c>
      <c r="J39" s="158" t="str">
        <f t="shared" si="37"/>
        <v/>
      </c>
      <c r="K39" s="158" t="str">
        <f t="shared" si="38"/>
        <v/>
      </c>
      <c r="L39" s="143"/>
      <c r="M39" s="143"/>
      <c r="N39" s="143"/>
      <c r="O39" s="143"/>
      <c r="P39" s="143"/>
    </row>
    <row r="40" spans="1:16" x14ac:dyDescent="0.25">
      <c r="A40" s="149" t="str">
        <f>E2&amp;C2</f>
        <v>ColombiaCongo DR</v>
      </c>
      <c r="B40" s="158" t="str">
        <f>E1&amp;C1</f>
        <v>K4K2</v>
      </c>
      <c r="C40" s="158">
        <f>IF(Data!Q76="",0,1)</f>
        <v>0</v>
      </c>
      <c r="D40" s="150" t="str">
        <f>E2</f>
        <v>Colombia</v>
      </c>
      <c r="E40" s="150" t="str">
        <f>C2</f>
        <v>Congo DR</v>
      </c>
      <c r="F40" s="158" t="str">
        <f t="shared" si="33"/>
        <v/>
      </c>
      <c r="G40" s="158" t="str">
        <f t="shared" si="34"/>
        <v/>
      </c>
      <c r="H40" s="158">
        <f t="shared" si="35"/>
        <v>0</v>
      </c>
      <c r="I40" s="158">
        <f t="shared" si="36"/>
        <v>0</v>
      </c>
      <c r="J40" s="158" t="str">
        <f t="shared" si="37"/>
        <v/>
      </c>
      <c r="K40" s="158" t="str">
        <f t="shared" si="38"/>
        <v/>
      </c>
      <c r="L40" s="143"/>
      <c r="M40" s="143"/>
      <c r="N40" s="143"/>
      <c r="O40" s="143"/>
      <c r="P40" s="143"/>
    </row>
    <row r="41" spans="1:16" x14ac:dyDescent="0.25">
      <c r="A41" s="149" t="str">
        <f>C2&amp;D2</f>
        <v>Congo DRUzbekistan</v>
      </c>
      <c r="B41" s="158" t="str">
        <f>C1&amp;D1</f>
        <v>K2K3</v>
      </c>
      <c r="C41" s="158">
        <f>IF(Data!Q77="",0,1)</f>
        <v>0</v>
      </c>
      <c r="D41" s="150" t="str">
        <f>C2</f>
        <v>Congo DR</v>
      </c>
      <c r="E41" s="150" t="str">
        <f>D2</f>
        <v>Uzbekistan</v>
      </c>
      <c r="F41" s="158" t="str">
        <f t="shared" si="33"/>
        <v/>
      </c>
      <c r="G41" s="158" t="str">
        <f t="shared" si="34"/>
        <v/>
      </c>
      <c r="H41" s="158">
        <f t="shared" si="35"/>
        <v>0</v>
      </c>
      <c r="I41" s="158">
        <f t="shared" si="36"/>
        <v>0</v>
      </c>
      <c r="J41" s="158" t="str">
        <f t="shared" si="37"/>
        <v/>
      </c>
      <c r="K41" s="158" t="str">
        <f t="shared" si="38"/>
        <v/>
      </c>
      <c r="L41" s="143"/>
      <c r="M41" s="143"/>
      <c r="N41" s="143"/>
      <c r="O41" s="143"/>
      <c r="P41" s="143"/>
    </row>
    <row r="42" spans="1:16" x14ac:dyDescent="0.25">
      <c r="A42" s="151" t="str">
        <f>E2&amp;B2</f>
        <v>ColombiaPortugal</v>
      </c>
      <c r="B42" s="159" t="str">
        <f>E1&amp;B1</f>
        <v>K4K1</v>
      </c>
      <c r="C42" s="159">
        <f>IF(Data!Q78="",0,1)</f>
        <v>0</v>
      </c>
      <c r="D42" s="152" t="str">
        <f>E2</f>
        <v>Colombia</v>
      </c>
      <c r="E42" s="152" t="str">
        <f>B2</f>
        <v>Portugal</v>
      </c>
      <c r="F42" s="159" t="str">
        <f t="shared" si="33"/>
        <v/>
      </c>
      <c r="G42" s="159" t="str">
        <f t="shared" si="34"/>
        <v/>
      </c>
      <c r="H42" s="159">
        <f t="shared" si="35"/>
        <v>0</v>
      </c>
      <c r="I42" s="159">
        <f t="shared" si="36"/>
        <v>0</v>
      </c>
      <c r="J42" s="159" t="str">
        <f t="shared" si="37"/>
        <v/>
      </c>
      <c r="K42" s="159" t="str">
        <f t="shared" si="38"/>
        <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$B45</f>
        <v>Portugal</v>
      </c>
      <c r="M44" s="154" t="str">
        <f>$B46</f>
        <v>Colombia</v>
      </c>
      <c r="N44" s="154" t="str">
        <f>$B47</f>
        <v>Congo DR</v>
      </c>
      <c r="O44" s="154" t="str">
        <f>$B48</f>
        <v>Uzbekistan</v>
      </c>
      <c r="P44" s="155"/>
    </row>
    <row r="45" spans="1:16" x14ac:dyDescent="0.25">
      <c r="A45" s="156">
        <v>1</v>
      </c>
      <c r="B45" s="156" t="str">
        <f>VLOOKUP($A45,RankingK,2,FALSE)</f>
        <v>Portugal</v>
      </c>
      <c r="C45" s="157">
        <f>VLOOKUP($B45,Lookup10,3,FALSE)</f>
        <v>0</v>
      </c>
      <c r="D45" s="157">
        <f>VLOOKUP($B45,Lookup10,4,FALSE)</f>
        <v>0</v>
      </c>
      <c r="E45" s="157">
        <f>VLOOKUP($B45,Lookup10,5,FALSE)</f>
        <v>0</v>
      </c>
      <c r="F45" s="157">
        <f>VLOOKUP($B45,Lookup10,6,FALSE)</f>
        <v>0</v>
      </c>
      <c r="G45" s="157">
        <f>VLOOKUP($B45,Lookup10,7,FALSE)</f>
        <v>0</v>
      </c>
      <c r="H45" s="157">
        <f>VLOOKUP($B45,Lookup10,8,FALSE)</f>
        <v>0</v>
      </c>
      <c r="I45" s="157">
        <f>VLOOKUP($B45,Lookup10,9,FALSE)</f>
        <v>0</v>
      </c>
      <c r="J45" s="157">
        <f>VLOOKUP($B45,Lookup10,10,FALSE)</f>
        <v>0</v>
      </c>
      <c r="K45" s="201" t="str">
        <f>B45</f>
        <v>Portugal</v>
      </c>
      <c r="L45" s="203"/>
      <c r="M45" s="202" t="str">
        <f>IFERROR(VLOOKUP($B45&amp;M$44,A37:G42,6,FALSE)&amp;"-"&amp;VLOOKUP($B45&amp;M$44,A37:G42,7,FALSE),VLOOKUP(M$44&amp;$B45,A37:G42,7,FALSE)&amp;"-"&amp;VLOOKUP(M$44&amp;$B45,A37:G42,6,FALSE))</f>
        <v>-</v>
      </c>
      <c r="N45" s="202" t="str">
        <f>IFERROR(VLOOKUP($B45&amp;N$44,A37:G42,6,FALSE)&amp;"-"&amp;VLOOKUP($B45&amp;N$44,A37:G42,7,FALSE),VLOOKUP(N$44&amp;$B45,A37:G42,7,FALSE)&amp;"-"&amp;VLOOKUP(N$44&amp;$B45,A37:G42,6,FALSE))</f>
        <v>-</v>
      </c>
      <c r="O45" s="202" t="str">
        <f>IFERROR(VLOOKUP($B45&amp;O$44,A37:G42,6,FALSE)&amp;"-"&amp;VLOOKUP($B45&amp;O$44,A37:G42,7,FALSE),VLOOKUP(O$44&amp;$B45,A37:G42,7,FALSE)&amp;"-"&amp;VLOOKUP(O$44&amp;$B45,A37:G42,6,FALSE))</f>
        <v>-</v>
      </c>
      <c r="P45" s="155"/>
    </row>
    <row r="46" spans="1:16" x14ac:dyDescent="0.25">
      <c r="A46" s="156">
        <v>2</v>
      </c>
      <c r="B46" s="156" t="str">
        <f>VLOOKUP($A46,RankingK,2,FALSE)</f>
        <v>Colombia</v>
      </c>
      <c r="C46" s="157">
        <f>VLOOKUP($B46,Lookup10,3,FALSE)</f>
        <v>0</v>
      </c>
      <c r="D46" s="157">
        <f>VLOOKUP($B46,Lookup10,4,FALSE)</f>
        <v>0</v>
      </c>
      <c r="E46" s="157">
        <f>VLOOKUP($B46,Lookup10,5,FALSE)</f>
        <v>0</v>
      </c>
      <c r="F46" s="157">
        <f>VLOOKUP($B46,Lookup10,6,FALSE)</f>
        <v>0</v>
      </c>
      <c r="G46" s="157">
        <f>VLOOKUP($B46,Lookup10,7,FALSE)</f>
        <v>0</v>
      </c>
      <c r="H46" s="157">
        <f>VLOOKUP($B46,Lookup10,8,FALSE)</f>
        <v>0</v>
      </c>
      <c r="I46" s="157">
        <f>VLOOKUP($B46,Lookup10,9,FALSE)</f>
        <v>0</v>
      </c>
      <c r="J46" s="157">
        <f>VLOOKUP($B46,Lookup10,10,FALSE)</f>
        <v>0</v>
      </c>
      <c r="K46" s="201" t="str">
        <f>B46</f>
        <v>Colombia</v>
      </c>
      <c r="L46" s="202" t="str">
        <f>IFERROR(VLOOKUP($B46&amp;L$44,A37:G42,6,FALSE)&amp;"-"&amp;VLOOKUP($B46&amp;L$44,A37:G42,7,FALSE),VLOOKUP(L$44&amp;$B46,A37:G42,7,FALSE)&amp;"-"&amp;VLOOKUP(L$44&amp;$B46,A37:G42,6,FALSE))</f>
        <v>-</v>
      </c>
      <c r="M46" s="203"/>
      <c r="N46" s="202" t="str">
        <f>IFERROR(VLOOKUP($B46&amp;N$44,A37:G42,6,FALSE)&amp;"-"&amp;VLOOKUP($B46&amp;N$44,A37:G42,7,FALSE),VLOOKUP(N$44&amp;$B46,A37:G42,7,FALSE)&amp;"-"&amp;VLOOKUP(N$44&amp;$B46,A37:G42,6,FALSE))</f>
        <v>-</v>
      </c>
      <c r="O46" s="202" t="str">
        <f>IFERROR(VLOOKUP($B46&amp;O$44,A37:G42,6,FALSE)&amp;"-"&amp;VLOOKUP($B46&amp;O$44,A37:G42,7,FALSE),VLOOKUP(O$44&amp;$B46,A37:G42,7,FALSE)&amp;"-"&amp;VLOOKUP(O$44&amp;$B46,A37:G42,6,FALSE))</f>
        <v>-</v>
      </c>
      <c r="P46" s="155"/>
    </row>
    <row r="47" spans="1:16" x14ac:dyDescent="0.25">
      <c r="A47" s="156">
        <v>3</v>
      </c>
      <c r="B47" s="156" t="str">
        <f>VLOOKUP($A47,RankingK,2,FALSE)</f>
        <v>Congo DR</v>
      </c>
      <c r="C47" s="157">
        <f>VLOOKUP($B47,Lookup10,3,FALSE)</f>
        <v>0</v>
      </c>
      <c r="D47" s="157">
        <f>VLOOKUP($B47,Lookup10,4,FALSE)</f>
        <v>0</v>
      </c>
      <c r="E47" s="157">
        <f>VLOOKUP($B47,Lookup10,5,FALSE)</f>
        <v>0</v>
      </c>
      <c r="F47" s="157">
        <f>VLOOKUP($B47,Lookup10,6,FALSE)</f>
        <v>0</v>
      </c>
      <c r="G47" s="157">
        <f>VLOOKUP($B47,Lookup10,7,FALSE)</f>
        <v>0</v>
      </c>
      <c r="H47" s="157">
        <f>VLOOKUP($B47,Lookup10,8,FALSE)</f>
        <v>0</v>
      </c>
      <c r="I47" s="157">
        <f>VLOOKUP($B47,Lookup10,9,FALSE)</f>
        <v>0</v>
      </c>
      <c r="J47" s="157">
        <f>VLOOKUP($B47,Lookup10,10,FALSE)</f>
        <v>0</v>
      </c>
      <c r="K47" s="201" t="str">
        <f>B47</f>
        <v>Congo DR</v>
      </c>
      <c r="L47" s="202" t="str">
        <f>IFERROR(VLOOKUP($B47&amp;L$44,A37:G42,6,FALSE)&amp;"-"&amp;VLOOKUP($B47&amp;L$44,A37:G42,7,FALSE),VLOOKUP(L$44&amp;$B47,A37:G42,7,FALSE)&amp;"-"&amp;VLOOKUP(L$44&amp;$B47,A37:G42,6,FALSE))</f>
        <v>-</v>
      </c>
      <c r="M47" s="202" t="str">
        <f>IFERROR(VLOOKUP($B47&amp;M$44,A37:G42,6,FALSE)&amp;"-"&amp;VLOOKUP($B47&amp;M$44,A37:G42,7,FALSE),VLOOKUP(M$44&amp;$B47,A37:G42,7,FALSE)&amp;"-"&amp;VLOOKUP(M$44&amp;$B47,A37:G42,6,FALSE))</f>
        <v>-</v>
      </c>
      <c r="N47" s="203"/>
      <c r="O47" s="202" t="str">
        <f>IFERROR(VLOOKUP($B47&amp;O$44,A37:G42,6,FALSE)&amp;"-"&amp;VLOOKUP($B47&amp;O$44,A37:G42,7,FALSE),VLOOKUP(O$44&amp;$B47,A37:G42,7,FALSE)&amp;"-"&amp;VLOOKUP(O$44&amp;$B47,A37:G42,6,FALSE))</f>
        <v>-</v>
      </c>
      <c r="P47" s="155"/>
    </row>
    <row r="48" spans="1:16" x14ac:dyDescent="0.25">
      <c r="A48" s="156">
        <v>4</v>
      </c>
      <c r="B48" s="156" t="str">
        <f>VLOOKUP($A48,RankingK,2,FALSE)</f>
        <v>Uzbekistan</v>
      </c>
      <c r="C48" s="157">
        <f>VLOOKUP($B48,Lookup10,3,FALSE)</f>
        <v>0</v>
      </c>
      <c r="D48" s="157">
        <f>VLOOKUP($B48,Lookup10,4,FALSE)</f>
        <v>0</v>
      </c>
      <c r="E48" s="157">
        <f>VLOOKUP($B48,Lookup10,5,FALSE)</f>
        <v>0</v>
      </c>
      <c r="F48" s="157">
        <f>VLOOKUP($B48,Lookup10,6,FALSE)</f>
        <v>0</v>
      </c>
      <c r="G48" s="157">
        <f>VLOOKUP($B48,Lookup10,7,FALSE)</f>
        <v>0</v>
      </c>
      <c r="H48" s="157">
        <f>VLOOKUP($B48,Lookup10,8,FALSE)</f>
        <v>0</v>
      </c>
      <c r="I48" s="157">
        <f>VLOOKUP($B48,Lookup10,9,FALSE)</f>
        <v>0</v>
      </c>
      <c r="J48" s="157">
        <f>VLOOKUP($B48,Lookup10,10,FALSE)</f>
        <v>0</v>
      </c>
      <c r="K48" s="201" t="str">
        <f>B48</f>
        <v>Uzbekistan</v>
      </c>
      <c r="L48" s="202" t="str">
        <f>IFERROR(VLOOKUP($B48&amp;L$44,A37:G42,6,FALSE)&amp;"-"&amp;VLOOKUP($B48&amp;L$44,A37:G42,7,FALSE),VLOOKUP(L$44&amp;$B48,A37:G42,7,FALSE)&amp;"-"&amp;VLOOKUP(L$44&amp;$B48,A37:G42,6,FALSE))</f>
        <v>-</v>
      </c>
      <c r="M48" s="202" t="str">
        <f>IFERROR(VLOOKUP($B48&amp;M$44,A37:G42,6,FALSE)&amp;"-"&amp;VLOOKUP($B48&amp;M$44,A37:G42,7,FALSE),VLOOKUP(M$44&amp;$B48,A37:G42,7,FALSE)&amp;"-"&amp;VLOOKUP(M$44&amp;$B48,A37:G42,6,FALSE))</f>
        <v>-</v>
      </c>
      <c r="N48" s="202" t="str">
        <f>IFERROR(VLOOKUP($B48&amp;N$44,A37:G42,6,FALSE)&amp;"-"&amp;VLOOKUP($B48&amp;N$44,A37:G42,7,FALSE),VLOOKUP(N$44&amp;$B48,A37:G42,7,FALSE)&amp;"-"&amp;VLOOKUP(N$44&amp;$B48,A37:G42,6,FALSE))</f>
        <v>-</v>
      </c>
      <c r="O48" s="203"/>
      <c r="P48" s="155"/>
    </row>
    <row r="49" spans="1:16" x14ac:dyDescent="0.25">
      <c r="A49" s="143"/>
      <c r="B49" s="143"/>
      <c r="C49" s="461">
        <f>SUM(C45:C48)</f>
        <v>0</v>
      </c>
      <c r="D49" s="143"/>
      <c r="E49" s="143"/>
      <c r="F49" s="143"/>
      <c r="G49" s="143"/>
      <c r="H49" s="143"/>
      <c r="I49" s="143"/>
      <c r="J49" s="143"/>
      <c r="K49" s="143"/>
      <c r="L49" s="143"/>
      <c r="M49" s="143"/>
      <c r="N49" s="143"/>
      <c r="O49" s="143"/>
      <c r="P49" s="143"/>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CCC1F-B5E5-4F82-95AC-0AC82E2E45CF}">
  <sheetPr>
    <tabColor rgb="FFC00000"/>
  </sheetPr>
  <dimension ref="A1:Z49"/>
  <sheetViews>
    <sheetView workbookViewId="0">
      <pane ySplit="2" topLeftCell="A18" activePane="bottomLeft" state="frozen"/>
      <selection activeCell="C42" sqref="C42"/>
      <selection pane="bottomLeft" activeCell="C42" sqref="C42"/>
    </sheetView>
  </sheetViews>
  <sheetFormatPr defaultColWidth="16.7109375" defaultRowHeight="15" x14ac:dyDescent="0.25"/>
  <sheetData>
    <row r="1" spans="1:26" x14ac:dyDescent="0.25">
      <c r="A1" s="228" t="s">
        <v>320</v>
      </c>
      <c r="B1" s="216" t="str">
        <f>A2&amp;1</f>
        <v>L1</v>
      </c>
      <c r="C1" s="216" t="str">
        <f>A2&amp;2</f>
        <v>L2</v>
      </c>
      <c r="D1" s="216" t="str">
        <f>A2&amp;3</f>
        <v>L3</v>
      </c>
      <c r="E1" s="216" t="str">
        <f>A2&amp;4</f>
        <v>L4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306</v>
      </c>
      <c r="B2" s="217" t="str">
        <f>VLOOKUP(B1,Lookup08,2,FALSE)</f>
        <v>England</v>
      </c>
      <c r="C2" s="217" t="str">
        <f>VLOOKUP(C1,Lookup08,2,FALSE)</f>
        <v>Croatia</v>
      </c>
      <c r="D2" s="217" t="str">
        <f>VLOOKUP(D1,Lookup08,2,FALSE)</f>
        <v>Ghana</v>
      </c>
      <c r="E2" s="217" t="str">
        <f>VLOOKUP(E1,Lookup08,2,FALSE)</f>
        <v>Panama</v>
      </c>
      <c r="F2" s="144"/>
      <c r="G2" s="144"/>
      <c r="H2" s="195"/>
      <c r="I2" s="196" t="str">
        <f>B2</f>
        <v>England</v>
      </c>
      <c r="J2" s="196" t="str">
        <f>C2</f>
        <v>Croatia</v>
      </c>
      <c r="K2" s="196" t="str">
        <f>D2</f>
        <v>Ghana</v>
      </c>
      <c r="L2" s="196" t="str">
        <f>E2</f>
        <v>Panama</v>
      </c>
      <c r="M2" s="197" t="s">
        <v>26</v>
      </c>
      <c r="N2" s="195"/>
      <c r="O2" s="196" t="str">
        <f>I2</f>
        <v>England</v>
      </c>
      <c r="P2" s="196" t="str">
        <f t="shared" ref="P2:R2" si="0">J2</f>
        <v>Croatia</v>
      </c>
      <c r="Q2" s="196" t="str">
        <f t="shared" si="0"/>
        <v>Ghana</v>
      </c>
      <c r="R2" s="196" t="str">
        <f t="shared" si="0"/>
        <v>Panama</v>
      </c>
      <c r="S2" s="197" t="s">
        <v>26</v>
      </c>
      <c r="T2" s="195"/>
      <c r="U2" s="196" t="str">
        <f>O2</f>
        <v>England</v>
      </c>
      <c r="V2" s="196" t="str">
        <f t="shared" ref="V2:X2" si="1">P2</f>
        <v>Croatia</v>
      </c>
      <c r="W2" s="196" t="str">
        <f t="shared" si="1"/>
        <v>Ghana</v>
      </c>
      <c r="X2" s="196" t="str">
        <f t="shared" si="1"/>
        <v>Panama</v>
      </c>
      <c r="Y2" s="197" t="s">
        <v>26</v>
      </c>
    </row>
    <row r="3" spans="1:26" x14ac:dyDescent="0.25">
      <c r="A3" s="144"/>
      <c r="B3" s="144"/>
      <c r="C3" s="144"/>
      <c r="F3" s="144"/>
      <c r="G3" s="144"/>
      <c r="H3" s="195" t="str">
        <f>B2</f>
        <v>England</v>
      </c>
      <c r="I3" s="211"/>
      <c r="J3" s="196">
        <f>IF(G10=G11,1,0)</f>
        <v>1</v>
      </c>
      <c r="K3" s="196">
        <f>IF(G10=G12,1,0)</f>
        <v>1</v>
      </c>
      <c r="L3" s="196">
        <f>IF(G10=G13,1,0)</f>
        <v>1</v>
      </c>
      <c r="M3" s="197">
        <f>SUM(I3:L3)</f>
        <v>3</v>
      </c>
      <c r="N3" s="195" t="str">
        <f>H3</f>
        <v>England</v>
      </c>
      <c r="O3" s="211"/>
      <c r="P3" s="196">
        <f>IF(M10=M11,1,0)</f>
        <v>1</v>
      </c>
      <c r="Q3" s="196">
        <f>IF(M10=M12,1,0)</f>
        <v>1</v>
      </c>
      <c r="R3" s="196">
        <f>IF(M10=M13,1,0)</f>
        <v>1</v>
      </c>
      <c r="S3" s="197">
        <f>SUM(O3:R3)</f>
        <v>3</v>
      </c>
      <c r="T3" s="195" t="str">
        <f>N3</f>
        <v>England</v>
      </c>
      <c r="U3" s="211"/>
      <c r="V3" s="196">
        <f>IF(S10=S11,1,0)</f>
        <v>1</v>
      </c>
      <c r="W3" s="196">
        <f>IF(S10=S12,1,0)</f>
        <v>1</v>
      </c>
      <c r="X3" s="196">
        <f>IF(S10=S13,1,0)</f>
        <v>1</v>
      </c>
      <c r="Y3" s="197">
        <f>SUM(U3:X3)</f>
        <v>3</v>
      </c>
    </row>
    <row r="4" spans="1:26" x14ac:dyDescent="0.25">
      <c r="A4" s="144"/>
      <c r="B4" s="144"/>
      <c r="C4" s="144"/>
      <c r="F4" s="144"/>
      <c r="G4" s="144"/>
      <c r="H4" s="195" t="str">
        <f>C2</f>
        <v>Croatia</v>
      </c>
      <c r="I4" s="196">
        <f>IF(G11=G10,1,0)</f>
        <v>1</v>
      </c>
      <c r="J4" s="211"/>
      <c r="K4" s="196">
        <f>IF(G11=G12,1,0)</f>
        <v>1</v>
      </c>
      <c r="L4" s="196">
        <f>IF(G11=G13,1,0)</f>
        <v>1</v>
      </c>
      <c r="M4" s="197">
        <f>SUM(I4:L4)</f>
        <v>3</v>
      </c>
      <c r="N4" s="195" t="str">
        <f t="shared" ref="N4:N6" si="2">H4</f>
        <v>Croatia</v>
      </c>
      <c r="O4" s="196">
        <f>IF(M11=M10,1,0)</f>
        <v>1</v>
      </c>
      <c r="P4" s="211"/>
      <c r="Q4" s="196">
        <f>IF(M11=M12,1,0)</f>
        <v>1</v>
      </c>
      <c r="R4" s="196">
        <f>IF(M11=M13,1,0)</f>
        <v>1</v>
      </c>
      <c r="S4" s="197">
        <f>SUM(O4:R4)</f>
        <v>3</v>
      </c>
      <c r="T4" s="195" t="str">
        <f t="shared" ref="T4:T6" si="3">N4</f>
        <v>Croatia</v>
      </c>
      <c r="U4" s="196">
        <f>IF(S11=S10,1,0)</f>
        <v>1</v>
      </c>
      <c r="V4" s="211"/>
      <c r="W4" s="196">
        <f>IF(S11=S12,1,0)</f>
        <v>1</v>
      </c>
      <c r="X4" s="196">
        <f>IF(S11=S13,1,0)</f>
        <v>1</v>
      </c>
      <c r="Y4" s="197">
        <f>SUM(U4:X4)</f>
        <v>3</v>
      </c>
    </row>
    <row r="5" spans="1:26" x14ac:dyDescent="0.25">
      <c r="A5" s="144"/>
      <c r="B5" s="144"/>
      <c r="C5" s="144"/>
      <c r="F5" s="144"/>
      <c r="G5" s="144"/>
      <c r="H5" s="195" t="str">
        <f>D2</f>
        <v>Ghana</v>
      </c>
      <c r="I5" s="196">
        <f>IF(G12=G10,1,0)</f>
        <v>1</v>
      </c>
      <c r="J5" s="196">
        <f>IF(G12=G11,1,0)</f>
        <v>1</v>
      </c>
      <c r="K5" s="211"/>
      <c r="L5" s="196">
        <f>IF(G12=G13,1,0)</f>
        <v>1</v>
      </c>
      <c r="M5" s="197">
        <f>SUM(I5:L5)</f>
        <v>3</v>
      </c>
      <c r="N5" s="195" t="str">
        <f t="shared" si="2"/>
        <v>Ghana</v>
      </c>
      <c r="O5" s="196">
        <f>IF(M12=M10,1,0)</f>
        <v>1</v>
      </c>
      <c r="P5" s="196">
        <f>IF(M12=M11,1,0)</f>
        <v>1</v>
      </c>
      <c r="Q5" s="211"/>
      <c r="R5" s="196">
        <f>IF(M12=M13,1,0)</f>
        <v>1</v>
      </c>
      <c r="S5" s="197">
        <f>SUM(O5:R5)</f>
        <v>3</v>
      </c>
      <c r="T5" s="195" t="str">
        <f t="shared" si="3"/>
        <v>Ghana</v>
      </c>
      <c r="U5" s="196">
        <f>IF(S12=S10,1,0)</f>
        <v>1</v>
      </c>
      <c r="V5" s="196">
        <f>IF(S12=S11,1,0)</f>
        <v>1</v>
      </c>
      <c r="W5" s="211"/>
      <c r="X5" s="196">
        <f>IF(S12=S13,1,0)</f>
        <v>1</v>
      </c>
      <c r="Y5" s="197">
        <f>SUM(U5:X5)</f>
        <v>3</v>
      </c>
    </row>
    <row r="6" spans="1:26" x14ac:dyDescent="0.25">
      <c r="A6" s="144"/>
      <c r="B6" s="144"/>
      <c r="C6" s="144"/>
      <c r="F6" s="144"/>
      <c r="G6" s="144"/>
      <c r="H6" s="198" t="str">
        <f>E2</f>
        <v>Panama</v>
      </c>
      <c r="I6" s="199">
        <f>IF(G13=G10,1,0)</f>
        <v>1</v>
      </c>
      <c r="J6" s="199">
        <f>IF(G13=G11,1,0)</f>
        <v>1</v>
      </c>
      <c r="K6" s="199">
        <f>IF(G13=G12,1,0)</f>
        <v>1</v>
      </c>
      <c r="L6" s="212"/>
      <c r="M6" s="200">
        <f>SUM(I6:L6)</f>
        <v>3</v>
      </c>
      <c r="N6" s="198" t="str">
        <f t="shared" si="2"/>
        <v>Panama</v>
      </c>
      <c r="O6" s="199">
        <f>IF(M13=M10,1,0)</f>
        <v>1</v>
      </c>
      <c r="P6" s="199">
        <f>IF(M13=M11,1,0)</f>
        <v>1</v>
      </c>
      <c r="Q6" s="199">
        <f>IF(M13=M12,1,0)</f>
        <v>1</v>
      </c>
      <c r="R6" s="212"/>
      <c r="S6" s="200">
        <f>SUM(O6:R6)</f>
        <v>3</v>
      </c>
      <c r="T6" s="198" t="str">
        <f t="shared" si="3"/>
        <v>Panama</v>
      </c>
      <c r="U6" s="199">
        <f>IF(S13=S10,1,0)</f>
        <v>1</v>
      </c>
      <c r="V6" s="199">
        <f>IF(S13=S11,1,0)</f>
        <v>1</v>
      </c>
      <c r="W6" s="199">
        <f>IF(S13=S12,1,0)</f>
        <v>1</v>
      </c>
      <c r="X6" s="212"/>
      <c r="Y6" s="200">
        <f>SUM(U6:X6)</f>
        <v>3</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England</v>
      </c>
      <c r="D9" s="190" t="str">
        <f>C2</f>
        <v>Croatia</v>
      </c>
      <c r="E9" s="190" t="str">
        <f>D2</f>
        <v>Ghana</v>
      </c>
      <c r="F9" s="190" t="str">
        <f>E2</f>
        <v>Panama</v>
      </c>
      <c r="G9" s="191" t="s">
        <v>26</v>
      </c>
      <c r="H9" s="189"/>
      <c r="I9" s="190" t="str">
        <f>C9</f>
        <v>England</v>
      </c>
      <c r="J9" s="190" t="str">
        <f t="shared" ref="J9:L9" si="4">D9</f>
        <v>Croatia</v>
      </c>
      <c r="K9" s="190" t="str">
        <f t="shared" si="4"/>
        <v>Ghana</v>
      </c>
      <c r="L9" s="190" t="str">
        <f t="shared" si="4"/>
        <v>Panama</v>
      </c>
      <c r="M9" s="191" t="s">
        <v>26</v>
      </c>
      <c r="N9" s="189"/>
      <c r="O9" s="190" t="str">
        <f>I9</f>
        <v>England</v>
      </c>
      <c r="P9" s="190" t="str">
        <f t="shared" ref="P9:R9" si="5">J9</f>
        <v>Croatia</v>
      </c>
      <c r="Q9" s="190" t="str">
        <f t="shared" si="5"/>
        <v>Ghana</v>
      </c>
      <c r="R9" s="190" t="str">
        <f t="shared" si="5"/>
        <v>Panama</v>
      </c>
      <c r="S9" s="191" t="s">
        <v>26</v>
      </c>
      <c r="T9" s="189"/>
      <c r="U9" s="190" t="str">
        <f>O9</f>
        <v>England</v>
      </c>
      <c r="V9" s="190" t="str">
        <f t="shared" ref="V9:X9" si="6">P9</f>
        <v>Croatia</v>
      </c>
      <c r="W9" s="190" t="str">
        <f t="shared" si="6"/>
        <v>Ghana</v>
      </c>
      <c r="X9" s="190" t="str">
        <f t="shared" si="6"/>
        <v>Panama</v>
      </c>
      <c r="Y9" s="191" t="s">
        <v>26</v>
      </c>
      <c r="Z9" s="227" t="s">
        <v>309</v>
      </c>
    </row>
    <row r="10" spans="1:26" x14ac:dyDescent="0.25">
      <c r="A10" s="144"/>
      <c r="B10" s="189" t="str">
        <f>B2</f>
        <v>England</v>
      </c>
      <c r="C10" s="204"/>
      <c r="D10" s="190">
        <f>H37</f>
        <v>0</v>
      </c>
      <c r="E10" s="190">
        <f>H39</f>
        <v>0</v>
      </c>
      <c r="F10" s="190">
        <f>I42</f>
        <v>0</v>
      </c>
      <c r="G10" s="191">
        <f>SUM(C10:F10)</f>
        <v>0</v>
      </c>
      <c r="H10" s="189" t="str">
        <f>B10</f>
        <v>England</v>
      </c>
      <c r="I10" s="218">
        <f>C10+I17/100+I24/10000</f>
        <v>0</v>
      </c>
      <c r="J10" s="219">
        <f t="shared" ref="J10:L10" si="7">D10+J17/100+J24/10000</f>
        <v>0</v>
      </c>
      <c r="K10" s="219">
        <f t="shared" si="7"/>
        <v>0</v>
      </c>
      <c r="L10" s="219">
        <f t="shared" si="7"/>
        <v>0</v>
      </c>
      <c r="M10" s="220">
        <f>SUM(I10:L10)</f>
        <v>0</v>
      </c>
      <c r="N10" s="189" t="str">
        <f>H10</f>
        <v>England</v>
      </c>
      <c r="O10" s="218">
        <f>I10+O17/100+O24/10000</f>
        <v>0</v>
      </c>
      <c r="P10" s="219">
        <f t="shared" ref="P10:R13" si="8">J10+P17/100+P24/10000</f>
        <v>0</v>
      </c>
      <c r="Q10" s="219">
        <f t="shared" si="8"/>
        <v>0</v>
      </c>
      <c r="R10" s="219">
        <f t="shared" si="8"/>
        <v>0</v>
      </c>
      <c r="S10" s="220">
        <f>SUM(O10:R10)</f>
        <v>0</v>
      </c>
      <c r="T10" s="189" t="str">
        <f>N10</f>
        <v>England</v>
      </c>
      <c r="U10" s="218">
        <f>O10+U17/100+U24/10000</f>
        <v>0</v>
      </c>
      <c r="V10" s="219">
        <f t="shared" ref="V10:X13" si="9">P10+V17/100+V24/10000</f>
        <v>0</v>
      </c>
      <c r="W10" s="219">
        <f t="shared" si="9"/>
        <v>0</v>
      </c>
      <c r="X10" s="219">
        <f t="shared" si="9"/>
        <v>0</v>
      </c>
      <c r="Y10" s="220">
        <f>ROUND(SUM(U10:X10),8)</f>
        <v>0</v>
      </c>
      <c r="Z10" s="224">
        <f>_xlfn.RANK.EQ(Y10,Y$10:Y$13,1)</f>
        <v>1</v>
      </c>
    </row>
    <row r="11" spans="1:26" x14ac:dyDescent="0.25">
      <c r="A11" s="144"/>
      <c r="B11" s="189" t="str">
        <f>C2</f>
        <v>Croatia</v>
      </c>
      <c r="C11" s="190">
        <f>I37</f>
        <v>0</v>
      </c>
      <c r="D11" s="204"/>
      <c r="E11" s="190">
        <f>H41</f>
        <v>0</v>
      </c>
      <c r="F11" s="190">
        <f>I40</f>
        <v>0</v>
      </c>
      <c r="G11" s="191">
        <f>SUM(C11:F11)</f>
        <v>0</v>
      </c>
      <c r="H11" s="189" t="str">
        <f t="shared" ref="H11:H13" si="10">B11</f>
        <v>Croatia</v>
      </c>
      <c r="I11" s="219">
        <f t="shared" ref="I11:L13" si="11">C11+I18/100+I25/10000</f>
        <v>0</v>
      </c>
      <c r="J11" s="218">
        <f t="shared" si="11"/>
        <v>0</v>
      </c>
      <c r="K11" s="219">
        <f t="shared" si="11"/>
        <v>0</v>
      </c>
      <c r="L11" s="219">
        <f t="shared" si="11"/>
        <v>0</v>
      </c>
      <c r="M11" s="220">
        <f>SUM(I11:L11)</f>
        <v>0</v>
      </c>
      <c r="N11" s="189" t="str">
        <f t="shared" ref="N11:N13" si="12">H11</f>
        <v>Croatia</v>
      </c>
      <c r="O11" s="219">
        <f t="shared" ref="O11:O13" si="13">I11+O18/100+O25/10000</f>
        <v>0</v>
      </c>
      <c r="P11" s="218">
        <f t="shared" si="8"/>
        <v>0</v>
      </c>
      <c r="Q11" s="219">
        <f t="shared" si="8"/>
        <v>0</v>
      </c>
      <c r="R11" s="219">
        <f t="shared" si="8"/>
        <v>0</v>
      </c>
      <c r="S11" s="220">
        <f>SUM(O11:R11)</f>
        <v>0</v>
      </c>
      <c r="T11" s="189" t="str">
        <f t="shared" ref="T11:T13" si="14">N11</f>
        <v>Croatia</v>
      </c>
      <c r="U11" s="219">
        <f t="shared" ref="U11:U13" si="15">O11+U18/100+U25/10000</f>
        <v>0</v>
      </c>
      <c r="V11" s="218">
        <f t="shared" si="9"/>
        <v>0</v>
      </c>
      <c r="W11" s="219">
        <f t="shared" si="9"/>
        <v>0</v>
      </c>
      <c r="X11" s="219">
        <f t="shared" si="9"/>
        <v>0</v>
      </c>
      <c r="Y11" s="220">
        <f t="shared" ref="Y11:Y13" si="16">ROUND(SUM(U11:X11),8)</f>
        <v>0</v>
      </c>
      <c r="Z11" s="224">
        <f t="shared" ref="Z11:Z13" si="17">_xlfn.RANK.EQ(Y11,Y$10:Y$13,1)</f>
        <v>1</v>
      </c>
    </row>
    <row r="12" spans="1:26" x14ac:dyDescent="0.25">
      <c r="A12" s="144"/>
      <c r="B12" s="189" t="str">
        <f>D2</f>
        <v>Ghana</v>
      </c>
      <c r="C12" s="190">
        <f>I39</f>
        <v>0</v>
      </c>
      <c r="D12" s="190">
        <f>I41</f>
        <v>0</v>
      </c>
      <c r="E12" s="204"/>
      <c r="F12" s="190">
        <f>H38</f>
        <v>0</v>
      </c>
      <c r="G12" s="191">
        <f>SUM(C12:F12)</f>
        <v>0</v>
      </c>
      <c r="H12" s="189" t="str">
        <f t="shared" si="10"/>
        <v>Ghana</v>
      </c>
      <c r="I12" s="219">
        <f t="shared" si="11"/>
        <v>0</v>
      </c>
      <c r="J12" s="219">
        <f t="shared" si="11"/>
        <v>0</v>
      </c>
      <c r="K12" s="218">
        <f t="shared" si="11"/>
        <v>0</v>
      </c>
      <c r="L12" s="219">
        <f t="shared" si="11"/>
        <v>0</v>
      </c>
      <c r="M12" s="220">
        <f>SUM(I12:L12)</f>
        <v>0</v>
      </c>
      <c r="N12" s="189" t="str">
        <f t="shared" si="12"/>
        <v>Ghana</v>
      </c>
      <c r="O12" s="219">
        <f t="shared" si="13"/>
        <v>0</v>
      </c>
      <c r="P12" s="219">
        <f t="shared" si="8"/>
        <v>0</v>
      </c>
      <c r="Q12" s="218">
        <f t="shared" si="8"/>
        <v>0</v>
      </c>
      <c r="R12" s="219">
        <f t="shared" si="8"/>
        <v>0</v>
      </c>
      <c r="S12" s="220">
        <f>SUM(O12:R12)</f>
        <v>0</v>
      </c>
      <c r="T12" s="189" t="str">
        <f t="shared" si="14"/>
        <v>Ghana</v>
      </c>
      <c r="U12" s="219">
        <f t="shared" si="15"/>
        <v>0</v>
      </c>
      <c r="V12" s="219">
        <f t="shared" si="9"/>
        <v>0</v>
      </c>
      <c r="W12" s="218">
        <f t="shared" si="9"/>
        <v>0</v>
      </c>
      <c r="X12" s="219">
        <f t="shared" si="9"/>
        <v>0</v>
      </c>
      <c r="Y12" s="220">
        <f t="shared" si="16"/>
        <v>0</v>
      </c>
      <c r="Z12" s="224">
        <f t="shared" si="17"/>
        <v>1</v>
      </c>
    </row>
    <row r="13" spans="1:26" x14ac:dyDescent="0.25">
      <c r="A13" s="144"/>
      <c r="B13" s="192" t="str">
        <f>E2</f>
        <v>Panama</v>
      </c>
      <c r="C13" s="193">
        <f>H42</f>
        <v>0</v>
      </c>
      <c r="D13" s="193">
        <f>H40</f>
        <v>0</v>
      </c>
      <c r="E13" s="193">
        <f>I38</f>
        <v>0</v>
      </c>
      <c r="F13" s="205"/>
      <c r="G13" s="194">
        <f>SUM(C13:F13)</f>
        <v>0</v>
      </c>
      <c r="H13" s="192" t="str">
        <f t="shared" si="10"/>
        <v>Panama</v>
      </c>
      <c r="I13" s="221">
        <f t="shared" si="11"/>
        <v>0</v>
      </c>
      <c r="J13" s="221">
        <f t="shared" si="11"/>
        <v>0</v>
      </c>
      <c r="K13" s="221">
        <f t="shared" si="11"/>
        <v>0</v>
      </c>
      <c r="L13" s="222">
        <f t="shared" si="11"/>
        <v>0</v>
      </c>
      <c r="M13" s="223">
        <f>SUM(I13:L13)</f>
        <v>0</v>
      </c>
      <c r="N13" s="192" t="str">
        <f t="shared" si="12"/>
        <v>Panama</v>
      </c>
      <c r="O13" s="221">
        <f t="shared" si="13"/>
        <v>0</v>
      </c>
      <c r="P13" s="221">
        <f t="shared" si="8"/>
        <v>0</v>
      </c>
      <c r="Q13" s="221">
        <f t="shared" si="8"/>
        <v>0</v>
      </c>
      <c r="R13" s="222">
        <f t="shared" si="8"/>
        <v>0</v>
      </c>
      <c r="S13" s="223">
        <f>SUM(O13:R13)</f>
        <v>0</v>
      </c>
      <c r="T13" s="192" t="str">
        <f t="shared" si="14"/>
        <v>Panama</v>
      </c>
      <c r="U13" s="221">
        <f t="shared" si="15"/>
        <v>0</v>
      </c>
      <c r="V13" s="221">
        <f t="shared" si="9"/>
        <v>0</v>
      </c>
      <c r="W13" s="221">
        <f t="shared" si="9"/>
        <v>0</v>
      </c>
      <c r="X13" s="222">
        <f t="shared" si="9"/>
        <v>0</v>
      </c>
      <c r="Y13" s="223">
        <f t="shared" si="16"/>
        <v>0</v>
      </c>
      <c r="Z13" s="225">
        <f t="shared" si="17"/>
        <v>1</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England</v>
      </c>
      <c r="D16" s="177" t="str">
        <f>C2</f>
        <v>Croatia</v>
      </c>
      <c r="E16" s="177" t="str">
        <f>D2</f>
        <v>Ghana</v>
      </c>
      <c r="F16" s="177" t="str">
        <f>E2</f>
        <v>Panama</v>
      </c>
      <c r="G16" s="178" t="s">
        <v>26</v>
      </c>
      <c r="H16" s="183"/>
      <c r="I16" s="184" t="str">
        <f>C16</f>
        <v>England</v>
      </c>
      <c r="J16" s="184" t="str">
        <f t="shared" ref="J16:L16" si="18">D16</f>
        <v>Croatia</v>
      </c>
      <c r="K16" s="184" t="str">
        <f t="shared" si="18"/>
        <v>Ghana</v>
      </c>
      <c r="L16" s="184" t="str">
        <f t="shared" si="18"/>
        <v>Panama</v>
      </c>
      <c r="M16" s="185" t="s">
        <v>26</v>
      </c>
      <c r="N16" s="183"/>
      <c r="O16" s="184" t="str">
        <f>I16</f>
        <v>England</v>
      </c>
      <c r="P16" s="184" t="str">
        <f t="shared" ref="P16:R16" si="19">J16</f>
        <v>Croatia</v>
      </c>
      <c r="Q16" s="184" t="str">
        <f t="shared" si="19"/>
        <v>Ghana</v>
      </c>
      <c r="R16" s="184" t="str">
        <f t="shared" si="19"/>
        <v>Panama</v>
      </c>
      <c r="S16" s="185" t="s">
        <v>26</v>
      </c>
      <c r="T16" s="183"/>
      <c r="U16" s="184" t="str">
        <f>O16</f>
        <v>England</v>
      </c>
      <c r="V16" s="184" t="str">
        <f t="shared" ref="V16:X16" si="20">P16</f>
        <v>Croatia</v>
      </c>
      <c r="W16" s="184" t="str">
        <f t="shared" si="20"/>
        <v>Ghana</v>
      </c>
      <c r="X16" s="184" t="str">
        <f t="shared" si="20"/>
        <v>Panama</v>
      </c>
      <c r="Y16" s="185" t="s">
        <v>26</v>
      </c>
    </row>
    <row r="17" spans="1:25" x14ac:dyDescent="0.25">
      <c r="A17" s="144"/>
      <c r="B17" s="176" t="str">
        <f>B2</f>
        <v>England</v>
      </c>
      <c r="C17" s="206"/>
      <c r="D17" s="179">
        <f>IFERROR(F37-G37,0)</f>
        <v>0</v>
      </c>
      <c r="E17" s="179">
        <f>IFERROR(F39-G39,0)</f>
        <v>0</v>
      </c>
      <c r="F17" s="179">
        <f>IFERROR(G42-F42,0)</f>
        <v>0</v>
      </c>
      <c r="G17" s="178">
        <f>SUM(C17:F17)</f>
        <v>0</v>
      </c>
      <c r="H17" s="183" t="str">
        <f>B17</f>
        <v>England</v>
      </c>
      <c r="I17" s="208"/>
      <c r="J17" s="184">
        <f>D17*J3</f>
        <v>0</v>
      </c>
      <c r="K17" s="184">
        <f>E17*K3</f>
        <v>0</v>
      </c>
      <c r="L17" s="184">
        <f>F17*L3</f>
        <v>0</v>
      </c>
      <c r="M17" s="185">
        <f>SUM(I17:L17)</f>
        <v>0</v>
      </c>
      <c r="N17" s="183" t="str">
        <f>H17</f>
        <v>England</v>
      </c>
      <c r="O17" s="208"/>
      <c r="P17" s="184">
        <f>J17*P3</f>
        <v>0</v>
      </c>
      <c r="Q17" s="184">
        <f>K17*Q3</f>
        <v>0</v>
      </c>
      <c r="R17" s="184">
        <f>L17*R3</f>
        <v>0</v>
      </c>
      <c r="S17" s="185">
        <f>SUM(O17:R17)</f>
        <v>0</v>
      </c>
      <c r="T17" s="183" t="str">
        <f>N17</f>
        <v>England</v>
      </c>
      <c r="U17" s="208"/>
      <c r="V17" s="184">
        <f>P17*V3</f>
        <v>0</v>
      </c>
      <c r="W17" s="184">
        <f>Q17*W3</f>
        <v>0</v>
      </c>
      <c r="X17" s="184">
        <f>R17*X3</f>
        <v>0</v>
      </c>
      <c r="Y17" s="185">
        <f>SUM(U17:X17)</f>
        <v>0</v>
      </c>
    </row>
    <row r="18" spans="1:25" x14ac:dyDescent="0.25">
      <c r="A18" s="144"/>
      <c r="B18" s="176" t="str">
        <f>C2</f>
        <v>Croatia</v>
      </c>
      <c r="C18" s="179">
        <f>IFERROR(G37-F37,0)</f>
        <v>0</v>
      </c>
      <c r="D18" s="206"/>
      <c r="E18" s="179">
        <f>IFERROR(F41-G41,0)</f>
        <v>0</v>
      </c>
      <c r="F18" s="179">
        <f>IFERROR(G40-F40,0)</f>
        <v>0</v>
      </c>
      <c r="G18" s="178">
        <f>SUM(C18:F18)</f>
        <v>0</v>
      </c>
      <c r="H18" s="183" t="str">
        <f t="shared" ref="H18:H20" si="21">B18</f>
        <v>Croatia</v>
      </c>
      <c r="I18" s="184">
        <f>C18*I4</f>
        <v>0</v>
      </c>
      <c r="J18" s="208"/>
      <c r="K18" s="184">
        <f>E18*K4</f>
        <v>0</v>
      </c>
      <c r="L18" s="184">
        <f>F18*L4</f>
        <v>0</v>
      </c>
      <c r="M18" s="185">
        <f>SUM(I18:L18)</f>
        <v>0</v>
      </c>
      <c r="N18" s="183" t="str">
        <f t="shared" ref="N18:N20" si="22">H18</f>
        <v>Croatia</v>
      </c>
      <c r="O18" s="184">
        <f>I18*O4</f>
        <v>0</v>
      </c>
      <c r="P18" s="208"/>
      <c r="Q18" s="184">
        <f>K18*Q4</f>
        <v>0</v>
      </c>
      <c r="R18" s="184">
        <f>L18*R4</f>
        <v>0</v>
      </c>
      <c r="S18" s="185">
        <f>SUM(O18:R18)</f>
        <v>0</v>
      </c>
      <c r="T18" s="183" t="str">
        <f t="shared" ref="T18:T20" si="23">N18</f>
        <v>Croatia</v>
      </c>
      <c r="U18" s="184">
        <f>O18*U4</f>
        <v>0</v>
      </c>
      <c r="V18" s="208"/>
      <c r="W18" s="184">
        <f>Q18*W4</f>
        <v>0</v>
      </c>
      <c r="X18" s="184">
        <f>R18*X4</f>
        <v>0</v>
      </c>
      <c r="Y18" s="185">
        <f>SUM(U18:X18)</f>
        <v>0</v>
      </c>
    </row>
    <row r="19" spans="1:25" x14ac:dyDescent="0.25">
      <c r="A19" s="144"/>
      <c r="B19" s="176" t="str">
        <f>D2</f>
        <v>Ghana</v>
      </c>
      <c r="C19" s="179">
        <f>IFERROR(G39-F39,0)</f>
        <v>0</v>
      </c>
      <c r="D19" s="179">
        <f>IFERROR(G41-F41,0)</f>
        <v>0</v>
      </c>
      <c r="E19" s="206"/>
      <c r="F19" s="179">
        <f>IFERROR(F38-G38,0)</f>
        <v>0</v>
      </c>
      <c r="G19" s="178">
        <f>SUM(C19:F19)</f>
        <v>0</v>
      </c>
      <c r="H19" s="183" t="str">
        <f t="shared" si="21"/>
        <v>Ghana</v>
      </c>
      <c r="I19" s="184">
        <f>C19*I5</f>
        <v>0</v>
      </c>
      <c r="J19" s="184">
        <f>D19*J5</f>
        <v>0</v>
      </c>
      <c r="K19" s="208"/>
      <c r="L19" s="184">
        <f>F19*L5</f>
        <v>0</v>
      </c>
      <c r="M19" s="185">
        <f>SUM(I19:L19)</f>
        <v>0</v>
      </c>
      <c r="N19" s="183" t="str">
        <f t="shared" si="22"/>
        <v>Ghana</v>
      </c>
      <c r="O19" s="184">
        <f>I19*O5</f>
        <v>0</v>
      </c>
      <c r="P19" s="184">
        <f>J19*P5</f>
        <v>0</v>
      </c>
      <c r="Q19" s="208"/>
      <c r="R19" s="184">
        <f>L19*R5</f>
        <v>0</v>
      </c>
      <c r="S19" s="185">
        <f>SUM(O19:R19)</f>
        <v>0</v>
      </c>
      <c r="T19" s="183" t="str">
        <f t="shared" si="23"/>
        <v>Ghana</v>
      </c>
      <c r="U19" s="184">
        <f>O19*U5</f>
        <v>0</v>
      </c>
      <c r="V19" s="184">
        <f>P19*V5</f>
        <v>0</v>
      </c>
      <c r="W19" s="208"/>
      <c r="X19" s="184">
        <f>R19*X5</f>
        <v>0</v>
      </c>
      <c r="Y19" s="185">
        <f>SUM(U19:X19)</f>
        <v>0</v>
      </c>
    </row>
    <row r="20" spans="1:25" x14ac:dyDescent="0.25">
      <c r="A20" s="144"/>
      <c r="B20" s="180" t="str">
        <f>E2</f>
        <v>Panama</v>
      </c>
      <c r="C20" s="181">
        <f>IFERROR(F42-G42,0)</f>
        <v>0</v>
      </c>
      <c r="D20" s="181">
        <f>IFERROR(F40-G40,0)</f>
        <v>0</v>
      </c>
      <c r="E20" s="181">
        <f>IFERROR(G38-F38,0)</f>
        <v>0</v>
      </c>
      <c r="F20" s="207"/>
      <c r="G20" s="182">
        <f>SUM(C20:F20)</f>
        <v>0</v>
      </c>
      <c r="H20" s="186" t="str">
        <f t="shared" si="21"/>
        <v>Panama</v>
      </c>
      <c r="I20" s="187">
        <f>C20*I6</f>
        <v>0</v>
      </c>
      <c r="J20" s="187">
        <f>D20*J6</f>
        <v>0</v>
      </c>
      <c r="K20" s="187">
        <f>E20*K6</f>
        <v>0</v>
      </c>
      <c r="L20" s="213"/>
      <c r="M20" s="188">
        <f>SUM(I20:L20)</f>
        <v>0</v>
      </c>
      <c r="N20" s="186" t="str">
        <f t="shared" si="22"/>
        <v>Panama</v>
      </c>
      <c r="O20" s="187">
        <f>I20*O6</f>
        <v>0</v>
      </c>
      <c r="P20" s="187">
        <f>J20*P6</f>
        <v>0</v>
      </c>
      <c r="Q20" s="187">
        <f>K20*Q6</f>
        <v>0</v>
      </c>
      <c r="R20" s="213"/>
      <c r="S20" s="188">
        <f>SUM(O20:R20)</f>
        <v>0</v>
      </c>
      <c r="T20" s="186" t="str">
        <f t="shared" si="23"/>
        <v>Panama</v>
      </c>
      <c r="U20" s="187">
        <f>O20*U6</f>
        <v>0</v>
      </c>
      <c r="V20" s="187">
        <f>P20*V6</f>
        <v>0</v>
      </c>
      <c r="W20" s="187">
        <f>Q20*W6</f>
        <v>0</v>
      </c>
      <c r="X20" s="213"/>
      <c r="Y20" s="188">
        <f>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England</v>
      </c>
      <c r="D23" s="164" t="str">
        <f>C2</f>
        <v>Croatia</v>
      </c>
      <c r="E23" s="164" t="str">
        <f>D2</f>
        <v>Ghana</v>
      </c>
      <c r="F23" s="164" t="str">
        <f>E2</f>
        <v>Panama</v>
      </c>
      <c r="G23" s="165" t="s">
        <v>26</v>
      </c>
      <c r="H23" s="169"/>
      <c r="I23" s="170" t="str">
        <f>C23</f>
        <v>England</v>
      </c>
      <c r="J23" s="170" t="str">
        <f t="shared" ref="J23:L23" si="24">D23</f>
        <v>Croatia</v>
      </c>
      <c r="K23" s="170" t="str">
        <f t="shared" si="24"/>
        <v>Ghana</v>
      </c>
      <c r="L23" s="170" t="str">
        <f t="shared" si="24"/>
        <v>Panama</v>
      </c>
      <c r="M23" s="171" t="s">
        <v>26</v>
      </c>
      <c r="N23" s="169"/>
      <c r="O23" s="170" t="str">
        <f>I23</f>
        <v>England</v>
      </c>
      <c r="P23" s="170" t="str">
        <f t="shared" ref="P23:R23" si="25">J23</f>
        <v>Croatia</v>
      </c>
      <c r="Q23" s="170" t="str">
        <f t="shared" si="25"/>
        <v>Ghana</v>
      </c>
      <c r="R23" s="170" t="str">
        <f t="shared" si="25"/>
        <v>Panama</v>
      </c>
      <c r="S23" s="171" t="s">
        <v>26</v>
      </c>
      <c r="T23" s="169"/>
      <c r="U23" s="170" t="str">
        <f>O23</f>
        <v>England</v>
      </c>
      <c r="V23" s="170" t="str">
        <f t="shared" ref="V23:X23" si="26">P23</f>
        <v>Croatia</v>
      </c>
      <c r="W23" s="170" t="str">
        <f t="shared" si="26"/>
        <v>Ghana</v>
      </c>
      <c r="X23" s="170" t="str">
        <f t="shared" si="26"/>
        <v>Panama</v>
      </c>
      <c r="Y23" s="171" t="s">
        <v>26</v>
      </c>
    </row>
    <row r="24" spans="1:25" x14ac:dyDescent="0.25">
      <c r="A24" s="143"/>
      <c r="B24" s="163" t="str">
        <f>B2</f>
        <v>England</v>
      </c>
      <c r="C24" s="209"/>
      <c r="D24" s="164">
        <f>IF(F37="",0,F37)</f>
        <v>0</v>
      </c>
      <c r="E24" s="164">
        <f>IF(F39="",0,F39)</f>
        <v>0</v>
      </c>
      <c r="F24" s="164">
        <f>IF(G42="",0,G42)</f>
        <v>0</v>
      </c>
      <c r="G24" s="165">
        <f>SUM(C24:F24)</f>
        <v>0</v>
      </c>
      <c r="H24" s="169" t="str">
        <f>B24</f>
        <v>England</v>
      </c>
      <c r="I24" s="214"/>
      <c r="J24" s="170">
        <f>D24*J3</f>
        <v>0</v>
      </c>
      <c r="K24" s="170">
        <f>E24*K3</f>
        <v>0</v>
      </c>
      <c r="L24" s="170">
        <f>F24*L3</f>
        <v>0</v>
      </c>
      <c r="M24" s="171">
        <f>SUM(I24:L24)</f>
        <v>0</v>
      </c>
      <c r="N24" s="169" t="str">
        <f>H24</f>
        <v>England</v>
      </c>
      <c r="O24" s="214"/>
      <c r="P24" s="170">
        <f>J24*P3</f>
        <v>0</v>
      </c>
      <c r="Q24" s="170">
        <f>K24*Q3</f>
        <v>0</v>
      </c>
      <c r="R24" s="170">
        <f>L24*R3</f>
        <v>0</v>
      </c>
      <c r="S24" s="171">
        <f>SUM(O24:R24)</f>
        <v>0</v>
      </c>
      <c r="T24" s="169" t="str">
        <f>N24</f>
        <v>England</v>
      </c>
      <c r="U24" s="214"/>
      <c r="V24" s="170">
        <f>P24*V3</f>
        <v>0</v>
      </c>
      <c r="W24" s="170">
        <f>Q24*W3</f>
        <v>0</v>
      </c>
      <c r="X24" s="170">
        <f>R24*X3</f>
        <v>0</v>
      </c>
      <c r="Y24" s="171">
        <f>SUM(U24:X24)</f>
        <v>0</v>
      </c>
    </row>
    <row r="25" spans="1:25" x14ac:dyDescent="0.25">
      <c r="A25" s="143"/>
      <c r="B25" s="163" t="str">
        <f>C2</f>
        <v>Croatia</v>
      </c>
      <c r="C25" s="164">
        <f>IF(G37="",0,G37)</f>
        <v>0</v>
      </c>
      <c r="D25" s="209"/>
      <c r="E25" s="164">
        <f>IF(F41="",0,F41)</f>
        <v>0</v>
      </c>
      <c r="F25" s="164">
        <f>IF(G40="",0,G40)</f>
        <v>0</v>
      </c>
      <c r="G25" s="165">
        <f>SUM(C25:F25)</f>
        <v>0</v>
      </c>
      <c r="H25" s="169" t="str">
        <f t="shared" ref="H25:H27" si="27">B25</f>
        <v>Croatia</v>
      </c>
      <c r="I25" s="170">
        <f>C25*I4</f>
        <v>0</v>
      </c>
      <c r="J25" s="214"/>
      <c r="K25" s="170">
        <f>E25*K4</f>
        <v>0</v>
      </c>
      <c r="L25" s="170">
        <f>F25*L4</f>
        <v>0</v>
      </c>
      <c r="M25" s="171">
        <f>SUM(I25:L25)</f>
        <v>0</v>
      </c>
      <c r="N25" s="169" t="str">
        <f t="shared" ref="N25:N27" si="28">H25</f>
        <v>Croatia</v>
      </c>
      <c r="O25" s="170">
        <f>I25*O4</f>
        <v>0</v>
      </c>
      <c r="P25" s="214"/>
      <c r="Q25" s="170">
        <f>K25*Q4</f>
        <v>0</v>
      </c>
      <c r="R25" s="170">
        <f>L25*R4</f>
        <v>0</v>
      </c>
      <c r="S25" s="171">
        <f>SUM(O25:R25)</f>
        <v>0</v>
      </c>
      <c r="T25" s="169" t="str">
        <f t="shared" ref="T25:T27" si="29">N25</f>
        <v>Croatia</v>
      </c>
      <c r="U25" s="170">
        <f>O25*U4</f>
        <v>0</v>
      </c>
      <c r="V25" s="214"/>
      <c r="W25" s="170">
        <f>Q25*W4</f>
        <v>0</v>
      </c>
      <c r="X25" s="170">
        <f>R25*X4</f>
        <v>0</v>
      </c>
      <c r="Y25" s="171">
        <f>SUM(U25:X25)</f>
        <v>0</v>
      </c>
    </row>
    <row r="26" spans="1:25" x14ac:dyDescent="0.25">
      <c r="A26" s="143"/>
      <c r="B26" s="163" t="str">
        <f>D2</f>
        <v>Ghana</v>
      </c>
      <c r="C26" s="164">
        <f>IF(G39="",0,G39)</f>
        <v>0</v>
      </c>
      <c r="D26" s="164">
        <f>IF(G41="",0,G41)</f>
        <v>0</v>
      </c>
      <c r="E26" s="209"/>
      <c r="F26" s="164">
        <f>IF(F38="",0,F38)</f>
        <v>0</v>
      </c>
      <c r="G26" s="165">
        <f>SUM(C26:F26)</f>
        <v>0</v>
      </c>
      <c r="H26" s="169" t="str">
        <f t="shared" si="27"/>
        <v>Ghana</v>
      </c>
      <c r="I26" s="170">
        <f>C26*I5</f>
        <v>0</v>
      </c>
      <c r="J26" s="170">
        <f>D26*J5</f>
        <v>0</v>
      </c>
      <c r="K26" s="214"/>
      <c r="L26" s="170">
        <f>F26*L5</f>
        <v>0</v>
      </c>
      <c r="M26" s="171">
        <f>SUM(I26:L26)</f>
        <v>0</v>
      </c>
      <c r="N26" s="169" t="str">
        <f t="shared" si="28"/>
        <v>Ghana</v>
      </c>
      <c r="O26" s="170">
        <f>I26*O5</f>
        <v>0</v>
      </c>
      <c r="P26" s="170">
        <f>J26*P5</f>
        <v>0</v>
      </c>
      <c r="Q26" s="214"/>
      <c r="R26" s="170">
        <f>L26*R5</f>
        <v>0</v>
      </c>
      <c r="S26" s="171">
        <f>SUM(O26:R26)</f>
        <v>0</v>
      </c>
      <c r="T26" s="169" t="str">
        <f t="shared" si="29"/>
        <v>Ghana</v>
      </c>
      <c r="U26" s="170">
        <f>O26*U5</f>
        <v>0</v>
      </c>
      <c r="V26" s="170">
        <f>P26*V5</f>
        <v>0</v>
      </c>
      <c r="W26" s="214"/>
      <c r="X26" s="170">
        <f>R26*X5</f>
        <v>0</v>
      </c>
      <c r="Y26" s="171">
        <f>SUM(U26:X26)</f>
        <v>0</v>
      </c>
    </row>
    <row r="27" spans="1:25" x14ac:dyDescent="0.25">
      <c r="A27" s="143"/>
      <c r="B27" s="166" t="str">
        <f>E2</f>
        <v>Panama</v>
      </c>
      <c r="C27" s="167">
        <f>IF(F42="",0,F42)</f>
        <v>0</v>
      </c>
      <c r="D27" s="167">
        <f>IF(F40="",0,F40)</f>
        <v>0</v>
      </c>
      <c r="E27" s="167">
        <f>IF(G38="",0,G38)</f>
        <v>0</v>
      </c>
      <c r="F27" s="210"/>
      <c r="G27" s="168">
        <f>SUM(C27:F27)</f>
        <v>0</v>
      </c>
      <c r="H27" s="172" t="str">
        <f t="shared" si="27"/>
        <v>Panama</v>
      </c>
      <c r="I27" s="173">
        <f>C27*I6</f>
        <v>0</v>
      </c>
      <c r="J27" s="173">
        <f>D27*J6</f>
        <v>0</v>
      </c>
      <c r="K27" s="173">
        <f>E27*K6</f>
        <v>0</v>
      </c>
      <c r="L27" s="215"/>
      <c r="M27" s="174">
        <f>SUM(I27:L27)</f>
        <v>0</v>
      </c>
      <c r="N27" s="172" t="str">
        <f t="shared" si="28"/>
        <v>Panama</v>
      </c>
      <c r="O27" s="173">
        <f>I27*O6</f>
        <v>0</v>
      </c>
      <c r="P27" s="173">
        <f>J27*P6</f>
        <v>0</v>
      </c>
      <c r="Q27" s="173">
        <f>K27*Q6</f>
        <v>0</v>
      </c>
      <c r="R27" s="215"/>
      <c r="S27" s="174">
        <f>SUM(O27:R27)</f>
        <v>0</v>
      </c>
      <c r="T27" s="172" t="str">
        <f t="shared" si="29"/>
        <v>Panama</v>
      </c>
      <c r="U27" s="173">
        <f>O27*U6</f>
        <v>0</v>
      </c>
      <c r="V27" s="173">
        <f>P27*V6</f>
        <v>0</v>
      </c>
      <c r="W27" s="173">
        <f>Q27*W6</f>
        <v>0</v>
      </c>
      <c r="X27" s="215"/>
      <c r="Y27" s="174">
        <f>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232" t="s">
        <v>631</v>
      </c>
      <c r="E29" s="232" t="s">
        <v>632</v>
      </c>
      <c r="F29" s="232" t="s">
        <v>633</v>
      </c>
      <c r="G29" s="232" t="s">
        <v>676</v>
      </c>
      <c r="H29" s="232" t="s">
        <v>411</v>
      </c>
      <c r="I29" s="232" t="s">
        <v>661</v>
      </c>
      <c r="J29" s="232" t="s">
        <v>634</v>
      </c>
      <c r="K29" s="233" t="s">
        <v>635</v>
      </c>
    </row>
    <row r="30" spans="1:25" x14ac:dyDescent="0.25">
      <c r="A30" s="234">
        <f>K30</f>
        <v>1</v>
      </c>
      <c r="B30" s="235" t="str">
        <f>B2</f>
        <v>England</v>
      </c>
      <c r="C30" s="236">
        <f>VLOOKUP($B30,Lookup10,3,FALSE)</f>
        <v>0</v>
      </c>
      <c r="D30" s="236">
        <f>VLOOKUP($B30,Lookup10,7,FALSE)</f>
        <v>0</v>
      </c>
      <c r="E30" s="236">
        <f>VLOOKUP($B30,Lookup10,8,FALSE)</f>
        <v>0</v>
      </c>
      <c r="F30" s="236">
        <f>VLOOKUP($B30,Lookup10,9,FALSE)</f>
        <v>0</v>
      </c>
      <c r="G30" s="237">
        <f>Z10</f>
        <v>1</v>
      </c>
      <c r="H30" s="236">
        <f>VLOOKUP($B30,Lookup10,11,FALSE)</f>
        <v>0</v>
      </c>
      <c r="I30" s="236">
        <f>VLOOKUP($B30,Lookup11,2,FALSE)</f>
        <v>4</v>
      </c>
      <c r="J30" s="238">
        <f>ROUND(D30*D$34+F30*F$34+G30*G$34-H30*H$34-I30*I$34,8)</f>
        <v>9999.9995999999992</v>
      </c>
      <c r="K30" s="239">
        <f>RANK(J30,J$30:J$33,0)</f>
        <v>1</v>
      </c>
    </row>
    <row r="31" spans="1:25" x14ac:dyDescent="0.25">
      <c r="A31" s="234">
        <f t="shared" ref="A31:A33" si="30">K31</f>
        <v>2</v>
      </c>
      <c r="B31" s="235" t="str">
        <f>C2</f>
        <v>Croatia</v>
      </c>
      <c r="C31" s="236">
        <f>VLOOKUP($B31,Lookup10,3,FALSE)</f>
        <v>0</v>
      </c>
      <c r="D31" s="236">
        <f>VLOOKUP($B31,Lookup10,7,FALSE)</f>
        <v>0</v>
      </c>
      <c r="E31" s="236">
        <f>VLOOKUP($B31,Lookup10,8,FALSE)</f>
        <v>0</v>
      </c>
      <c r="F31" s="236">
        <f>VLOOKUP($B31,Lookup10,9,FALSE)</f>
        <v>0</v>
      </c>
      <c r="G31" s="237">
        <f t="shared" ref="G31:G33" si="31">Z11</f>
        <v>1</v>
      </c>
      <c r="H31" s="236">
        <f>VLOOKUP($B31,Lookup10,11,FALSE)</f>
        <v>0</v>
      </c>
      <c r="I31" s="236">
        <f>VLOOKUP($B31,Lookup11,2,FALSE)</f>
        <v>11</v>
      </c>
      <c r="J31" s="238">
        <f t="shared" ref="J31:J33" si="32">ROUND(D31*D$34+F31*F$34+G31*G$34-H31*H$34-I31*I$34,8)</f>
        <v>9999.9989000000005</v>
      </c>
      <c r="K31" s="239">
        <f>RANK(J31,J$30:J$33,0)</f>
        <v>2</v>
      </c>
    </row>
    <row r="32" spans="1:25" x14ac:dyDescent="0.25">
      <c r="A32" s="234">
        <f t="shared" si="30"/>
        <v>4</v>
      </c>
      <c r="B32" s="235" t="str">
        <f>D2</f>
        <v>Ghana</v>
      </c>
      <c r="C32" s="236">
        <f>VLOOKUP($B32,Lookup10,3,FALSE)</f>
        <v>0</v>
      </c>
      <c r="D32" s="236">
        <f>VLOOKUP($B32,Lookup10,7,FALSE)</f>
        <v>0</v>
      </c>
      <c r="E32" s="236">
        <f>VLOOKUP($B32,Lookup10,8,FALSE)</f>
        <v>0</v>
      </c>
      <c r="F32" s="236">
        <f>VLOOKUP($B32,Lookup10,9,FALSE)</f>
        <v>0</v>
      </c>
      <c r="G32" s="237">
        <f t="shared" si="31"/>
        <v>1</v>
      </c>
      <c r="H32" s="236">
        <f>VLOOKUP($B32,Lookup10,11,FALSE)</f>
        <v>0</v>
      </c>
      <c r="I32" s="236">
        <f>VLOOKUP($B32,Lookup11,2,FALSE)</f>
        <v>45</v>
      </c>
      <c r="J32" s="238">
        <f t="shared" si="32"/>
        <v>9999.9955000000009</v>
      </c>
      <c r="K32" s="239">
        <f>RANK(J32,J$30:J$33,0)</f>
        <v>4</v>
      </c>
    </row>
    <row r="33" spans="1:16" x14ac:dyDescent="0.25">
      <c r="A33" s="234">
        <f t="shared" si="30"/>
        <v>3</v>
      </c>
      <c r="B33" s="235" t="str">
        <f>E2</f>
        <v>Panama</v>
      </c>
      <c r="C33" s="236">
        <f>VLOOKUP($B33,Lookup10,3,FALSE)</f>
        <v>0</v>
      </c>
      <c r="D33" s="236">
        <f>VLOOKUP($B33,Lookup10,7,FALSE)</f>
        <v>0</v>
      </c>
      <c r="E33" s="236">
        <f>VLOOKUP($B33,Lookup10,8,FALSE)</f>
        <v>0</v>
      </c>
      <c r="F33" s="236">
        <f>VLOOKUP($B33,Lookup10,9,FALSE)</f>
        <v>0</v>
      </c>
      <c r="G33" s="237">
        <f t="shared" si="31"/>
        <v>1</v>
      </c>
      <c r="H33" s="236">
        <f>VLOOKUP($B33,Lookup10,11,FALSE)</f>
        <v>0</v>
      </c>
      <c r="I33" s="236">
        <f>VLOOKUP($B33,Lookup11,2,FALSE)</f>
        <v>30</v>
      </c>
      <c r="J33" s="238">
        <f t="shared" si="32"/>
        <v>9999.9969999999994</v>
      </c>
      <c r="K33" s="239">
        <f>RANK(J33,J$30:J$33,0)</f>
        <v>3</v>
      </c>
    </row>
    <row r="34" spans="1:16" x14ac:dyDescent="0.25">
      <c r="A34" s="240"/>
      <c r="B34" s="241" t="s">
        <v>636</v>
      </c>
      <c r="C34" s="242">
        <f>SUM(C30:C33)</f>
        <v>0</v>
      </c>
      <c r="D34" s="205">
        <v>1</v>
      </c>
      <c r="E34" s="205"/>
      <c r="F34" s="205">
        <v>100</v>
      </c>
      <c r="G34" s="205">
        <v>10000</v>
      </c>
      <c r="H34" s="205">
        <v>0.01</v>
      </c>
      <c r="I34" s="205">
        <v>1E-4</v>
      </c>
      <c r="J34" s="242"/>
      <c r="K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EnglandCroatia</v>
      </c>
      <c r="B37" s="158" t="str">
        <f>B1&amp;C1</f>
        <v>L1L2</v>
      </c>
      <c r="C37" s="158">
        <f>IF(Data!Q80="",0,1)</f>
        <v>0</v>
      </c>
      <c r="D37" s="150" t="str">
        <f>B2</f>
        <v>England</v>
      </c>
      <c r="E37" s="150" t="str">
        <f>C2</f>
        <v>Croatia</v>
      </c>
      <c r="F37" s="158" t="str">
        <f t="shared" ref="F37:F42" si="33">VLOOKUP($B37,Lookup12,2,FALSE)</f>
        <v/>
      </c>
      <c r="G37" s="158" t="str">
        <f t="shared" ref="G37:G42" si="34">VLOOKUP($B37,Lookup12,3,FALSE)</f>
        <v/>
      </c>
      <c r="H37" s="158">
        <f t="shared" ref="H37:H42" si="35">IF(C37=0,0,IF(F37&lt;G37,Lpts,IF(F37&gt;G37,Wpts,Dpts)))</f>
        <v>0</v>
      </c>
      <c r="I37" s="158">
        <f t="shared" ref="I37:I42" si="36">IF(C37=0,0,IF(G37&lt;F37,Lpts,IF(G37&gt;F37,Wpts,Dpts)))</f>
        <v>0</v>
      </c>
      <c r="J37" s="158" t="str">
        <f t="shared" ref="J37:J42" si="37">VLOOKUP($B37,Lookup12,4,FALSE)</f>
        <v/>
      </c>
      <c r="K37" s="158" t="str">
        <f t="shared" ref="K37:K42" si="38">VLOOKUP($B37,Lookup12,5,FALSE)</f>
        <v/>
      </c>
      <c r="L37" s="143"/>
      <c r="M37" s="143"/>
      <c r="N37" s="143"/>
      <c r="O37" s="143"/>
      <c r="P37" s="143"/>
    </row>
    <row r="38" spans="1:16" x14ac:dyDescent="0.25">
      <c r="A38" s="149" t="str">
        <f>D2&amp;E2</f>
        <v>GhanaPanama</v>
      </c>
      <c r="B38" s="158" t="str">
        <f>D1&amp;E1</f>
        <v>L3L4</v>
      </c>
      <c r="C38" s="158">
        <f>IF(Data!Q81="",0,1)</f>
        <v>0</v>
      </c>
      <c r="D38" s="150" t="str">
        <f>D2</f>
        <v>Ghana</v>
      </c>
      <c r="E38" s="150" t="str">
        <f>E2</f>
        <v>Panama</v>
      </c>
      <c r="F38" s="158" t="str">
        <f t="shared" si="33"/>
        <v/>
      </c>
      <c r="G38" s="158" t="str">
        <f t="shared" si="34"/>
        <v/>
      </c>
      <c r="H38" s="158">
        <f t="shared" si="35"/>
        <v>0</v>
      </c>
      <c r="I38" s="158">
        <f t="shared" si="36"/>
        <v>0</v>
      </c>
      <c r="J38" s="158" t="str">
        <f t="shared" si="37"/>
        <v/>
      </c>
      <c r="K38" s="158" t="str">
        <f t="shared" si="38"/>
        <v/>
      </c>
      <c r="L38" s="143"/>
      <c r="M38" s="143"/>
      <c r="N38" s="143"/>
      <c r="O38" s="143"/>
      <c r="P38" s="143"/>
    </row>
    <row r="39" spans="1:16" x14ac:dyDescent="0.25">
      <c r="A39" s="149" t="str">
        <f>B2&amp;D2</f>
        <v>EnglandGhana</v>
      </c>
      <c r="B39" s="158" t="str">
        <f>B1&amp;D1</f>
        <v>L1L3</v>
      </c>
      <c r="C39" s="158">
        <f>IF(Data!Q82="",0,1)</f>
        <v>0</v>
      </c>
      <c r="D39" s="150" t="str">
        <f>B2</f>
        <v>England</v>
      </c>
      <c r="E39" s="150" t="str">
        <f>D2</f>
        <v>Ghana</v>
      </c>
      <c r="F39" s="158" t="str">
        <f t="shared" si="33"/>
        <v/>
      </c>
      <c r="G39" s="158" t="str">
        <f t="shared" si="34"/>
        <v/>
      </c>
      <c r="H39" s="158">
        <f t="shared" si="35"/>
        <v>0</v>
      </c>
      <c r="I39" s="158">
        <f t="shared" si="36"/>
        <v>0</v>
      </c>
      <c r="J39" s="158" t="str">
        <f t="shared" si="37"/>
        <v/>
      </c>
      <c r="K39" s="158" t="str">
        <f t="shared" si="38"/>
        <v/>
      </c>
      <c r="L39" s="143"/>
      <c r="M39" s="143"/>
      <c r="N39" s="143"/>
      <c r="O39" s="143"/>
      <c r="P39" s="143"/>
    </row>
    <row r="40" spans="1:16" x14ac:dyDescent="0.25">
      <c r="A40" s="149" t="str">
        <f>E2&amp;C2</f>
        <v>PanamaCroatia</v>
      </c>
      <c r="B40" s="158" t="str">
        <f>E1&amp;C1</f>
        <v>L4L2</v>
      </c>
      <c r="C40" s="158">
        <f>IF(Data!Q83="",0,1)</f>
        <v>0</v>
      </c>
      <c r="D40" s="150" t="str">
        <f>E2</f>
        <v>Panama</v>
      </c>
      <c r="E40" s="150" t="str">
        <f>C2</f>
        <v>Croatia</v>
      </c>
      <c r="F40" s="158" t="str">
        <f t="shared" si="33"/>
        <v/>
      </c>
      <c r="G40" s="158" t="str">
        <f t="shared" si="34"/>
        <v/>
      </c>
      <c r="H40" s="158">
        <f t="shared" si="35"/>
        <v>0</v>
      </c>
      <c r="I40" s="158">
        <f t="shared" si="36"/>
        <v>0</v>
      </c>
      <c r="J40" s="158" t="str">
        <f t="shared" si="37"/>
        <v/>
      </c>
      <c r="K40" s="158" t="str">
        <f t="shared" si="38"/>
        <v/>
      </c>
      <c r="L40" s="143"/>
      <c r="M40" s="143"/>
      <c r="N40" s="143"/>
      <c r="O40" s="143"/>
      <c r="P40" s="143"/>
    </row>
    <row r="41" spans="1:16" x14ac:dyDescent="0.25">
      <c r="A41" s="149" t="str">
        <f>C2&amp;D2</f>
        <v>CroatiaGhana</v>
      </c>
      <c r="B41" s="158" t="str">
        <f>C1&amp;D1</f>
        <v>L2L3</v>
      </c>
      <c r="C41" s="158">
        <f>IF(Data!Q84="",0,1)</f>
        <v>0</v>
      </c>
      <c r="D41" s="150" t="str">
        <f>C2</f>
        <v>Croatia</v>
      </c>
      <c r="E41" s="150" t="str">
        <f>D2</f>
        <v>Ghana</v>
      </c>
      <c r="F41" s="158" t="str">
        <f t="shared" si="33"/>
        <v/>
      </c>
      <c r="G41" s="158" t="str">
        <f t="shared" si="34"/>
        <v/>
      </c>
      <c r="H41" s="158">
        <f t="shared" si="35"/>
        <v>0</v>
      </c>
      <c r="I41" s="158">
        <f t="shared" si="36"/>
        <v>0</v>
      </c>
      <c r="J41" s="158" t="str">
        <f t="shared" si="37"/>
        <v/>
      </c>
      <c r="K41" s="158" t="str">
        <f t="shared" si="38"/>
        <v/>
      </c>
      <c r="L41" s="143"/>
      <c r="M41" s="143"/>
      <c r="N41" s="143"/>
      <c r="O41" s="143"/>
      <c r="P41" s="143"/>
    </row>
    <row r="42" spans="1:16" x14ac:dyDescent="0.25">
      <c r="A42" s="151" t="str">
        <f>E2&amp;B2</f>
        <v>PanamaEngland</v>
      </c>
      <c r="B42" s="159" t="str">
        <f>E1&amp;B1</f>
        <v>L4L1</v>
      </c>
      <c r="C42" s="159">
        <f>IF(Data!Q85="",0,1)</f>
        <v>0</v>
      </c>
      <c r="D42" s="152" t="str">
        <f>E2</f>
        <v>Panama</v>
      </c>
      <c r="E42" s="152" t="str">
        <f>B2</f>
        <v>England</v>
      </c>
      <c r="F42" s="159" t="str">
        <f t="shared" si="33"/>
        <v/>
      </c>
      <c r="G42" s="159" t="str">
        <f t="shared" si="34"/>
        <v/>
      </c>
      <c r="H42" s="159">
        <f t="shared" si="35"/>
        <v>0</v>
      </c>
      <c r="I42" s="159">
        <f t="shared" si="36"/>
        <v>0</v>
      </c>
      <c r="J42" s="159" t="str">
        <f t="shared" si="37"/>
        <v/>
      </c>
      <c r="K42" s="159" t="str">
        <f t="shared" si="38"/>
        <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$B45</f>
        <v>England</v>
      </c>
      <c r="M44" s="154" t="str">
        <f>$B46</f>
        <v>Croatia</v>
      </c>
      <c r="N44" s="154" t="str">
        <f>$B47</f>
        <v>Panama</v>
      </c>
      <c r="O44" s="154" t="str">
        <f>$B48</f>
        <v>Ghana</v>
      </c>
      <c r="P44" s="155"/>
    </row>
    <row r="45" spans="1:16" x14ac:dyDescent="0.25">
      <c r="A45" s="156">
        <v>1</v>
      </c>
      <c r="B45" s="156" t="str">
        <f>VLOOKUP($A45,RankingL,2,FALSE)</f>
        <v>England</v>
      </c>
      <c r="C45" s="157">
        <f>VLOOKUP($B45,Lookup10,3,FALSE)</f>
        <v>0</v>
      </c>
      <c r="D45" s="157">
        <f>VLOOKUP($B45,Lookup10,4,FALSE)</f>
        <v>0</v>
      </c>
      <c r="E45" s="157">
        <f>VLOOKUP($B45,Lookup10,5,FALSE)</f>
        <v>0</v>
      </c>
      <c r="F45" s="157">
        <f>VLOOKUP($B45,Lookup10,6,FALSE)</f>
        <v>0</v>
      </c>
      <c r="G45" s="157">
        <f>VLOOKUP($B45,Lookup10,7,FALSE)</f>
        <v>0</v>
      </c>
      <c r="H45" s="157">
        <f>VLOOKUP($B45,Lookup10,8,FALSE)</f>
        <v>0</v>
      </c>
      <c r="I45" s="157">
        <f>VLOOKUP($B45,Lookup10,9,FALSE)</f>
        <v>0</v>
      </c>
      <c r="J45" s="157">
        <f>VLOOKUP($B45,Lookup10,10,FALSE)</f>
        <v>0</v>
      </c>
      <c r="K45" s="201" t="str">
        <f>B45</f>
        <v>England</v>
      </c>
      <c r="L45" s="203"/>
      <c r="M45" s="202" t="str">
        <f>IFERROR(VLOOKUP($B45&amp;M$44,A37:G42,6,FALSE)&amp;"-"&amp;VLOOKUP($B45&amp;M$44,A37:G42,7,FALSE),VLOOKUP(M$44&amp;$B45,A37:G42,7,FALSE)&amp;"-"&amp;VLOOKUP(M$44&amp;$B45,A37:G42,6,FALSE))</f>
        <v>-</v>
      </c>
      <c r="N45" s="202" t="str">
        <f>IFERROR(VLOOKUP($B45&amp;N$44,A37:G42,6,FALSE)&amp;"-"&amp;VLOOKUP($B45&amp;N$44,A37:G42,7,FALSE),VLOOKUP(N$44&amp;$B45,A37:G42,7,FALSE)&amp;"-"&amp;VLOOKUP(N$44&amp;$B45,A37:G42,6,FALSE))</f>
        <v>-</v>
      </c>
      <c r="O45" s="202" t="str">
        <f>IFERROR(VLOOKUP($B45&amp;O$44,A37:G42,6,FALSE)&amp;"-"&amp;VLOOKUP($B45&amp;O$44,A37:G42,7,FALSE),VLOOKUP(O$44&amp;$B45,A37:G42,7,FALSE)&amp;"-"&amp;VLOOKUP(O$44&amp;$B45,A37:G42,6,FALSE))</f>
        <v>-</v>
      </c>
      <c r="P45" s="155"/>
    </row>
    <row r="46" spans="1:16" x14ac:dyDescent="0.25">
      <c r="A46" s="156">
        <v>2</v>
      </c>
      <c r="B46" s="156" t="str">
        <f>VLOOKUP($A46,RankingL,2,FALSE)</f>
        <v>Croatia</v>
      </c>
      <c r="C46" s="157">
        <f>VLOOKUP($B46,Lookup10,3,FALSE)</f>
        <v>0</v>
      </c>
      <c r="D46" s="157">
        <f>VLOOKUP($B46,Lookup10,4,FALSE)</f>
        <v>0</v>
      </c>
      <c r="E46" s="157">
        <f>VLOOKUP($B46,Lookup10,5,FALSE)</f>
        <v>0</v>
      </c>
      <c r="F46" s="157">
        <f>VLOOKUP($B46,Lookup10,6,FALSE)</f>
        <v>0</v>
      </c>
      <c r="G46" s="157">
        <f>VLOOKUP($B46,Lookup10,7,FALSE)</f>
        <v>0</v>
      </c>
      <c r="H46" s="157">
        <f>VLOOKUP($B46,Lookup10,8,FALSE)</f>
        <v>0</v>
      </c>
      <c r="I46" s="157">
        <f>VLOOKUP($B46,Lookup10,9,FALSE)</f>
        <v>0</v>
      </c>
      <c r="J46" s="157">
        <f>VLOOKUP($B46,Lookup10,10,FALSE)</f>
        <v>0</v>
      </c>
      <c r="K46" s="201" t="str">
        <f>B46</f>
        <v>Croatia</v>
      </c>
      <c r="L46" s="202" t="str">
        <f>IFERROR(VLOOKUP($B46&amp;L$44,A37:G42,6,FALSE)&amp;"-"&amp;VLOOKUP($B46&amp;L$44,A37:G42,7,FALSE),VLOOKUP(L$44&amp;$B46,A37:G42,7,FALSE)&amp;"-"&amp;VLOOKUP(L$44&amp;$B46,A37:G42,6,FALSE))</f>
        <v>-</v>
      </c>
      <c r="M46" s="203"/>
      <c r="N46" s="202" t="str">
        <f>IFERROR(VLOOKUP($B46&amp;N$44,A37:G42,6,FALSE)&amp;"-"&amp;VLOOKUP($B46&amp;N$44,A37:G42,7,FALSE),VLOOKUP(N$44&amp;$B46,A37:G42,7,FALSE)&amp;"-"&amp;VLOOKUP(N$44&amp;$B46,A37:G42,6,FALSE))</f>
        <v>-</v>
      </c>
      <c r="O46" s="202" t="str">
        <f>IFERROR(VLOOKUP($B46&amp;O$44,A37:G42,6,FALSE)&amp;"-"&amp;VLOOKUP($B46&amp;O$44,A37:G42,7,FALSE),VLOOKUP(O$44&amp;$B46,A37:G42,7,FALSE)&amp;"-"&amp;VLOOKUP(O$44&amp;$B46,A37:G42,6,FALSE))</f>
        <v>-</v>
      </c>
      <c r="P46" s="155"/>
    </row>
    <row r="47" spans="1:16" x14ac:dyDescent="0.25">
      <c r="A47" s="156">
        <v>3</v>
      </c>
      <c r="B47" s="156" t="str">
        <f>VLOOKUP($A47,RankingL,2,FALSE)</f>
        <v>Panama</v>
      </c>
      <c r="C47" s="157">
        <f>VLOOKUP($B47,Lookup10,3,FALSE)</f>
        <v>0</v>
      </c>
      <c r="D47" s="157">
        <f>VLOOKUP($B47,Lookup10,4,FALSE)</f>
        <v>0</v>
      </c>
      <c r="E47" s="157">
        <f>VLOOKUP($B47,Lookup10,5,FALSE)</f>
        <v>0</v>
      </c>
      <c r="F47" s="157">
        <f>VLOOKUP($B47,Lookup10,6,FALSE)</f>
        <v>0</v>
      </c>
      <c r="G47" s="157">
        <f>VLOOKUP($B47,Lookup10,7,FALSE)</f>
        <v>0</v>
      </c>
      <c r="H47" s="157">
        <f>VLOOKUP($B47,Lookup10,8,FALSE)</f>
        <v>0</v>
      </c>
      <c r="I47" s="157">
        <f>VLOOKUP($B47,Lookup10,9,FALSE)</f>
        <v>0</v>
      </c>
      <c r="J47" s="157">
        <f>VLOOKUP($B47,Lookup10,10,FALSE)</f>
        <v>0</v>
      </c>
      <c r="K47" s="201" t="str">
        <f>B47</f>
        <v>Panama</v>
      </c>
      <c r="L47" s="202" t="str">
        <f>IFERROR(VLOOKUP($B47&amp;L$44,A37:G42,6,FALSE)&amp;"-"&amp;VLOOKUP($B47&amp;L$44,A37:G42,7,FALSE),VLOOKUP(L$44&amp;$B47,A37:G42,7,FALSE)&amp;"-"&amp;VLOOKUP(L$44&amp;$B47,A37:G42,6,FALSE))</f>
        <v>-</v>
      </c>
      <c r="M47" s="202" t="str">
        <f>IFERROR(VLOOKUP($B47&amp;M$44,A37:G42,6,FALSE)&amp;"-"&amp;VLOOKUP($B47&amp;M$44,A37:G42,7,FALSE),VLOOKUP(M$44&amp;$B47,A37:G42,7,FALSE)&amp;"-"&amp;VLOOKUP(M$44&amp;$B47,A37:G42,6,FALSE))</f>
        <v>-</v>
      </c>
      <c r="N47" s="203"/>
      <c r="O47" s="202" t="str">
        <f>IFERROR(VLOOKUP($B47&amp;O$44,A37:G42,6,FALSE)&amp;"-"&amp;VLOOKUP($B47&amp;O$44,A37:G42,7,FALSE),VLOOKUP(O$44&amp;$B47,A37:G42,7,FALSE)&amp;"-"&amp;VLOOKUP(O$44&amp;$B47,A37:G42,6,FALSE))</f>
        <v>-</v>
      </c>
      <c r="P47" s="155"/>
    </row>
    <row r="48" spans="1:16" x14ac:dyDescent="0.25">
      <c r="A48" s="156">
        <v>4</v>
      </c>
      <c r="B48" s="156" t="str">
        <f>VLOOKUP($A48,RankingL,2,FALSE)</f>
        <v>Ghana</v>
      </c>
      <c r="C48" s="157">
        <f>VLOOKUP($B48,Lookup10,3,FALSE)</f>
        <v>0</v>
      </c>
      <c r="D48" s="157">
        <f>VLOOKUP($B48,Lookup10,4,FALSE)</f>
        <v>0</v>
      </c>
      <c r="E48" s="157">
        <f>VLOOKUP($B48,Lookup10,5,FALSE)</f>
        <v>0</v>
      </c>
      <c r="F48" s="157">
        <f>VLOOKUP($B48,Lookup10,6,FALSE)</f>
        <v>0</v>
      </c>
      <c r="G48" s="157">
        <f>VLOOKUP($B48,Lookup10,7,FALSE)</f>
        <v>0</v>
      </c>
      <c r="H48" s="157">
        <f>VLOOKUP($B48,Lookup10,8,FALSE)</f>
        <v>0</v>
      </c>
      <c r="I48" s="157">
        <f>VLOOKUP($B48,Lookup10,9,FALSE)</f>
        <v>0</v>
      </c>
      <c r="J48" s="157">
        <f>VLOOKUP($B48,Lookup10,10,FALSE)</f>
        <v>0</v>
      </c>
      <c r="K48" s="201" t="str">
        <f>B48</f>
        <v>Ghana</v>
      </c>
      <c r="L48" s="202" t="str">
        <f>IFERROR(VLOOKUP($B48&amp;L$44,A37:G42,6,FALSE)&amp;"-"&amp;VLOOKUP($B48&amp;L$44,A37:G42,7,FALSE),VLOOKUP(L$44&amp;$B48,A37:G42,7,FALSE)&amp;"-"&amp;VLOOKUP(L$44&amp;$B48,A37:G42,6,FALSE))</f>
        <v>-</v>
      </c>
      <c r="M48" s="202" t="str">
        <f>IFERROR(VLOOKUP($B48&amp;M$44,A37:G42,6,FALSE)&amp;"-"&amp;VLOOKUP($B48&amp;M$44,A37:G42,7,FALSE),VLOOKUP(M$44&amp;$B48,A37:G42,7,FALSE)&amp;"-"&amp;VLOOKUP(M$44&amp;$B48,A37:G42,6,FALSE))</f>
        <v>-</v>
      </c>
      <c r="N48" s="202" t="str">
        <f>IFERROR(VLOOKUP($B48&amp;N$44,A37:G42,6,FALSE)&amp;"-"&amp;VLOOKUP($B48&amp;N$44,A37:G42,7,FALSE),VLOOKUP(N$44&amp;$B48,A37:G42,7,FALSE)&amp;"-"&amp;VLOOKUP(N$44&amp;$B48,A37:G42,6,FALSE))</f>
        <v>-</v>
      </c>
      <c r="O48" s="203"/>
      <c r="P48" s="155"/>
    </row>
    <row r="49" spans="1:16" x14ac:dyDescent="0.25">
      <c r="A49" s="143"/>
      <c r="B49" s="143"/>
      <c r="C49" s="461">
        <f>SUM(C45:C48)</f>
        <v>0</v>
      </c>
      <c r="D49" s="143"/>
      <c r="E49" s="143"/>
      <c r="F49" s="143"/>
      <c r="G49" s="143"/>
      <c r="H49" s="143"/>
      <c r="I49" s="143"/>
      <c r="J49" s="143"/>
      <c r="K49" s="143"/>
      <c r="L49" s="143"/>
      <c r="M49" s="143"/>
      <c r="N49" s="143"/>
      <c r="O49" s="143"/>
      <c r="P49" s="143"/>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F6CD5-28A0-451B-8310-BE8FCC676FEF}">
  <sheetPr>
    <tabColor rgb="FFC00000"/>
  </sheetPr>
  <dimension ref="A1:O26"/>
  <sheetViews>
    <sheetView workbookViewId="0">
      <selection activeCell="C42" sqref="C42"/>
    </sheetView>
  </sheetViews>
  <sheetFormatPr defaultColWidth="16.7109375" defaultRowHeight="15" x14ac:dyDescent="0.25"/>
  <sheetData>
    <row r="1" spans="1:15" x14ac:dyDescent="0.25">
      <c r="A1" s="228" t="s">
        <v>677</v>
      </c>
    </row>
    <row r="2" spans="1:15" x14ac:dyDescent="0.25">
      <c r="A2" s="230" t="s">
        <v>270</v>
      </c>
      <c r="B2" s="232" t="s">
        <v>320</v>
      </c>
      <c r="C2" s="231" t="s">
        <v>310</v>
      </c>
      <c r="D2" s="232" t="s">
        <v>304</v>
      </c>
      <c r="E2" s="232" t="s">
        <v>669</v>
      </c>
      <c r="F2" s="232" t="s">
        <v>670</v>
      </c>
      <c r="G2" s="232" t="s">
        <v>671</v>
      </c>
      <c r="H2" s="232" t="s">
        <v>631</v>
      </c>
      <c r="I2" s="232" t="s">
        <v>632</v>
      </c>
      <c r="J2" s="232" t="s">
        <v>633</v>
      </c>
      <c r="K2" s="232" t="s">
        <v>309</v>
      </c>
      <c r="L2" s="232" t="s">
        <v>411</v>
      </c>
      <c r="M2" s="232" t="s">
        <v>678</v>
      </c>
      <c r="N2" s="232" t="s">
        <v>634</v>
      </c>
      <c r="O2" s="233" t="s">
        <v>635</v>
      </c>
    </row>
    <row r="3" spans="1:15" x14ac:dyDescent="0.25">
      <c r="A3" s="234">
        <f>O3</f>
        <v>10</v>
      </c>
      <c r="B3" s="237" t="s">
        <v>16</v>
      </c>
      <c r="C3" s="235" t="str">
        <f>GrpA!B$47</f>
        <v>Czechia</v>
      </c>
      <c r="D3" s="236">
        <f>GrpA!C$47</f>
        <v>1</v>
      </c>
      <c r="E3" s="236">
        <f>GrpA!D$47</f>
        <v>0</v>
      </c>
      <c r="F3" s="236">
        <f>GrpA!E$47</f>
        <v>0</v>
      </c>
      <c r="G3" s="236">
        <f>GrpA!F$47</f>
        <v>1</v>
      </c>
      <c r="H3" s="236">
        <f>GrpA!G$47</f>
        <v>1</v>
      </c>
      <c r="I3" s="236">
        <f>GrpA!H$47</f>
        <v>2</v>
      </c>
      <c r="J3" s="236">
        <f>GrpA!I$47</f>
        <v>-1</v>
      </c>
      <c r="K3" s="236">
        <f>GrpA!J$47</f>
        <v>0</v>
      </c>
      <c r="L3" s="236">
        <f t="shared" ref="L3:L14" si="0">VLOOKUP($C3,Lookup11,3,FALSE)</f>
        <v>0</v>
      </c>
      <c r="M3" s="236">
        <f t="shared" ref="M3:M14" si="1">VLOOKUP($C3,Lookup11,2,FALSE)</f>
        <v>32</v>
      </c>
      <c r="N3" s="244">
        <f>K3*K$15+J3*J$15+H3*H$15-L3*L$15-M3*M$15</f>
        <v>-99.003200000000007</v>
      </c>
      <c r="O3" s="239">
        <f>RANK(N3,N$3:N$14,0)</f>
        <v>10</v>
      </c>
    </row>
    <row r="4" spans="1:15" x14ac:dyDescent="0.25">
      <c r="A4" s="234">
        <f t="shared" ref="A4:A14" si="2">O4</f>
        <v>4</v>
      </c>
      <c r="B4" s="237" t="s">
        <v>326</v>
      </c>
      <c r="C4" s="235" t="str">
        <f>GrpB!B$47</f>
        <v>Qatar</v>
      </c>
      <c r="D4" s="236">
        <f>GrpB!C$47</f>
        <v>1</v>
      </c>
      <c r="E4" s="236">
        <f>GrpB!D$47</f>
        <v>0</v>
      </c>
      <c r="F4" s="236">
        <f>GrpB!E$47</f>
        <v>1</v>
      </c>
      <c r="G4" s="236">
        <f>GrpB!F$47</f>
        <v>0</v>
      </c>
      <c r="H4" s="236">
        <f>GrpB!G$47</f>
        <v>1</v>
      </c>
      <c r="I4" s="236">
        <f>GrpB!H$47</f>
        <v>1</v>
      </c>
      <c r="J4" s="236">
        <f>GrpB!I$47</f>
        <v>0</v>
      </c>
      <c r="K4" s="236">
        <f>GrpB!J$47</f>
        <v>1</v>
      </c>
      <c r="L4" s="236">
        <f t="shared" si="0"/>
        <v>2</v>
      </c>
      <c r="M4" s="236">
        <f t="shared" si="1"/>
        <v>38</v>
      </c>
      <c r="N4" s="244">
        <f t="shared" ref="N4:N14" si="3">K4*K$15+J4*J$15+H4*H$15-L4*L$15-M4*M$15</f>
        <v>10000.976199999999</v>
      </c>
      <c r="O4" s="239">
        <f t="shared" ref="O4:O14" si="4">RANK(N4,N$3:N$14,0)</f>
        <v>4</v>
      </c>
    </row>
    <row r="5" spans="1:15" x14ac:dyDescent="0.25">
      <c r="A5" s="234">
        <f t="shared" si="2"/>
        <v>2</v>
      </c>
      <c r="B5" s="237" t="s">
        <v>328</v>
      </c>
      <c r="C5" s="235" t="str">
        <f>GrpC!B$47</f>
        <v>Brazil</v>
      </c>
      <c r="D5" s="236">
        <f>GrpC!C$47</f>
        <v>1</v>
      </c>
      <c r="E5" s="236">
        <f>GrpC!D$47</f>
        <v>0</v>
      </c>
      <c r="F5" s="236">
        <f>GrpC!E$47</f>
        <v>1</v>
      </c>
      <c r="G5" s="236">
        <f>GrpC!F$47</f>
        <v>0</v>
      </c>
      <c r="H5" s="236">
        <f>GrpC!G$47</f>
        <v>1</v>
      </c>
      <c r="I5" s="236">
        <f>GrpC!H$47</f>
        <v>1</v>
      </c>
      <c r="J5" s="236">
        <f>GrpC!I$47</f>
        <v>0</v>
      </c>
      <c r="K5" s="236">
        <f>GrpC!J$47</f>
        <v>1</v>
      </c>
      <c r="L5" s="236">
        <f t="shared" si="0"/>
        <v>2</v>
      </c>
      <c r="M5" s="236">
        <f t="shared" si="1"/>
        <v>6</v>
      </c>
      <c r="N5" s="244">
        <f t="shared" si="3"/>
        <v>10000.9794</v>
      </c>
      <c r="O5" s="239">
        <f t="shared" si="4"/>
        <v>2</v>
      </c>
    </row>
    <row r="6" spans="1:15" x14ac:dyDescent="0.25">
      <c r="A6" s="234">
        <f t="shared" si="2"/>
        <v>12</v>
      </c>
      <c r="B6" s="237" t="s">
        <v>15</v>
      </c>
      <c r="C6" s="235" t="str">
        <f>GrpD!B$47</f>
        <v>Turkiye</v>
      </c>
      <c r="D6" s="236">
        <f>GrpD!C$47</f>
        <v>1</v>
      </c>
      <c r="E6" s="236">
        <f>GrpD!D$47</f>
        <v>0</v>
      </c>
      <c r="F6" s="236">
        <f>GrpD!E$47</f>
        <v>0</v>
      </c>
      <c r="G6" s="236">
        <f>GrpD!F$47</f>
        <v>1</v>
      </c>
      <c r="H6" s="236">
        <f>GrpD!G$47</f>
        <v>0</v>
      </c>
      <c r="I6" s="236">
        <f>GrpD!H$47</f>
        <v>2</v>
      </c>
      <c r="J6" s="236">
        <f>GrpD!I$47</f>
        <v>-2</v>
      </c>
      <c r="K6" s="236">
        <f>GrpD!J$47</f>
        <v>0</v>
      </c>
      <c r="L6" s="236">
        <f t="shared" si="0"/>
        <v>1</v>
      </c>
      <c r="M6" s="236">
        <f t="shared" si="1"/>
        <v>20</v>
      </c>
      <c r="N6" s="244">
        <f t="shared" si="3"/>
        <v>-200.012</v>
      </c>
      <c r="O6" s="239">
        <f t="shared" si="4"/>
        <v>12</v>
      </c>
    </row>
    <row r="7" spans="1:15" x14ac:dyDescent="0.25">
      <c r="A7" s="234">
        <f t="shared" si="2"/>
        <v>11</v>
      </c>
      <c r="B7" s="237" t="s">
        <v>329</v>
      </c>
      <c r="C7" s="235" t="str">
        <f>GrpE!B$47</f>
        <v>Ecuador</v>
      </c>
      <c r="D7" s="236">
        <f>GrpE!C$47</f>
        <v>1</v>
      </c>
      <c r="E7" s="236">
        <f>GrpE!D$47</f>
        <v>0</v>
      </c>
      <c r="F7" s="236">
        <f>GrpE!E$47</f>
        <v>0</v>
      </c>
      <c r="G7" s="236">
        <f>GrpE!F$47</f>
        <v>1</v>
      </c>
      <c r="H7" s="236">
        <f>GrpE!G$47</f>
        <v>0</v>
      </c>
      <c r="I7" s="236">
        <f>GrpE!H$47</f>
        <v>1</v>
      </c>
      <c r="J7" s="236">
        <f>GrpE!I$47</f>
        <v>-1</v>
      </c>
      <c r="K7" s="236">
        <f>GrpE!J$47</f>
        <v>0</v>
      </c>
      <c r="L7" s="236">
        <f t="shared" si="0"/>
        <v>1</v>
      </c>
      <c r="M7" s="236">
        <f t="shared" si="1"/>
        <v>21</v>
      </c>
      <c r="N7" s="244">
        <f t="shared" si="3"/>
        <v>-100.0121</v>
      </c>
      <c r="O7" s="239">
        <f t="shared" si="4"/>
        <v>11</v>
      </c>
    </row>
    <row r="8" spans="1:15" x14ac:dyDescent="0.25">
      <c r="A8" s="234">
        <f t="shared" si="2"/>
        <v>1</v>
      </c>
      <c r="B8" s="237" t="s">
        <v>307</v>
      </c>
      <c r="C8" s="235" t="str">
        <f>GrpF!B$47</f>
        <v>Netherlands</v>
      </c>
      <c r="D8" s="236">
        <f>GrpF!C$47</f>
        <v>1</v>
      </c>
      <c r="E8" s="236">
        <f>GrpF!D$47</f>
        <v>0</v>
      </c>
      <c r="F8" s="236">
        <f>GrpF!E$47</f>
        <v>1</v>
      </c>
      <c r="G8" s="236">
        <f>GrpF!F$47</f>
        <v>0</v>
      </c>
      <c r="H8" s="236">
        <f>GrpF!G$47</f>
        <v>2</v>
      </c>
      <c r="I8" s="236">
        <f>GrpF!H$47</f>
        <v>2</v>
      </c>
      <c r="J8" s="236">
        <f>GrpF!I$47</f>
        <v>0</v>
      </c>
      <c r="K8" s="236">
        <f>GrpF!J$47</f>
        <v>1</v>
      </c>
      <c r="L8" s="236">
        <f t="shared" si="0"/>
        <v>3</v>
      </c>
      <c r="M8" s="236">
        <f t="shared" si="1"/>
        <v>8</v>
      </c>
      <c r="N8" s="244">
        <f t="shared" si="3"/>
        <v>10001.9692</v>
      </c>
      <c r="O8" s="239">
        <f t="shared" si="4"/>
        <v>1</v>
      </c>
    </row>
    <row r="9" spans="1:15" x14ac:dyDescent="0.25">
      <c r="A9" s="234">
        <f t="shared" si="2"/>
        <v>3</v>
      </c>
      <c r="B9" s="237" t="s">
        <v>330</v>
      </c>
      <c r="C9" s="235" t="str">
        <f>GrpG!B$47</f>
        <v>Belgium</v>
      </c>
      <c r="D9" s="236">
        <f>GrpG!C$47</f>
        <v>1</v>
      </c>
      <c r="E9" s="236">
        <f>GrpG!D$47</f>
        <v>0</v>
      </c>
      <c r="F9" s="236">
        <f>GrpG!E$47</f>
        <v>1</v>
      </c>
      <c r="G9" s="236">
        <f>GrpG!F$47</f>
        <v>0</v>
      </c>
      <c r="H9" s="236">
        <f>GrpG!G$47</f>
        <v>1</v>
      </c>
      <c r="I9" s="236">
        <f>GrpG!H$47</f>
        <v>1</v>
      </c>
      <c r="J9" s="236">
        <f>GrpG!I$47</f>
        <v>0</v>
      </c>
      <c r="K9" s="236">
        <f>GrpG!J$47</f>
        <v>1</v>
      </c>
      <c r="L9" s="236">
        <f t="shared" si="0"/>
        <v>2</v>
      </c>
      <c r="M9" s="236">
        <f t="shared" si="1"/>
        <v>9</v>
      </c>
      <c r="N9" s="244">
        <f t="shared" si="3"/>
        <v>10000.9791</v>
      </c>
      <c r="O9" s="239">
        <f t="shared" si="4"/>
        <v>3</v>
      </c>
    </row>
    <row r="10" spans="1:15" x14ac:dyDescent="0.25">
      <c r="A10" s="234">
        <f t="shared" si="2"/>
        <v>5</v>
      </c>
      <c r="B10" s="237" t="s">
        <v>14</v>
      </c>
      <c r="C10" s="235" t="str">
        <f>GrpH!B$47</f>
        <v>Spain</v>
      </c>
      <c r="D10" s="236">
        <f>GrpH!C$47</f>
        <v>1</v>
      </c>
      <c r="E10" s="236">
        <f>GrpH!D$47</f>
        <v>0</v>
      </c>
      <c r="F10" s="236">
        <f>GrpH!E$47</f>
        <v>1</v>
      </c>
      <c r="G10" s="236">
        <f>GrpH!F$47</f>
        <v>0</v>
      </c>
      <c r="H10" s="236">
        <f>GrpH!G$47</f>
        <v>0</v>
      </c>
      <c r="I10" s="236">
        <f>GrpH!H$47</f>
        <v>0</v>
      </c>
      <c r="J10" s="236">
        <f>GrpH!I$47</f>
        <v>0</v>
      </c>
      <c r="K10" s="236">
        <f>GrpH!J$47</f>
        <v>1</v>
      </c>
      <c r="L10" s="236">
        <f t="shared" si="0"/>
        <v>1</v>
      </c>
      <c r="M10" s="236">
        <f t="shared" si="1"/>
        <v>2</v>
      </c>
      <c r="N10" s="244">
        <f t="shared" si="3"/>
        <v>9999.9897999999994</v>
      </c>
      <c r="O10" s="239">
        <f t="shared" si="4"/>
        <v>5</v>
      </c>
    </row>
    <row r="11" spans="1:15" x14ac:dyDescent="0.25">
      <c r="A11" s="234">
        <f t="shared" si="2"/>
        <v>7</v>
      </c>
      <c r="B11" s="237" t="s">
        <v>621</v>
      </c>
      <c r="C11" s="235" t="str">
        <f>GrpI!B$47</f>
        <v>Norway</v>
      </c>
      <c r="D11" s="236">
        <f>GrpI!C$47</f>
        <v>0</v>
      </c>
      <c r="E11" s="236">
        <f>GrpI!D$47</f>
        <v>0</v>
      </c>
      <c r="F11" s="236">
        <f>GrpI!E$47</f>
        <v>0</v>
      </c>
      <c r="G11" s="236">
        <f>GrpI!F$47</f>
        <v>0</v>
      </c>
      <c r="H11" s="236">
        <f>GrpI!G$47</f>
        <v>0</v>
      </c>
      <c r="I11" s="236">
        <f>GrpI!H$47</f>
        <v>0</v>
      </c>
      <c r="J11" s="236">
        <f>GrpI!I$47</f>
        <v>0</v>
      </c>
      <c r="K11" s="236">
        <f>GrpI!J$47</f>
        <v>0</v>
      </c>
      <c r="L11" s="236">
        <f t="shared" si="0"/>
        <v>0</v>
      </c>
      <c r="M11" s="236">
        <f t="shared" si="1"/>
        <v>28</v>
      </c>
      <c r="N11" s="244">
        <f t="shared" si="3"/>
        <v>-2.8E-3</v>
      </c>
      <c r="O11" s="239">
        <f t="shared" si="4"/>
        <v>7</v>
      </c>
    </row>
    <row r="12" spans="1:15" x14ac:dyDescent="0.25">
      <c r="A12" s="234">
        <f t="shared" si="2"/>
        <v>6</v>
      </c>
      <c r="B12" s="237" t="s">
        <v>622</v>
      </c>
      <c r="C12" s="235" t="str">
        <f>GrpJ!B$47</f>
        <v>Algeria</v>
      </c>
      <c r="D12" s="236">
        <f>GrpJ!C$47</f>
        <v>0</v>
      </c>
      <c r="E12" s="236">
        <f>GrpJ!D$47</f>
        <v>0</v>
      </c>
      <c r="F12" s="236">
        <f>GrpJ!E$47</f>
        <v>0</v>
      </c>
      <c r="G12" s="236">
        <f>GrpJ!F$47</f>
        <v>0</v>
      </c>
      <c r="H12" s="236">
        <f>GrpJ!G$47</f>
        <v>0</v>
      </c>
      <c r="I12" s="236">
        <f>GrpJ!H$47</f>
        <v>0</v>
      </c>
      <c r="J12" s="236">
        <f>GrpJ!I$47</f>
        <v>0</v>
      </c>
      <c r="K12" s="236">
        <f>GrpJ!J$47</f>
        <v>0</v>
      </c>
      <c r="L12" s="236">
        <f t="shared" si="0"/>
        <v>0</v>
      </c>
      <c r="M12" s="236">
        <f t="shared" si="1"/>
        <v>25</v>
      </c>
      <c r="N12" s="244">
        <f t="shared" si="3"/>
        <v>-2.5000000000000001E-3</v>
      </c>
      <c r="O12" s="239">
        <f t="shared" si="4"/>
        <v>6</v>
      </c>
    </row>
    <row r="13" spans="1:15" x14ac:dyDescent="0.25">
      <c r="A13" s="234">
        <f t="shared" si="2"/>
        <v>9</v>
      </c>
      <c r="B13" s="237" t="s">
        <v>623</v>
      </c>
      <c r="C13" s="235" t="str">
        <f>GrpK!B$47</f>
        <v>Congo DR</v>
      </c>
      <c r="D13" s="236">
        <f>GrpK!C$47</f>
        <v>0</v>
      </c>
      <c r="E13" s="236">
        <f>GrpK!D$47</f>
        <v>0</v>
      </c>
      <c r="F13" s="236">
        <f>GrpK!E$47</f>
        <v>0</v>
      </c>
      <c r="G13" s="236">
        <f>GrpK!F$47</f>
        <v>0</v>
      </c>
      <c r="H13" s="236">
        <f>GrpK!G$47</f>
        <v>0</v>
      </c>
      <c r="I13" s="236">
        <f>GrpK!H$47</f>
        <v>0</v>
      </c>
      <c r="J13" s="236">
        <f>GrpK!I$47</f>
        <v>0</v>
      </c>
      <c r="K13" s="236">
        <f>GrpK!J$47</f>
        <v>0</v>
      </c>
      <c r="L13" s="236">
        <f t="shared" si="0"/>
        <v>0</v>
      </c>
      <c r="M13" s="236">
        <f t="shared" si="1"/>
        <v>36</v>
      </c>
      <c r="N13" s="244">
        <f t="shared" si="3"/>
        <v>-3.6000000000000003E-3</v>
      </c>
      <c r="O13" s="239">
        <f t="shared" si="4"/>
        <v>9</v>
      </c>
    </row>
    <row r="14" spans="1:15" x14ac:dyDescent="0.25">
      <c r="A14" s="234">
        <f t="shared" si="2"/>
        <v>8</v>
      </c>
      <c r="B14" s="237" t="s">
        <v>306</v>
      </c>
      <c r="C14" s="235" t="str">
        <f>GrpL!B$47</f>
        <v>Panama</v>
      </c>
      <c r="D14" s="236">
        <f>GrpL!C$47</f>
        <v>0</v>
      </c>
      <c r="E14" s="236">
        <f>GrpL!D$47</f>
        <v>0</v>
      </c>
      <c r="F14" s="236">
        <f>GrpL!E$47</f>
        <v>0</v>
      </c>
      <c r="G14" s="236">
        <f>GrpL!F$47</f>
        <v>0</v>
      </c>
      <c r="H14" s="236">
        <f>GrpL!G$47</f>
        <v>0</v>
      </c>
      <c r="I14" s="236">
        <f>GrpL!H$47</f>
        <v>0</v>
      </c>
      <c r="J14" s="236">
        <f>GrpL!I$47</f>
        <v>0</v>
      </c>
      <c r="K14" s="236">
        <f>GrpL!J$47</f>
        <v>0</v>
      </c>
      <c r="L14" s="236">
        <f t="shared" si="0"/>
        <v>0</v>
      </c>
      <c r="M14" s="236">
        <f t="shared" si="1"/>
        <v>30</v>
      </c>
      <c r="N14" s="244">
        <f t="shared" si="3"/>
        <v>-3.0000000000000001E-3</v>
      </c>
      <c r="O14" s="239">
        <f t="shared" si="4"/>
        <v>8</v>
      </c>
    </row>
    <row r="15" spans="1:15" x14ac:dyDescent="0.25">
      <c r="A15" s="240"/>
      <c r="B15" s="242"/>
      <c r="C15" s="241" t="s">
        <v>636</v>
      </c>
      <c r="D15" s="242">
        <f>SUM(D3:D14)</f>
        <v>8</v>
      </c>
      <c r="E15" s="205"/>
      <c r="F15" s="205"/>
      <c r="G15" s="205"/>
      <c r="H15" s="205">
        <v>1</v>
      </c>
      <c r="I15" s="205"/>
      <c r="J15" s="205">
        <v>100</v>
      </c>
      <c r="K15" s="205">
        <v>10000</v>
      </c>
      <c r="L15" s="205">
        <v>0.01</v>
      </c>
      <c r="M15" s="205">
        <v>1E-4</v>
      </c>
      <c r="N15" s="242"/>
      <c r="O15" s="243"/>
    </row>
    <row r="17" spans="1:9" x14ac:dyDescent="0.25">
      <c r="A17" s="228" t="s">
        <v>1195</v>
      </c>
    </row>
    <row r="18" spans="1:9" x14ac:dyDescent="0.25">
      <c r="A18" s="265" t="s">
        <v>270</v>
      </c>
      <c r="B18" s="266" t="s">
        <v>320</v>
      </c>
      <c r="C18" s="266" t="s">
        <v>1196</v>
      </c>
      <c r="D18" s="266" t="s">
        <v>325</v>
      </c>
      <c r="E18" s="267" t="str">
        <f>E19&amp;E20&amp;E21&amp;E22&amp;E23&amp;E24&amp;E25&amp;E26</f>
        <v>BCFGHIJL</v>
      </c>
      <c r="F18" s="266" t="s">
        <v>532</v>
      </c>
      <c r="G18" s="266" t="s">
        <v>320</v>
      </c>
      <c r="H18" s="268" t="s">
        <v>1204</v>
      </c>
      <c r="I18" s="269"/>
    </row>
    <row r="19" spans="1:9" x14ac:dyDescent="0.25">
      <c r="A19" s="251">
        <v>1</v>
      </c>
      <c r="B19" s="252" t="str">
        <f>VLOOKUP(A19,$A$3:$B$14,2,FALSE)</f>
        <v>F</v>
      </c>
      <c r="C19" s="252">
        <f>_xlfn.UNICODE(B19)-64</f>
        <v>6</v>
      </c>
      <c r="D19" s="252">
        <f>_xlfn.RANK.EQ(C19,C$19:C$26,1)</f>
        <v>3</v>
      </c>
      <c r="E19" s="253" t="str">
        <f>_xlfn.XLOOKUP(A19,$D$19:$D$26,B$19:B$26)</f>
        <v>B</v>
      </c>
      <c r="F19" s="262" t="s">
        <v>1197</v>
      </c>
      <c r="G19" s="259" t="str">
        <f t="shared" ref="G19:G26" si="5">RIGHT(VLOOKUP($E$18,AnnexeC,A19+1,FALSE))</f>
        <v>H</v>
      </c>
      <c r="H19" s="254" t="str">
        <f>VLOOKUP(G19,$B$3:$C$14,2,FALSE)</f>
        <v>Spain</v>
      </c>
      <c r="I19" s="255"/>
    </row>
    <row r="20" spans="1:9" x14ac:dyDescent="0.25">
      <c r="A20" s="234">
        <v>2</v>
      </c>
      <c r="B20" s="237" t="str">
        <f t="shared" ref="B20:B26" si="6">VLOOKUP(A20,$A$3:$B$14,2,FALSE)</f>
        <v>C</v>
      </c>
      <c r="C20" s="237">
        <f t="shared" ref="C20:C26" si="7">_xlfn.UNICODE(B20)-64</f>
        <v>3</v>
      </c>
      <c r="D20" s="237">
        <f t="shared" ref="D20:D26" si="8">_xlfn.RANK.EQ(C20,C$19:C$26,1)</f>
        <v>2</v>
      </c>
      <c r="E20" s="239" t="str">
        <f t="shared" ref="E20:E26" si="9">_xlfn.XLOOKUP(A20,$D$19:$D$26,B$19:B$26)</f>
        <v>C</v>
      </c>
      <c r="F20" s="263" t="s">
        <v>1198</v>
      </c>
      <c r="G20" s="260" t="str">
        <f t="shared" si="5"/>
        <v>G</v>
      </c>
      <c r="H20" s="235" t="str">
        <f t="shared" ref="H20:H26" si="10">VLOOKUP(G20,$B$3:$C$14,2,FALSE)</f>
        <v>Belgium</v>
      </c>
      <c r="I20" s="256"/>
    </row>
    <row r="21" spans="1:9" x14ac:dyDescent="0.25">
      <c r="A21" s="234">
        <v>3</v>
      </c>
      <c r="B21" s="237" t="str">
        <f t="shared" si="6"/>
        <v>G</v>
      </c>
      <c r="C21" s="237">
        <f t="shared" si="7"/>
        <v>7</v>
      </c>
      <c r="D21" s="237">
        <f t="shared" si="8"/>
        <v>4</v>
      </c>
      <c r="E21" s="239" t="str">
        <f t="shared" si="9"/>
        <v>F</v>
      </c>
      <c r="F21" s="263" t="s">
        <v>1199</v>
      </c>
      <c r="G21" s="260" t="str">
        <f t="shared" si="5"/>
        <v>B</v>
      </c>
      <c r="H21" s="235" t="str">
        <f t="shared" si="10"/>
        <v>Qatar</v>
      </c>
      <c r="I21" s="256"/>
    </row>
    <row r="22" spans="1:9" x14ac:dyDescent="0.25">
      <c r="A22" s="234">
        <v>4</v>
      </c>
      <c r="B22" s="237" t="str">
        <f t="shared" si="6"/>
        <v>B</v>
      </c>
      <c r="C22" s="237">
        <f t="shared" si="7"/>
        <v>2</v>
      </c>
      <c r="D22" s="237">
        <f t="shared" si="8"/>
        <v>1</v>
      </c>
      <c r="E22" s="239" t="str">
        <f t="shared" si="9"/>
        <v>G</v>
      </c>
      <c r="F22" s="263" t="s">
        <v>1200</v>
      </c>
      <c r="G22" s="260" t="str">
        <f t="shared" si="5"/>
        <v>C</v>
      </c>
      <c r="H22" s="235" t="str">
        <f t="shared" si="10"/>
        <v>Brazil</v>
      </c>
      <c r="I22" s="256"/>
    </row>
    <row r="23" spans="1:9" x14ac:dyDescent="0.25">
      <c r="A23" s="234">
        <v>5</v>
      </c>
      <c r="B23" s="237" t="str">
        <f t="shared" si="6"/>
        <v>H</v>
      </c>
      <c r="C23" s="237">
        <f t="shared" si="7"/>
        <v>8</v>
      </c>
      <c r="D23" s="237">
        <f t="shared" si="8"/>
        <v>5</v>
      </c>
      <c r="E23" s="239" t="str">
        <f t="shared" si="9"/>
        <v>H</v>
      </c>
      <c r="F23" s="263" t="s">
        <v>1201</v>
      </c>
      <c r="G23" s="260" t="str">
        <f t="shared" si="5"/>
        <v>J</v>
      </c>
      <c r="H23" s="235" t="str">
        <f t="shared" si="10"/>
        <v>Algeria</v>
      </c>
      <c r="I23" s="256"/>
    </row>
    <row r="24" spans="1:9" x14ac:dyDescent="0.25">
      <c r="A24" s="234">
        <v>6</v>
      </c>
      <c r="B24" s="237" t="str">
        <f t="shared" si="6"/>
        <v>J</v>
      </c>
      <c r="C24" s="237">
        <f t="shared" si="7"/>
        <v>10</v>
      </c>
      <c r="D24" s="237">
        <f t="shared" si="8"/>
        <v>7</v>
      </c>
      <c r="E24" s="239" t="str">
        <f t="shared" si="9"/>
        <v>I</v>
      </c>
      <c r="F24" s="263" t="s">
        <v>1202</v>
      </c>
      <c r="G24" s="260" t="str">
        <f t="shared" si="5"/>
        <v>F</v>
      </c>
      <c r="H24" s="235" t="str">
        <f t="shared" si="10"/>
        <v>Netherlands</v>
      </c>
      <c r="I24" s="256"/>
    </row>
    <row r="25" spans="1:9" x14ac:dyDescent="0.25">
      <c r="A25" s="234">
        <v>7</v>
      </c>
      <c r="B25" s="237" t="str">
        <f t="shared" si="6"/>
        <v>I</v>
      </c>
      <c r="C25" s="237">
        <f t="shared" si="7"/>
        <v>9</v>
      </c>
      <c r="D25" s="237">
        <f t="shared" si="8"/>
        <v>6</v>
      </c>
      <c r="E25" s="239" t="str">
        <f t="shared" si="9"/>
        <v>J</v>
      </c>
      <c r="F25" s="263" t="s">
        <v>1203</v>
      </c>
      <c r="G25" s="260" t="str">
        <f t="shared" si="5"/>
        <v>L</v>
      </c>
      <c r="H25" s="235" t="str">
        <f t="shared" si="10"/>
        <v>Panama</v>
      </c>
      <c r="I25" s="256"/>
    </row>
    <row r="26" spans="1:9" x14ac:dyDescent="0.25">
      <c r="A26" s="248">
        <v>8</v>
      </c>
      <c r="B26" s="250" t="str">
        <f t="shared" si="6"/>
        <v>L</v>
      </c>
      <c r="C26" s="250">
        <f t="shared" si="7"/>
        <v>12</v>
      </c>
      <c r="D26" s="250">
        <f t="shared" si="8"/>
        <v>8</v>
      </c>
      <c r="E26" s="249" t="str">
        <f t="shared" si="9"/>
        <v>L</v>
      </c>
      <c r="F26" s="264" t="s">
        <v>1214</v>
      </c>
      <c r="G26" s="261" t="str">
        <f t="shared" si="5"/>
        <v>I</v>
      </c>
      <c r="H26" s="257" t="str">
        <f t="shared" si="10"/>
        <v>Norway</v>
      </c>
      <c r="I26" s="258"/>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4EF0F-D6E2-4AF5-A2BB-A7A7B595D507}">
  <sheetPr>
    <tabColor rgb="FF00B050"/>
  </sheetPr>
  <dimension ref="A1:B9"/>
  <sheetViews>
    <sheetView showGridLines="0" showRowColHeaders="0" workbookViewId="0"/>
  </sheetViews>
  <sheetFormatPr defaultRowHeight="30" customHeight="1" x14ac:dyDescent="0.25"/>
  <cols>
    <col min="1" max="1" width="25.7109375" style="575" customWidth="1"/>
    <col min="2" max="2" width="100.7109375" style="575" customWidth="1"/>
    <col min="3" max="16384" width="9.140625" style="575"/>
  </cols>
  <sheetData>
    <row r="1" spans="1:2" s="579" customFormat="1" ht="30" customHeight="1" x14ac:dyDescent="0.25">
      <c r="A1" s="581" t="s">
        <v>1358</v>
      </c>
      <c r="B1" s="582" t="s">
        <v>1361</v>
      </c>
    </row>
    <row r="2" spans="1:2" ht="30" customHeight="1" x14ac:dyDescent="0.25">
      <c r="A2" s="583" t="s">
        <v>270</v>
      </c>
      <c r="B2" s="584" t="s">
        <v>1357</v>
      </c>
    </row>
    <row r="3" spans="1:2" ht="30" customHeight="1" x14ac:dyDescent="0.25">
      <c r="A3" s="583" t="s">
        <v>1360</v>
      </c>
      <c r="B3" s="584" t="s">
        <v>1371</v>
      </c>
    </row>
    <row r="4" spans="1:2" ht="30" customHeight="1" x14ac:dyDescent="0.25">
      <c r="A4" s="583" t="s">
        <v>1359</v>
      </c>
      <c r="B4" s="584" t="s">
        <v>1362</v>
      </c>
    </row>
    <row r="5" spans="1:2" ht="30" customHeight="1" x14ac:dyDescent="0.25">
      <c r="A5" s="583" t="s">
        <v>1363</v>
      </c>
      <c r="B5" s="584" t="s">
        <v>1364</v>
      </c>
    </row>
    <row r="6" spans="1:2" ht="30" customHeight="1" x14ac:dyDescent="0.25">
      <c r="A6" s="583" t="s">
        <v>1363</v>
      </c>
      <c r="B6" s="584" t="s">
        <v>1366</v>
      </c>
    </row>
    <row r="7" spans="1:2" ht="30" customHeight="1" x14ac:dyDescent="0.25">
      <c r="A7" s="583" t="s">
        <v>1368</v>
      </c>
      <c r="B7" s="584" t="s">
        <v>1365</v>
      </c>
    </row>
    <row r="8" spans="1:2" ht="30" customHeight="1" x14ac:dyDescent="0.25">
      <c r="A8" s="583" t="s">
        <v>391</v>
      </c>
      <c r="B8" s="584" t="s">
        <v>1367</v>
      </c>
    </row>
    <row r="9" spans="1:2" ht="30" customHeight="1" x14ac:dyDescent="0.25">
      <c r="A9" s="585" t="s">
        <v>1369</v>
      </c>
      <c r="B9" s="586" t="s">
        <v>1370</v>
      </c>
    </row>
  </sheetData>
  <sheetProtection sheet="1" objects="1" scenarios="1"/>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sheetPr>
  <dimension ref="A1:AH207"/>
  <sheetViews>
    <sheetView showGridLines="0" showRowColHeaders="0" tabSelected="1" zoomScaleNormal="100" workbookViewId="0">
      <pane ySplit="6" topLeftCell="A7" activePane="bottomLeft" state="frozen"/>
      <selection pane="bottomLeft"/>
    </sheetView>
  </sheetViews>
  <sheetFormatPr defaultRowHeight="12.75" x14ac:dyDescent="0.2"/>
  <cols>
    <col min="1" max="1" width="3.7109375" style="422" customWidth="1"/>
    <col min="2" max="2" width="12.7109375" style="97" customWidth="1"/>
    <col min="3" max="3" width="7.7109375" style="97" customWidth="1"/>
    <col min="4" max="4" width="9.28515625" style="321" customWidth="1"/>
    <col min="5" max="5" width="22.7109375" style="97" customWidth="1"/>
    <col min="6" max="6" width="3.7109375" style="97" customWidth="1"/>
    <col min="7" max="7" width="2.140625" style="97" customWidth="1"/>
    <col min="8" max="8" width="3.7109375" style="97" customWidth="1"/>
    <col min="9" max="9" width="22.7109375" style="97" customWidth="1"/>
    <col min="10" max="10" width="30.7109375" style="97" customWidth="1"/>
    <col min="11" max="11" width="5" style="97" hidden="1" customWidth="1"/>
    <col min="12" max="13" width="22.7109375" style="136" hidden="1" customWidth="1"/>
    <col min="14" max="16" width="10.7109375" style="97" customWidth="1"/>
    <col min="17" max="17" width="1.7109375" style="97" customWidth="1"/>
    <col min="18" max="18" width="6.28515625" style="97" customWidth="1"/>
    <col min="19" max="19" width="22.7109375" style="97" customWidth="1"/>
    <col min="20" max="25" width="3.7109375" style="98" customWidth="1"/>
    <col min="26" max="26" width="4.7109375" style="98" customWidth="1"/>
    <col min="27" max="27" width="4.7109375" style="311" customWidth="1"/>
    <col min="28" max="28" width="2.7109375" style="97" customWidth="1"/>
    <col min="29" max="29" width="22.7109375" style="97" customWidth="1"/>
    <col min="30" max="34" width="5.7109375" style="97" customWidth="1"/>
    <col min="35" max="65" width="9.140625" style="97" customWidth="1"/>
    <col min="66" max="66" width="12.5703125" style="97" customWidth="1"/>
    <col min="67" max="67" width="21.5703125" style="97" customWidth="1"/>
    <col min="68" max="71" width="9.140625" style="97" customWidth="1"/>
    <col min="72" max="16384" width="9.140625" style="97"/>
  </cols>
  <sheetData>
    <row r="1" spans="1:34" ht="14.25" customHeight="1" x14ac:dyDescent="0.2">
      <c r="A1" s="578"/>
    </row>
    <row r="2" spans="1:34" s="308" customFormat="1" ht="57.4" customHeight="1" x14ac:dyDescent="0.25">
      <c r="A2" s="439"/>
      <c r="B2" s="440"/>
      <c r="C2" s="673" t="str">
        <f>League</f>
        <v>2026 FIFA World Cup Americas</v>
      </c>
      <c r="D2" s="674"/>
      <c r="E2" s="674"/>
      <c r="F2" s="674"/>
      <c r="G2" s="674"/>
      <c r="H2" s="674"/>
      <c r="I2" s="674"/>
      <c r="J2" s="674"/>
      <c r="K2" s="674"/>
      <c r="L2" s="674"/>
      <c r="M2" s="674"/>
      <c r="N2" s="674"/>
      <c r="O2" s="674"/>
      <c r="P2" s="674"/>
      <c r="Q2" s="674"/>
      <c r="R2" s="674"/>
      <c r="S2" s="674"/>
      <c r="T2" s="674"/>
      <c r="U2" s="674"/>
      <c r="V2" s="674"/>
      <c r="W2" s="674"/>
      <c r="X2" s="674"/>
      <c r="Y2" s="674"/>
      <c r="Z2" s="674"/>
      <c r="AA2" s="674"/>
      <c r="AB2" s="674"/>
      <c r="AC2" s="674"/>
      <c r="AD2" s="674"/>
      <c r="AE2" s="674"/>
      <c r="AF2" s="441"/>
      <c r="AG2" s="441"/>
      <c r="AH2" s="442"/>
    </row>
    <row r="3" spans="1:34" ht="15" hidden="1" customHeight="1" x14ac:dyDescent="0.2"/>
    <row r="4" spans="1:34" ht="14.25" customHeight="1" x14ac:dyDescent="0.2"/>
    <row r="5" spans="1:34" ht="15" customHeight="1" x14ac:dyDescent="0.25">
      <c r="A5" s="443"/>
      <c r="B5" s="312"/>
      <c r="C5" s="312"/>
      <c r="D5" s="313"/>
      <c r="E5" s="666" t="s">
        <v>1215</v>
      </c>
      <c r="F5" s="666"/>
      <c r="G5" s="666"/>
      <c r="H5" s="666"/>
      <c r="I5" s="666"/>
      <c r="J5" s="312"/>
      <c r="K5" s="670" t="s">
        <v>533</v>
      </c>
      <c r="L5" s="671"/>
      <c r="M5" s="672"/>
      <c r="N5" s="667" t="s">
        <v>386</v>
      </c>
      <c r="O5" s="667"/>
      <c r="P5" s="667"/>
      <c r="R5" s="681" t="s">
        <v>534</v>
      </c>
      <c r="S5" s="682"/>
      <c r="T5" s="682"/>
      <c r="U5" s="682"/>
      <c r="V5" s="682"/>
      <c r="W5" s="682"/>
      <c r="X5" s="682"/>
      <c r="Y5" s="682"/>
      <c r="Z5" s="682"/>
      <c r="AA5" s="683"/>
      <c r="AC5" s="675" t="s">
        <v>668</v>
      </c>
      <c r="AD5" s="676"/>
      <c r="AE5" s="676"/>
      <c r="AF5" s="676"/>
      <c r="AG5" s="676"/>
      <c r="AH5" s="677"/>
    </row>
    <row r="6" spans="1:34" ht="15" customHeight="1" x14ac:dyDescent="0.25">
      <c r="A6" s="443" t="s">
        <v>1205</v>
      </c>
      <c r="B6" s="315" t="s">
        <v>111</v>
      </c>
      <c r="C6" s="315" t="s">
        <v>319</v>
      </c>
      <c r="D6" s="316" t="s">
        <v>320</v>
      </c>
      <c r="E6" s="317"/>
      <c r="F6" s="668" t="s">
        <v>337</v>
      </c>
      <c r="G6" s="669"/>
      <c r="H6" s="669"/>
      <c r="I6" s="317"/>
      <c r="J6" s="318" t="s">
        <v>321</v>
      </c>
      <c r="K6" s="319" t="s">
        <v>322</v>
      </c>
      <c r="L6" s="319" t="s">
        <v>323</v>
      </c>
      <c r="M6" s="319" t="s">
        <v>324</v>
      </c>
      <c r="N6" s="314" t="s">
        <v>1</v>
      </c>
      <c r="O6" s="314" t="s">
        <v>25</v>
      </c>
      <c r="P6" s="314" t="s">
        <v>0</v>
      </c>
      <c r="R6" s="684"/>
      <c r="S6" s="685"/>
      <c r="T6" s="685"/>
      <c r="U6" s="685"/>
      <c r="V6" s="685"/>
      <c r="W6" s="685"/>
      <c r="X6" s="685"/>
      <c r="Y6" s="685"/>
      <c r="Z6" s="685"/>
      <c r="AA6" s="686"/>
      <c r="AC6" s="678"/>
      <c r="AD6" s="679"/>
      <c r="AE6" s="679"/>
      <c r="AF6" s="679"/>
      <c r="AG6" s="679"/>
      <c r="AH6" s="680"/>
    </row>
    <row r="7" spans="1:34" ht="14.25" customHeight="1" x14ac:dyDescent="0.2">
      <c r="A7" s="444"/>
      <c r="B7" s="320"/>
      <c r="K7" s="322"/>
      <c r="L7" s="323"/>
      <c r="M7" s="324"/>
      <c r="AD7" s="98"/>
      <c r="AE7" s="98"/>
      <c r="AF7" s="98"/>
      <c r="AG7" s="98"/>
      <c r="AH7" s="98"/>
    </row>
    <row r="8" spans="1:34" ht="14.25" customHeight="1" x14ac:dyDescent="0.2">
      <c r="A8" s="444" t="s">
        <v>543</v>
      </c>
      <c r="B8" s="325">
        <v>46184.833333333336</v>
      </c>
      <c r="C8" s="326">
        <v>0.83333333333333337</v>
      </c>
      <c r="D8" s="327" t="str">
        <f>LEFT(A8)</f>
        <v>A</v>
      </c>
      <c r="E8" s="100" t="str">
        <f t="shared" ref="E8:E39" si="0">VLOOKUP(LEFT(A8,2),Lookup08,2)</f>
        <v>Mexico</v>
      </c>
      <c r="F8" s="138">
        <v>2</v>
      </c>
      <c r="G8" s="328" t="s">
        <v>536</v>
      </c>
      <c r="H8" s="137">
        <v>0</v>
      </c>
      <c r="I8" s="101" t="str">
        <f t="shared" ref="I8:I39" si="1">VLOOKUP(RIGHT(A8,2),Lookup08,2)</f>
        <v>South Africa</v>
      </c>
      <c r="J8" s="101" t="str">
        <f>Stadium3</f>
        <v>Mexico City Stadium</v>
      </c>
      <c r="K8" s="329" t="str">
        <f>D8</f>
        <v>A</v>
      </c>
      <c r="L8" s="323" t="str">
        <f>IF(F8&lt;&gt;"",IF(F8&gt;H8,E8,IF(H8&gt;F8,I8,"D"&amp;E8)),"")</f>
        <v>Mexico</v>
      </c>
      <c r="M8" s="324" t="str">
        <f>IF(F8&lt;&gt;"",IF(F8&lt;H8,E8,IF(H8&lt;F8,I8,"D"&amp;I8)),"")</f>
        <v>South Africa</v>
      </c>
      <c r="N8" s="330">
        <f>Results!X3</f>
        <v>0.77452585125000006</v>
      </c>
      <c r="O8" s="330">
        <f>Results!Y3</f>
        <v>0.12184829750000004</v>
      </c>
      <c r="P8" s="330">
        <f>Results!Z3</f>
        <v>0.10362585124999996</v>
      </c>
      <c r="R8" s="331"/>
      <c r="S8" s="332" t="s">
        <v>303</v>
      </c>
      <c r="T8" s="333"/>
      <c r="U8" s="333"/>
      <c r="V8" s="333"/>
      <c r="W8" s="333"/>
      <c r="X8" s="333"/>
      <c r="Y8" s="333"/>
      <c r="Z8" s="334"/>
      <c r="AA8" s="335"/>
      <c r="AC8" s="336" t="str">
        <f>S8</f>
        <v>Group A</v>
      </c>
      <c r="AD8" s="337"/>
      <c r="AE8" s="337"/>
      <c r="AF8" s="337"/>
      <c r="AG8" s="337"/>
      <c r="AH8" s="338"/>
    </row>
    <row r="9" spans="1:34" ht="14.25" customHeight="1" x14ac:dyDescent="0.2">
      <c r="A9" s="444" t="s">
        <v>544</v>
      </c>
      <c r="B9" s="325">
        <v>46185.125</v>
      </c>
      <c r="C9" s="326">
        <v>0.125</v>
      </c>
      <c r="D9" s="327" t="str">
        <f t="shared" ref="D9:D55" si="2">LEFT(A9)</f>
        <v>A</v>
      </c>
      <c r="E9" s="100" t="str">
        <f t="shared" si="0"/>
        <v>Korea Republic</v>
      </c>
      <c r="F9" s="138">
        <v>2</v>
      </c>
      <c r="G9" s="328" t="s">
        <v>536</v>
      </c>
      <c r="H9" s="137">
        <v>1</v>
      </c>
      <c r="I9" s="101" t="str">
        <f t="shared" si="1"/>
        <v>Czechia</v>
      </c>
      <c r="J9" s="101" t="str">
        <f>Stadium4</f>
        <v>Estadio Guadalajara</v>
      </c>
      <c r="K9" s="329" t="str">
        <f t="shared" ref="K9:K55" si="3">D9</f>
        <v>A</v>
      </c>
      <c r="L9" s="323" t="str">
        <f t="shared" ref="L9:L72" si="4">IF(F9&lt;&gt;"",IF(F9&gt;H9,E9,IF(H9&gt;F9,I9,"D"&amp;E9)),"")</f>
        <v>Korea Republic</v>
      </c>
      <c r="M9" s="324" t="str">
        <f t="shared" ref="M9:M72" si="5">IF(F9&lt;&gt;"",IF(F9&lt;H9,E9,IF(H9&lt;F9,I9,"D"&amp;I9)),"")</f>
        <v>Czechia</v>
      </c>
      <c r="N9" s="330">
        <f>Results!X4</f>
        <v>0.512815625</v>
      </c>
      <c r="O9" s="330">
        <f>Results!Y4</f>
        <v>0.21936875</v>
      </c>
      <c r="P9" s="330">
        <f>Results!Z4</f>
        <v>0.267815625</v>
      </c>
      <c r="R9" s="339" t="s">
        <v>325</v>
      </c>
      <c r="S9" s="340" t="s">
        <v>310</v>
      </c>
      <c r="T9" s="341" t="s">
        <v>311</v>
      </c>
      <c r="U9" s="341" t="s">
        <v>305</v>
      </c>
      <c r="V9" s="341" t="s">
        <v>15</v>
      </c>
      <c r="W9" s="341" t="s">
        <v>306</v>
      </c>
      <c r="X9" s="341" t="s">
        <v>307</v>
      </c>
      <c r="Y9" s="341" t="s">
        <v>16</v>
      </c>
      <c r="Z9" s="342" t="s">
        <v>308</v>
      </c>
      <c r="AA9" s="343" t="s">
        <v>566</v>
      </c>
      <c r="AC9" s="344" t="s">
        <v>310</v>
      </c>
      <c r="AD9" s="345" t="str">
        <f>LEFT($AC10,3)</f>
        <v>Mex</v>
      </c>
      <c r="AE9" s="345" t="str">
        <f>LEFT($AC11,3)</f>
        <v>Kor</v>
      </c>
      <c r="AF9" s="345" t="str">
        <f>LEFT($AC12,3)</f>
        <v>Cze</v>
      </c>
      <c r="AG9" s="345" t="str">
        <f>LEFT($AC13,3)</f>
        <v>Sou</v>
      </c>
      <c r="AH9" s="346" t="s">
        <v>566</v>
      </c>
    </row>
    <row r="10" spans="1:34" ht="14.25" customHeight="1" x14ac:dyDescent="0.2">
      <c r="A10" s="444" t="s">
        <v>571</v>
      </c>
      <c r="B10" s="325">
        <v>46185.833333333336</v>
      </c>
      <c r="C10" s="326">
        <v>0.83333333333333337</v>
      </c>
      <c r="D10" s="327" t="str">
        <f t="shared" si="2"/>
        <v>B</v>
      </c>
      <c r="E10" s="100" t="str">
        <f t="shared" si="0"/>
        <v>Canada</v>
      </c>
      <c r="F10" s="138">
        <v>1</v>
      </c>
      <c r="G10" s="328" t="s">
        <v>536</v>
      </c>
      <c r="H10" s="137">
        <v>1</v>
      </c>
      <c r="I10" s="101" t="str">
        <f t="shared" si="1"/>
        <v>Bosnia-Herzegovina</v>
      </c>
      <c r="J10" s="101" t="str">
        <f>Stadium1</f>
        <v>Toronto Stadium</v>
      </c>
      <c r="K10" s="329" t="str">
        <f t="shared" si="3"/>
        <v>B</v>
      </c>
      <c r="L10" s="323" t="str">
        <f t="shared" si="4"/>
        <v>DCanada</v>
      </c>
      <c r="M10" s="324" t="str">
        <f t="shared" si="5"/>
        <v>DBosnia-Herzegovina</v>
      </c>
      <c r="N10" s="330">
        <f>Results!X5</f>
        <v>0.65436776419999998</v>
      </c>
      <c r="O10" s="330">
        <f>Results!Y5</f>
        <v>0.17570447160000002</v>
      </c>
      <c r="P10" s="330">
        <f>Results!Z5</f>
        <v>0.16992776420000003</v>
      </c>
      <c r="R10" s="347">
        <v>1</v>
      </c>
      <c r="S10" s="348" t="str">
        <f>GrpA!B$45</f>
        <v>Mexico</v>
      </c>
      <c r="T10" s="98">
        <f>GrpA!C$45</f>
        <v>1</v>
      </c>
      <c r="U10" s="98">
        <f>GrpA!D$45</f>
        <v>1</v>
      </c>
      <c r="V10" s="98">
        <f>GrpA!E$45</f>
        <v>0</v>
      </c>
      <c r="W10" s="98">
        <f>GrpA!F$45</f>
        <v>0</v>
      </c>
      <c r="X10" s="98">
        <f>GrpA!G$45</f>
        <v>2</v>
      </c>
      <c r="Y10" s="98">
        <f>GrpA!H$45</f>
        <v>0</v>
      </c>
      <c r="Z10" s="349">
        <f>GrpA!I$45</f>
        <v>2</v>
      </c>
      <c r="AA10" s="350">
        <f>GrpA!J$45</f>
        <v>3</v>
      </c>
      <c r="AC10" s="351" t="str">
        <f>GrpA!K$45</f>
        <v>Mexico</v>
      </c>
      <c r="AD10" s="352"/>
      <c r="AE10" s="353" t="str">
        <f>GrpA!M$45</f>
        <v>-</v>
      </c>
      <c r="AF10" s="353" t="str">
        <f>GrpA!N$45</f>
        <v>-</v>
      </c>
      <c r="AG10" s="353" t="str">
        <f>GrpA!O$45</f>
        <v>2-0</v>
      </c>
      <c r="AH10" s="354">
        <f>AA10</f>
        <v>3</v>
      </c>
    </row>
    <row r="11" spans="1:34" ht="14.25" customHeight="1" x14ac:dyDescent="0.2">
      <c r="A11" s="444" t="s">
        <v>545</v>
      </c>
      <c r="B11" s="325">
        <v>46186.083333333336</v>
      </c>
      <c r="C11" s="326">
        <v>8.3333333333333329E-2</v>
      </c>
      <c r="D11" s="327" t="str">
        <f t="shared" si="2"/>
        <v>D</v>
      </c>
      <c r="E11" s="100" t="str">
        <f t="shared" si="0"/>
        <v>USA</v>
      </c>
      <c r="F11" s="138">
        <v>4</v>
      </c>
      <c r="G11" s="328" t="s">
        <v>536</v>
      </c>
      <c r="H11" s="137">
        <v>1</v>
      </c>
      <c r="I11" s="101" t="str">
        <f t="shared" si="1"/>
        <v>Paraguay</v>
      </c>
      <c r="J11" s="101" t="str">
        <f>Stadium11</f>
        <v>Los Angeles Stadium</v>
      </c>
      <c r="K11" s="329" t="str">
        <f t="shared" si="3"/>
        <v>D</v>
      </c>
      <c r="L11" s="323" t="str">
        <f t="shared" si="4"/>
        <v>USA</v>
      </c>
      <c r="M11" s="324" t="str">
        <f t="shared" si="5"/>
        <v>Paraguay</v>
      </c>
      <c r="N11" s="330">
        <f>Results!X6</f>
        <v>0.57312500000000011</v>
      </c>
      <c r="O11" s="330">
        <f>Results!Y6</f>
        <v>0.20374999999999999</v>
      </c>
      <c r="P11" s="330">
        <f>Results!Z6</f>
        <v>0.22312499999999991</v>
      </c>
      <c r="R11" s="347">
        <v>2</v>
      </c>
      <c r="S11" s="348" t="str">
        <f>GrpA!B$46</f>
        <v>Korea Republic</v>
      </c>
      <c r="T11" s="98">
        <f>GrpA!C$46</f>
        <v>1</v>
      </c>
      <c r="U11" s="98">
        <f>GrpA!D$46</f>
        <v>1</v>
      </c>
      <c r="V11" s="98">
        <f>GrpA!E$46</f>
        <v>0</v>
      </c>
      <c r="W11" s="98">
        <f>GrpA!F$46</f>
        <v>0</v>
      </c>
      <c r="X11" s="98">
        <f>GrpA!G$46</f>
        <v>2</v>
      </c>
      <c r="Y11" s="98">
        <f>GrpA!H$46</f>
        <v>1</v>
      </c>
      <c r="Z11" s="349">
        <f>GrpA!I$46</f>
        <v>1</v>
      </c>
      <c r="AA11" s="350">
        <f>GrpA!J$46</f>
        <v>3</v>
      </c>
      <c r="AC11" s="351" t="str">
        <f>GrpA!K$46</f>
        <v>Korea Republic</v>
      </c>
      <c r="AD11" s="353" t="str">
        <f>GrpA!L$46</f>
        <v>-</v>
      </c>
      <c r="AE11" s="352"/>
      <c r="AF11" s="353" t="str">
        <f>GrpA!N$46</f>
        <v>2-1</v>
      </c>
      <c r="AG11" s="353" t="str">
        <f>GrpA!O$46</f>
        <v>-</v>
      </c>
      <c r="AH11" s="354">
        <f>AA11</f>
        <v>3</v>
      </c>
    </row>
    <row r="12" spans="1:34" ht="14.25" customHeight="1" x14ac:dyDescent="0.2">
      <c r="A12" s="444" t="s">
        <v>546</v>
      </c>
      <c r="B12" s="325">
        <v>46186.833333333336</v>
      </c>
      <c r="C12" s="326">
        <v>0.83333333333333337</v>
      </c>
      <c r="D12" s="327" t="str">
        <f t="shared" si="2"/>
        <v>B</v>
      </c>
      <c r="E12" s="100" t="str">
        <f t="shared" si="0"/>
        <v>Qatar</v>
      </c>
      <c r="F12" s="138">
        <v>1</v>
      </c>
      <c r="G12" s="328" t="s">
        <v>536</v>
      </c>
      <c r="H12" s="137">
        <v>1</v>
      </c>
      <c r="I12" s="101" t="str">
        <f t="shared" si="1"/>
        <v>Switzerland</v>
      </c>
      <c r="J12" s="101" t="str">
        <f>Stadium15</f>
        <v>San Franciso Bay Stadium</v>
      </c>
      <c r="K12" s="329" t="str">
        <f t="shared" si="3"/>
        <v>B</v>
      </c>
      <c r="L12" s="323" t="str">
        <f t="shared" si="4"/>
        <v>DQatar</v>
      </c>
      <c r="M12" s="324" t="str">
        <f t="shared" si="5"/>
        <v>DSwitzerland</v>
      </c>
      <c r="N12" s="330">
        <f>Results!X7</f>
        <v>0.15579171605</v>
      </c>
      <c r="O12" s="330">
        <f>Results!Y7</f>
        <v>0.1661965678999999</v>
      </c>
      <c r="P12" s="330">
        <f>Results!Z7</f>
        <v>0.6780117160500001</v>
      </c>
      <c r="R12" s="347">
        <v>3</v>
      </c>
      <c r="S12" s="348" t="str">
        <f>GrpA!B$47</f>
        <v>Czechia</v>
      </c>
      <c r="T12" s="98">
        <f>GrpA!C$47</f>
        <v>1</v>
      </c>
      <c r="U12" s="98">
        <f>GrpA!D$47</f>
        <v>0</v>
      </c>
      <c r="V12" s="98">
        <f>GrpA!E$47</f>
        <v>0</v>
      </c>
      <c r="W12" s="98">
        <f>GrpA!F$47</f>
        <v>1</v>
      </c>
      <c r="X12" s="98">
        <f>GrpA!G$47</f>
        <v>1</v>
      </c>
      <c r="Y12" s="98">
        <f>GrpA!H$47</f>
        <v>2</v>
      </c>
      <c r="Z12" s="349">
        <f>GrpA!I$47</f>
        <v>-1</v>
      </c>
      <c r="AA12" s="350">
        <f>GrpA!J$47</f>
        <v>0</v>
      </c>
      <c r="AC12" s="351" t="str">
        <f>GrpA!K$47</f>
        <v>Czechia</v>
      </c>
      <c r="AD12" s="353" t="str">
        <f>GrpA!L$47</f>
        <v>-</v>
      </c>
      <c r="AE12" s="353" t="str">
        <f>GrpA!M$47</f>
        <v>1-2</v>
      </c>
      <c r="AF12" s="352"/>
      <c r="AG12" s="353" t="str">
        <f>GrpA!O$47</f>
        <v>-</v>
      </c>
      <c r="AH12" s="354">
        <f>AA12</f>
        <v>0</v>
      </c>
    </row>
    <row r="13" spans="1:34" ht="14.25" customHeight="1" x14ac:dyDescent="0.2">
      <c r="A13" s="444" t="s">
        <v>547</v>
      </c>
      <c r="B13" s="325">
        <v>46186.958333333336</v>
      </c>
      <c r="C13" s="326">
        <v>0.95833333333333337</v>
      </c>
      <c r="D13" s="327" t="str">
        <f t="shared" si="2"/>
        <v>C</v>
      </c>
      <c r="E13" s="100" t="str">
        <f t="shared" si="0"/>
        <v>Brazil</v>
      </c>
      <c r="F13" s="138">
        <v>1</v>
      </c>
      <c r="G13" s="328" t="s">
        <v>536</v>
      </c>
      <c r="H13" s="137">
        <v>1</v>
      </c>
      <c r="I13" s="101" t="str">
        <f t="shared" si="1"/>
        <v>Morocco</v>
      </c>
      <c r="J13" s="101" t="str">
        <f>Stadium13</f>
        <v>MetLife Stadium</v>
      </c>
      <c r="K13" s="329" t="str">
        <f t="shared" si="3"/>
        <v>C</v>
      </c>
      <c r="L13" s="323" t="str">
        <f t="shared" si="4"/>
        <v>DBrazil</v>
      </c>
      <c r="M13" s="324" t="str">
        <f t="shared" si="5"/>
        <v>DMorocco</v>
      </c>
      <c r="N13" s="330">
        <f>Results!X8</f>
        <v>0.52287942245000008</v>
      </c>
      <c r="O13" s="330">
        <f>Results!Y8</f>
        <v>0.21710115510000005</v>
      </c>
      <c r="P13" s="330">
        <f>Results!Z8</f>
        <v>0.26001942244999993</v>
      </c>
      <c r="R13" s="347">
        <v>4</v>
      </c>
      <c r="S13" s="355" t="str">
        <f>GrpA!B$48</f>
        <v>South Africa</v>
      </c>
      <c r="T13" s="356">
        <f>GrpA!C$48</f>
        <v>1</v>
      </c>
      <c r="U13" s="356">
        <f>GrpA!D$48</f>
        <v>0</v>
      </c>
      <c r="V13" s="356">
        <f>GrpA!E$48</f>
        <v>0</v>
      </c>
      <c r="W13" s="356">
        <f>GrpA!F$48</f>
        <v>1</v>
      </c>
      <c r="X13" s="356">
        <f>GrpA!G$48</f>
        <v>0</v>
      </c>
      <c r="Y13" s="356">
        <f>GrpA!H$48</f>
        <v>2</v>
      </c>
      <c r="Z13" s="357">
        <f>GrpA!I$48</f>
        <v>-2</v>
      </c>
      <c r="AA13" s="358">
        <f>GrpA!J$48</f>
        <v>0</v>
      </c>
      <c r="AC13" s="359" t="str">
        <f>GrpA!K$48</f>
        <v>South Africa</v>
      </c>
      <c r="AD13" s="360" t="str">
        <f>GrpA!L$48</f>
        <v>0-2</v>
      </c>
      <c r="AE13" s="360" t="str">
        <f>GrpA!M$48</f>
        <v>-</v>
      </c>
      <c r="AF13" s="360" t="str">
        <f>GrpA!N$48</f>
        <v>-</v>
      </c>
      <c r="AG13" s="361"/>
      <c r="AH13" s="362">
        <f>AA13</f>
        <v>0</v>
      </c>
    </row>
    <row r="14" spans="1:34" ht="14.25" customHeight="1" x14ac:dyDescent="0.2">
      <c r="A14" s="444" t="s">
        <v>548</v>
      </c>
      <c r="B14" s="325">
        <v>46187</v>
      </c>
      <c r="C14" s="326">
        <v>8.3333333333333329E-2</v>
      </c>
      <c r="D14" s="327" t="str">
        <f t="shared" si="2"/>
        <v>C</v>
      </c>
      <c r="E14" s="100" t="str">
        <f t="shared" si="0"/>
        <v>Haiti</v>
      </c>
      <c r="F14" s="138">
        <v>0</v>
      </c>
      <c r="G14" s="328" t="s">
        <v>536</v>
      </c>
      <c r="H14" s="137">
        <v>1</v>
      </c>
      <c r="I14" s="101" t="str">
        <f t="shared" si="1"/>
        <v>Scotland</v>
      </c>
      <c r="J14" s="101" t="str">
        <f>Stadium7</f>
        <v>Boston Stadium</v>
      </c>
      <c r="K14" s="329" t="str">
        <f t="shared" si="3"/>
        <v>C</v>
      </c>
      <c r="L14" s="323" t="str">
        <f t="shared" si="4"/>
        <v>Scotland</v>
      </c>
      <c r="M14" s="324" t="str">
        <f t="shared" si="5"/>
        <v>Haiti</v>
      </c>
      <c r="N14" s="330">
        <f>Results!X9</f>
        <v>0.12571700000000002</v>
      </c>
      <c r="O14" s="330">
        <f>Results!Y9</f>
        <v>0.14256600000000003</v>
      </c>
      <c r="P14" s="330">
        <f>Results!Z9</f>
        <v>0.73171699999999995</v>
      </c>
      <c r="R14" s="97" t="s">
        <v>327</v>
      </c>
      <c r="Z14" s="349"/>
      <c r="AD14" s="98"/>
      <c r="AE14" s="98"/>
      <c r="AF14" s="98"/>
      <c r="AG14" s="98"/>
      <c r="AH14" s="98"/>
    </row>
    <row r="15" spans="1:34" ht="14.25" customHeight="1" x14ac:dyDescent="0.2">
      <c r="A15" s="444" t="s">
        <v>549</v>
      </c>
      <c r="B15" s="325">
        <v>46187</v>
      </c>
      <c r="C15" s="326">
        <v>0.20833333333333334</v>
      </c>
      <c r="D15" s="327" t="str">
        <f t="shared" si="2"/>
        <v>D</v>
      </c>
      <c r="E15" s="100" t="str">
        <f t="shared" si="0"/>
        <v>Australia</v>
      </c>
      <c r="F15" s="138">
        <v>2</v>
      </c>
      <c r="G15" s="328" t="s">
        <v>536</v>
      </c>
      <c r="H15" s="137">
        <v>0</v>
      </c>
      <c r="I15" s="101" t="str">
        <f t="shared" si="1"/>
        <v>Turkiye</v>
      </c>
      <c r="J15" s="101" t="str">
        <f>Stadium2</f>
        <v>BC Place Vancouver</v>
      </c>
      <c r="K15" s="329" t="str">
        <f t="shared" si="3"/>
        <v>D</v>
      </c>
      <c r="L15" s="323" t="str">
        <f t="shared" si="4"/>
        <v>Australia</v>
      </c>
      <c r="M15" s="324" t="str">
        <f t="shared" si="5"/>
        <v>Turkiye</v>
      </c>
      <c r="N15" s="330">
        <f>Results!X10</f>
        <v>0.30371562499999999</v>
      </c>
      <c r="O15" s="330">
        <f>Results!Y10</f>
        <v>0.22756874999999993</v>
      </c>
      <c r="P15" s="330">
        <f>Results!Z10</f>
        <v>0.46871562500000008</v>
      </c>
      <c r="R15" s="331"/>
      <c r="S15" s="332" t="s">
        <v>312</v>
      </c>
      <c r="T15" s="333"/>
      <c r="U15" s="333"/>
      <c r="V15" s="333"/>
      <c r="W15" s="333"/>
      <c r="X15" s="333"/>
      <c r="Y15" s="333"/>
      <c r="Z15" s="334"/>
      <c r="AA15" s="335"/>
      <c r="AC15" s="363" t="str">
        <f>S15</f>
        <v>Group B</v>
      </c>
      <c r="AD15" s="364"/>
      <c r="AE15" s="364"/>
      <c r="AF15" s="364"/>
      <c r="AG15" s="364"/>
      <c r="AH15" s="365"/>
    </row>
    <row r="16" spans="1:34" ht="14.25" customHeight="1" x14ac:dyDescent="0.2">
      <c r="A16" s="444" t="s">
        <v>550</v>
      </c>
      <c r="B16" s="325">
        <v>46187</v>
      </c>
      <c r="C16" s="326">
        <v>0.75</v>
      </c>
      <c r="D16" s="327" t="str">
        <f t="shared" si="2"/>
        <v>E</v>
      </c>
      <c r="E16" s="100" t="str">
        <f t="shared" si="0"/>
        <v>Germany</v>
      </c>
      <c r="F16" s="138">
        <v>7</v>
      </c>
      <c r="G16" s="328" t="s">
        <v>536</v>
      </c>
      <c r="H16" s="137">
        <v>1</v>
      </c>
      <c r="I16" s="101" t="str">
        <f t="shared" si="1"/>
        <v>Curaçao</v>
      </c>
      <c r="J16" s="101" t="str">
        <f>Stadium9</f>
        <v>Houston Stadium</v>
      </c>
      <c r="K16" s="329" t="str">
        <f t="shared" si="3"/>
        <v>E</v>
      </c>
      <c r="L16" s="323" t="str">
        <f t="shared" si="4"/>
        <v>Germany</v>
      </c>
      <c r="M16" s="324" t="str">
        <f t="shared" si="5"/>
        <v>Curaçao</v>
      </c>
      <c r="N16" s="330">
        <f>Results!X11</f>
        <v>0.94393105205000005</v>
      </c>
      <c r="O16" s="330">
        <f>Results!Y11</f>
        <v>2.5717895899999954E-2</v>
      </c>
      <c r="P16" s="330">
        <f>Results!Z11</f>
        <v>3.0351052049999966E-2</v>
      </c>
      <c r="R16" s="339" t="s">
        <v>325</v>
      </c>
      <c r="S16" s="340" t="s">
        <v>310</v>
      </c>
      <c r="T16" s="341" t="s">
        <v>311</v>
      </c>
      <c r="U16" s="341" t="s">
        <v>305</v>
      </c>
      <c r="V16" s="341" t="s">
        <v>15</v>
      </c>
      <c r="W16" s="341" t="s">
        <v>306</v>
      </c>
      <c r="X16" s="341" t="s">
        <v>307</v>
      </c>
      <c r="Y16" s="341" t="s">
        <v>16</v>
      </c>
      <c r="Z16" s="342" t="s">
        <v>308</v>
      </c>
      <c r="AA16" s="343" t="s">
        <v>566</v>
      </c>
      <c r="AC16" s="344" t="s">
        <v>310</v>
      </c>
      <c r="AD16" s="345" t="str">
        <f>LEFT($AC17,3)</f>
        <v>Swi</v>
      </c>
      <c r="AE16" s="345" t="str">
        <f>LEFT($AC18,3)</f>
        <v>Can</v>
      </c>
      <c r="AF16" s="345" t="str">
        <f>LEFT($AC19,3)</f>
        <v>Qat</v>
      </c>
      <c r="AG16" s="345" t="str">
        <f>LEFT($AC20,3)</f>
        <v>Bos</v>
      </c>
      <c r="AH16" s="346" t="s">
        <v>566</v>
      </c>
    </row>
    <row r="17" spans="1:34" ht="14.25" customHeight="1" x14ac:dyDescent="0.2">
      <c r="A17" s="444" t="s">
        <v>551</v>
      </c>
      <c r="B17" s="325">
        <v>46187</v>
      </c>
      <c r="C17" s="326">
        <v>0.875</v>
      </c>
      <c r="D17" s="327" t="str">
        <f t="shared" si="2"/>
        <v>F</v>
      </c>
      <c r="E17" s="100" t="str">
        <f t="shared" si="0"/>
        <v>Netherlands</v>
      </c>
      <c r="F17" s="138">
        <v>2</v>
      </c>
      <c r="G17" s="328" t="s">
        <v>536</v>
      </c>
      <c r="H17" s="137">
        <v>2</v>
      </c>
      <c r="I17" s="101" t="str">
        <f t="shared" si="1"/>
        <v>Japan</v>
      </c>
      <c r="J17" s="101" t="str">
        <f>Stadium8</f>
        <v>Dallas Stadium</v>
      </c>
      <c r="K17" s="329" t="str">
        <f t="shared" si="3"/>
        <v>F</v>
      </c>
      <c r="L17" s="323" t="str">
        <f t="shared" si="4"/>
        <v>DNetherlands</v>
      </c>
      <c r="M17" s="324" t="str">
        <f t="shared" si="5"/>
        <v>DJapan</v>
      </c>
      <c r="N17" s="330">
        <f>Results!X12</f>
        <v>0.51421953124999997</v>
      </c>
      <c r="O17" s="330">
        <f>Results!Y12</f>
        <v>0.2190609375</v>
      </c>
      <c r="P17" s="330">
        <f>Results!Z12</f>
        <v>0.26671953125000003</v>
      </c>
      <c r="R17" s="347">
        <v>1</v>
      </c>
      <c r="S17" s="348" t="str">
        <f>GrpB!B$45</f>
        <v>Switzerland</v>
      </c>
      <c r="T17" s="98">
        <f>GrpB!C$45</f>
        <v>1</v>
      </c>
      <c r="U17" s="98">
        <f>GrpB!D$45</f>
        <v>0</v>
      </c>
      <c r="V17" s="98">
        <f>GrpB!E$45</f>
        <v>1</v>
      </c>
      <c r="W17" s="98">
        <f>GrpB!F$45</f>
        <v>0</v>
      </c>
      <c r="X17" s="98">
        <f>GrpB!G$45</f>
        <v>1</v>
      </c>
      <c r="Y17" s="98">
        <f>GrpB!H$45</f>
        <v>1</v>
      </c>
      <c r="Z17" s="349">
        <f>GrpB!I$45</f>
        <v>0</v>
      </c>
      <c r="AA17" s="350">
        <f>GrpB!J$45</f>
        <v>1</v>
      </c>
      <c r="AC17" s="351" t="str">
        <f>GrpB!K$45</f>
        <v>Switzerland</v>
      </c>
      <c r="AD17" s="352"/>
      <c r="AE17" s="353" t="str">
        <f>GrpB!M$45</f>
        <v>-</v>
      </c>
      <c r="AF17" s="353" t="str">
        <f>GrpB!N$45</f>
        <v>1-1</v>
      </c>
      <c r="AG17" s="353" t="str">
        <f>GrpB!O$45</f>
        <v>-</v>
      </c>
      <c r="AH17" s="354">
        <f>AA17</f>
        <v>1</v>
      </c>
    </row>
    <row r="18" spans="1:34" ht="14.25" customHeight="1" x14ac:dyDescent="0.2">
      <c r="A18" s="444" t="s">
        <v>552</v>
      </c>
      <c r="B18" s="325">
        <v>46188</v>
      </c>
      <c r="C18" s="326">
        <v>0</v>
      </c>
      <c r="D18" s="327" t="str">
        <f t="shared" si="2"/>
        <v>E</v>
      </c>
      <c r="E18" s="100" t="str">
        <f t="shared" si="0"/>
        <v>Cote d'Ivorie</v>
      </c>
      <c r="F18" s="138">
        <v>1</v>
      </c>
      <c r="G18" s="328" t="s">
        <v>536</v>
      </c>
      <c r="H18" s="137">
        <v>0</v>
      </c>
      <c r="I18" s="101" t="str">
        <f t="shared" si="1"/>
        <v>Ecuador</v>
      </c>
      <c r="J18" s="101" t="str">
        <f>Stadium14</f>
        <v>Philadelphia Stadium</v>
      </c>
      <c r="K18" s="329" t="str">
        <f t="shared" si="3"/>
        <v>E</v>
      </c>
      <c r="L18" s="323" t="str">
        <f t="shared" si="4"/>
        <v>Cote d'Ivorie</v>
      </c>
      <c r="M18" s="324" t="str">
        <f t="shared" si="5"/>
        <v>Ecuador</v>
      </c>
      <c r="N18" s="330">
        <f>Results!X13</f>
        <v>0.21187578125000001</v>
      </c>
      <c r="O18" s="330">
        <f>Results!Y13</f>
        <v>0.1987484375000001</v>
      </c>
      <c r="P18" s="330">
        <f>Results!Z13</f>
        <v>0.5893757812499999</v>
      </c>
      <c r="R18" s="347">
        <v>2</v>
      </c>
      <c r="S18" s="348" t="str">
        <f>GrpB!B$46</f>
        <v>Canada</v>
      </c>
      <c r="T18" s="98">
        <f>GrpB!C$46</f>
        <v>1</v>
      </c>
      <c r="U18" s="98">
        <f>GrpB!D$46</f>
        <v>0</v>
      </c>
      <c r="V18" s="98">
        <f>GrpB!E$46</f>
        <v>1</v>
      </c>
      <c r="W18" s="98">
        <f>GrpB!F$46</f>
        <v>0</v>
      </c>
      <c r="X18" s="98">
        <f>GrpB!G$46</f>
        <v>1</v>
      </c>
      <c r="Y18" s="98">
        <f>GrpB!H$46</f>
        <v>1</v>
      </c>
      <c r="Z18" s="349">
        <f>GrpB!I$46</f>
        <v>0</v>
      </c>
      <c r="AA18" s="350">
        <f>GrpB!J$46</f>
        <v>1</v>
      </c>
      <c r="AC18" s="351" t="str">
        <f>GrpB!K$46</f>
        <v>Canada</v>
      </c>
      <c r="AD18" s="353" t="str">
        <f>GrpB!L$46</f>
        <v>-</v>
      </c>
      <c r="AE18" s="352"/>
      <c r="AF18" s="353" t="str">
        <f>GrpB!N$46</f>
        <v>-</v>
      </c>
      <c r="AG18" s="353" t="str">
        <f>GrpB!O$46</f>
        <v>1-1</v>
      </c>
      <c r="AH18" s="354">
        <f>AA18</f>
        <v>1</v>
      </c>
    </row>
    <row r="19" spans="1:34" ht="14.25" customHeight="1" x14ac:dyDescent="0.2">
      <c r="A19" s="444" t="s">
        <v>553</v>
      </c>
      <c r="B19" s="325">
        <v>46188</v>
      </c>
      <c r="C19" s="326">
        <v>0.125</v>
      </c>
      <c r="D19" s="327" t="str">
        <f t="shared" si="2"/>
        <v>F</v>
      </c>
      <c r="E19" s="100" t="str">
        <f t="shared" si="0"/>
        <v>Sweden</v>
      </c>
      <c r="F19" s="138">
        <v>5</v>
      </c>
      <c r="G19" s="328" t="s">
        <v>536</v>
      </c>
      <c r="H19" s="137">
        <v>1</v>
      </c>
      <c r="I19" s="101" t="str">
        <f t="shared" si="1"/>
        <v>Tunisia</v>
      </c>
      <c r="J19" s="101" t="str">
        <f>Stadium5</f>
        <v>Estadio Monterrey</v>
      </c>
      <c r="K19" s="329" t="str">
        <f t="shared" si="3"/>
        <v>F</v>
      </c>
      <c r="L19" s="323" t="str">
        <f t="shared" si="4"/>
        <v>Sweden</v>
      </c>
      <c r="M19" s="324" t="str">
        <f t="shared" si="5"/>
        <v>Tunisia</v>
      </c>
      <c r="N19" s="330">
        <f>Results!X14</f>
        <v>0.46601249999999994</v>
      </c>
      <c r="O19" s="330">
        <f>Results!Y14</f>
        <v>0.22797500000000004</v>
      </c>
      <c r="P19" s="330">
        <f>Results!Z14</f>
        <v>0.30601250000000002</v>
      </c>
      <c r="R19" s="347">
        <v>3</v>
      </c>
      <c r="S19" s="348" t="str">
        <f>GrpB!B$47</f>
        <v>Qatar</v>
      </c>
      <c r="T19" s="98">
        <f>GrpB!C$47</f>
        <v>1</v>
      </c>
      <c r="U19" s="98">
        <f>GrpB!D$47</f>
        <v>0</v>
      </c>
      <c r="V19" s="98">
        <f>GrpB!E$47</f>
        <v>1</v>
      </c>
      <c r="W19" s="98">
        <f>GrpB!F$47</f>
        <v>0</v>
      </c>
      <c r="X19" s="98">
        <f>GrpB!G$47</f>
        <v>1</v>
      </c>
      <c r="Y19" s="98">
        <f>GrpB!H$47</f>
        <v>1</v>
      </c>
      <c r="Z19" s="349">
        <f>GrpB!I$47</f>
        <v>0</v>
      </c>
      <c r="AA19" s="350">
        <f>GrpB!J$47</f>
        <v>1</v>
      </c>
      <c r="AC19" s="351" t="str">
        <f>GrpB!K$47</f>
        <v>Qatar</v>
      </c>
      <c r="AD19" s="353" t="str">
        <f>GrpB!L$47</f>
        <v>1-1</v>
      </c>
      <c r="AE19" s="353" t="str">
        <f>GrpB!M$47</f>
        <v>-</v>
      </c>
      <c r="AF19" s="352"/>
      <c r="AG19" s="353" t="str">
        <f>GrpB!O$47</f>
        <v>-</v>
      </c>
      <c r="AH19" s="354">
        <f>AA19</f>
        <v>1</v>
      </c>
    </row>
    <row r="20" spans="1:34" ht="14.25" customHeight="1" x14ac:dyDescent="0.2">
      <c r="A20" s="444" t="s">
        <v>554</v>
      </c>
      <c r="B20" s="325">
        <v>46188</v>
      </c>
      <c r="C20" s="326">
        <v>0.70833333333333337</v>
      </c>
      <c r="D20" s="327" t="str">
        <f t="shared" si="2"/>
        <v>H</v>
      </c>
      <c r="E20" s="100" t="str">
        <f t="shared" si="0"/>
        <v>Spain</v>
      </c>
      <c r="F20" s="138">
        <v>0</v>
      </c>
      <c r="G20" s="328" t="s">
        <v>536</v>
      </c>
      <c r="H20" s="137">
        <v>0</v>
      </c>
      <c r="I20" s="101" t="str">
        <f t="shared" si="1"/>
        <v>Cabo Verde</v>
      </c>
      <c r="J20" s="101" t="str">
        <f>Stadium6</f>
        <v>Atlanta Stadium</v>
      </c>
      <c r="K20" s="329" t="str">
        <f t="shared" si="3"/>
        <v>H</v>
      </c>
      <c r="L20" s="323" t="str">
        <f t="shared" si="4"/>
        <v>DSpain</v>
      </c>
      <c r="M20" s="324" t="str">
        <f t="shared" si="5"/>
        <v>DCabo Verde</v>
      </c>
      <c r="N20" s="330">
        <f>Results!X15</f>
        <v>0.937690625</v>
      </c>
      <c r="O20" s="330">
        <f>Results!Y15</f>
        <v>2.9618750000000027E-2</v>
      </c>
      <c r="P20" s="330">
        <f>Results!Z15</f>
        <v>3.2690625000000001E-2</v>
      </c>
      <c r="R20" s="347">
        <v>4</v>
      </c>
      <c r="S20" s="355" t="str">
        <f>GrpB!B$48</f>
        <v>Bosnia-Herzegovina</v>
      </c>
      <c r="T20" s="356">
        <f>GrpB!C$48</f>
        <v>1</v>
      </c>
      <c r="U20" s="356">
        <f>GrpB!D$48</f>
        <v>0</v>
      </c>
      <c r="V20" s="356">
        <f>GrpB!E$48</f>
        <v>1</v>
      </c>
      <c r="W20" s="356">
        <f>GrpB!F$48</f>
        <v>0</v>
      </c>
      <c r="X20" s="356">
        <f>GrpB!G$48</f>
        <v>1</v>
      </c>
      <c r="Y20" s="356">
        <f>GrpB!H$48</f>
        <v>1</v>
      </c>
      <c r="Z20" s="357">
        <f>GrpB!I$48</f>
        <v>0</v>
      </c>
      <c r="AA20" s="358">
        <f>GrpB!J$48</f>
        <v>1</v>
      </c>
      <c r="AC20" s="359" t="str">
        <f>GrpB!K$48</f>
        <v>Bosnia-Herzegovina</v>
      </c>
      <c r="AD20" s="360" t="str">
        <f>GrpB!L$48</f>
        <v>-</v>
      </c>
      <c r="AE20" s="360" t="str">
        <f>GrpB!M$48</f>
        <v>1-1</v>
      </c>
      <c r="AF20" s="360" t="str">
        <f>GrpB!N$48</f>
        <v>-</v>
      </c>
      <c r="AG20" s="361"/>
      <c r="AH20" s="362">
        <f>AA20</f>
        <v>1</v>
      </c>
    </row>
    <row r="21" spans="1:34" ht="14.25" customHeight="1" x14ac:dyDescent="0.2">
      <c r="A21" s="444" t="s">
        <v>555</v>
      </c>
      <c r="B21" s="325">
        <v>46188</v>
      </c>
      <c r="C21" s="326">
        <v>0.83333333333333337</v>
      </c>
      <c r="D21" s="327" t="str">
        <f t="shared" si="2"/>
        <v>G</v>
      </c>
      <c r="E21" s="100" t="str">
        <f t="shared" si="0"/>
        <v>Belgium</v>
      </c>
      <c r="F21" s="138">
        <v>1</v>
      </c>
      <c r="G21" s="328" t="s">
        <v>536</v>
      </c>
      <c r="H21" s="137">
        <v>1</v>
      </c>
      <c r="I21" s="101" t="str">
        <f t="shared" si="1"/>
        <v>Egypt</v>
      </c>
      <c r="J21" s="101" t="str">
        <f>Stadium16</f>
        <v>Seattle Stadium</v>
      </c>
      <c r="K21" s="329" t="str">
        <f t="shared" si="3"/>
        <v>G</v>
      </c>
      <c r="L21" s="323" t="str">
        <f t="shared" si="4"/>
        <v>DBelgium</v>
      </c>
      <c r="M21" s="324" t="str">
        <f t="shared" si="5"/>
        <v>DEgypt</v>
      </c>
      <c r="N21" s="330">
        <f>Results!X16</f>
        <v>0.64199556419999992</v>
      </c>
      <c r="O21" s="330">
        <f>Results!Y16</f>
        <v>0.1804488716</v>
      </c>
      <c r="P21" s="330">
        <f>Results!Z16</f>
        <v>0.17755556420000007</v>
      </c>
      <c r="Z21" s="349"/>
      <c r="AD21" s="98"/>
      <c r="AE21" s="98"/>
      <c r="AF21" s="98"/>
      <c r="AG21" s="98"/>
      <c r="AH21" s="98"/>
    </row>
    <row r="22" spans="1:34" ht="14.25" customHeight="1" x14ac:dyDescent="0.2">
      <c r="A22" s="444" t="s">
        <v>556</v>
      </c>
      <c r="B22" s="325">
        <v>46188</v>
      </c>
      <c r="C22" s="326">
        <v>0.95833333333333337</v>
      </c>
      <c r="D22" s="327" t="str">
        <f t="shared" si="2"/>
        <v>H</v>
      </c>
      <c r="E22" s="100" t="str">
        <f t="shared" si="0"/>
        <v>Saudi Arabia</v>
      </c>
      <c r="F22" s="138">
        <v>1</v>
      </c>
      <c r="G22" s="328" t="s">
        <v>536</v>
      </c>
      <c r="H22" s="137">
        <v>1</v>
      </c>
      <c r="I22" s="101" t="str">
        <f t="shared" si="1"/>
        <v>Uruguay</v>
      </c>
      <c r="J22" s="101" t="str">
        <f>Stadium12</f>
        <v>Miami Stadium</v>
      </c>
      <c r="K22" s="329" t="str">
        <f t="shared" si="3"/>
        <v>H</v>
      </c>
      <c r="L22" s="323" t="str">
        <f t="shared" si="4"/>
        <v>DSaudi Arabia</v>
      </c>
      <c r="M22" s="324" t="str">
        <f t="shared" si="5"/>
        <v>DUruguay</v>
      </c>
      <c r="N22" s="330">
        <f>Results!X17</f>
        <v>0.11960835619999999</v>
      </c>
      <c r="O22" s="330">
        <f>Results!Y17</f>
        <v>0.13714328759999994</v>
      </c>
      <c r="P22" s="330">
        <f>Results!Z17</f>
        <v>0.74324835620000007</v>
      </c>
      <c r="R22" s="331"/>
      <c r="S22" s="332" t="s">
        <v>313</v>
      </c>
      <c r="T22" s="333"/>
      <c r="U22" s="333"/>
      <c r="V22" s="333"/>
      <c r="W22" s="333"/>
      <c r="X22" s="333"/>
      <c r="Y22" s="333"/>
      <c r="Z22" s="334"/>
      <c r="AA22" s="335"/>
      <c r="AC22" s="336" t="str">
        <f>S22</f>
        <v>Group C</v>
      </c>
      <c r="AD22" s="337"/>
      <c r="AE22" s="337"/>
      <c r="AF22" s="337"/>
      <c r="AG22" s="337"/>
      <c r="AH22" s="338"/>
    </row>
    <row r="23" spans="1:34" ht="14.25" customHeight="1" x14ac:dyDescent="0.2">
      <c r="A23" s="444" t="s">
        <v>557</v>
      </c>
      <c r="B23" s="325">
        <v>46189</v>
      </c>
      <c r="C23" s="326">
        <v>8.3333333333333329E-2</v>
      </c>
      <c r="D23" s="327" t="str">
        <f t="shared" si="2"/>
        <v>G</v>
      </c>
      <c r="E23" s="100" t="str">
        <f t="shared" si="0"/>
        <v>IR Iran</v>
      </c>
      <c r="F23" s="138">
        <v>2</v>
      </c>
      <c r="G23" s="328" t="s">
        <v>536</v>
      </c>
      <c r="H23" s="137">
        <v>2</v>
      </c>
      <c r="I23" s="101" t="str">
        <f t="shared" si="1"/>
        <v>New Zealand</v>
      </c>
      <c r="J23" s="101" t="str">
        <f>Stadium11</f>
        <v>Los Angeles Stadium</v>
      </c>
      <c r="K23" s="329" t="str">
        <f t="shared" si="3"/>
        <v>G</v>
      </c>
      <c r="L23" s="323" t="str">
        <f t="shared" si="4"/>
        <v>DIR Iran</v>
      </c>
      <c r="M23" s="324" t="str">
        <f t="shared" si="5"/>
        <v>DNew Zealand</v>
      </c>
      <c r="N23" s="330">
        <f>Results!X18</f>
        <v>0.79744062500000001</v>
      </c>
      <c r="O23" s="330">
        <f>Results!Y18</f>
        <v>0.11011874999999993</v>
      </c>
      <c r="P23" s="330">
        <f>Results!Z18</f>
        <v>9.2440625000000012E-2</v>
      </c>
      <c r="R23" s="339" t="s">
        <v>325</v>
      </c>
      <c r="S23" s="340" t="s">
        <v>310</v>
      </c>
      <c r="T23" s="341" t="s">
        <v>311</v>
      </c>
      <c r="U23" s="341" t="s">
        <v>305</v>
      </c>
      <c r="V23" s="341" t="s">
        <v>15</v>
      </c>
      <c r="W23" s="341" t="s">
        <v>306</v>
      </c>
      <c r="X23" s="341" t="s">
        <v>307</v>
      </c>
      <c r="Y23" s="341" t="s">
        <v>16</v>
      </c>
      <c r="Z23" s="342" t="s">
        <v>308</v>
      </c>
      <c r="AA23" s="343" t="s">
        <v>566</v>
      </c>
      <c r="AC23" s="344" t="s">
        <v>310</v>
      </c>
      <c r="AD23" s="345" t="str">
        <f>LEFT($AC24,3)</f>
        <v>Sco</v>
      </c>
      <c r="AE23" s="345" t="str">
        <f>LEFT($AC25,3)</f>
        <v>Mor</v>
      </c>
      <c r="AF23" s="345" t="str">
        <f>LEFT($AC26,3)</f>
        <v>Bra</v>
      </c>
      <c r="AG23" s="345" t="str">
        <f>LEFT($AC27,3)</f>
        <v>Hai</v>
      </c>
      <c r="AH23" s="346" t="s">
        <v>566</v>
      </c>
    </row>
    <row r="24" spans="1:34" ht="14.25" customHeight="1" x14ac:dyDescent="0.2">
      <c r="A24" s="444" t="s">
        <v>558</v>
      </c>
      <c r="B24" s="325">
        <v>46189</v>
      </c>
      <c r="C24" s="326">
        <v>0.83333333333333337</v>
      </c>
      <c r="D24" s="327" t="str">
        <f t="shared" si="2"/>
        <v>I</v>
      </c>
      <c r="E24" s="100" t="str">
        <f t="shared" si="0"/>
        <v>France</v>
      </c>
      <c r="F24" s="138"/>
      <c r="G24" s="328" t="s">
        <v>536</v>
      </c>
      <c r="H24" s="137"/>
      <c r="I24" s="101" t="str">
        <f t="shared" si="1"/>
        <v>Senegal</v>
      </c>
      <c r="J24" s="101" t="str">
        <f>Stadium13</f>
        <v>MetLife Stadium</v>
      </c>
      <c r="K24" s="329" t="str">
        <f t="shared" si="3"/>
        <v>I</v>
      </c>
      <c r="L24" s="323" t="str">
        <f t="shared" si="4"/>
        <v/>
      </c>
      <c r="M24" s="324" t="str">
        <f t="shared" si="5"/>
        <v/>
      </c>
      <c r="N24" s="330">
        <f>Results!X19</f>
        <v>0.63006562500000007</v>
      </c>
      <c r="O24" s="330">
        <f>Results!Y19</f>
        <v>0.18486874999999992</v>
      </c>
      <c r="P24" s="330">
        <f>Results!Z19</f>
        <v>0.18506562499999996</v>
      </c>
      <c r="R24" s="347">
        <v>1</v>
      </c>
      <c r="S24" s="348" t="str">
        <f>GrpC!B$45</f>
        <v>Scotland</v>
      </c>
      <c r="T24" s="98">
        <f>GrpC!C$45</f>
        <v>1</v>
      </c>
      <c r="U24" s="98">
        <f>GrpC!D$45</f>
        <v>1</v>
      </c>
      <c r="V24" s="98">
        <f>GrpC!E$45</f>
        <v>0</v>
      </c>
      <c r="W24" s="98">
        <f>GrpC!F$45</f>
        <v>0</v>
      </c>
      <c r="X24" s="98">
        <f>GrpC!G$45</f>
        <v>1</v>
      </c>
      <c r="Y24" s="98">
        <f>GrpC!H$45</f>
        <v>0</v>
      </c>
      <c r="Z24" s="349">
        <f>GrpC!I$45</f>
        <v>1</v>
      </c>
      <c r="AA24" s="350">
        <f>GrpC!J$45</f>
        <v>3</v>
      </c>
      <c r="AC24" s="351" t="str">
        <f>GrpC!K$45</f>
        <v>Scotland</v>
      </c>
      <c r="AD24" s="352"/>
      <c r="AE24" s="353" t="str">
        <f>GrpC!M$45</f>
        <v>-</v>
      </c>
      <c r="AF24" s="353" t="str">
        <f>GrpC!N$45</f>
        <v>-</v>
      </c>
      <c r="AG24" s="353" t="str">
        <f>GrpC!O$45</f>
        <v>1-0</v>
      </c>
      <c r="AH24" s="354">
        <f>AA24</f>
        <v>3</v>
      </c>
    </row>
    <row r="25" spans="1:34" ht="14.25" customHeight="1" x14ac:dyDescent="0.2">
      <c r="A25" s="444" t="s">
        <v>559</v>
      </c>
      <c r="B25" s="325">
        <v>46189</v>
      </c>
      <c r="C25" s="326">
        <v>0.95833333333333337</v>
      </c>
      <c r="D25" s="327" t="str">
        <f t="shared" si="2"/>
        <v>I</v>
      </c>
      <c r="E25" s="100" t="str">
        <f t="shared" si="0"/>
        <v>Iraq</v>
      </c>
      <c r="F25" s="138"/>
      <c r="G25" s="328" t="s">
        <v>536</v>
      </c>
      <c r="H25" s="137"/>
      <c r="I25" s="101" t="str">
        <f t="shared" si="1"/>
        <v>Norway</v>
      </c>
      <c r="J25" s="101" t="str">
        <f>Stadium7</f>
        <v>Boston Stadium</v>
      </c>
      <c r="K25" s="329" t="str">
        <f t="shared" si="3"/>
        <v>I</v>
      </c>
      <c r="L25" s="323" t="str">
        <f t="shared" si="4"/>
        <v/>
      </c>
      <c r="M25" s="324" t="str">
        <f t="shared" si="5"/>
        <v/>
      </c>
      <c r="N25" s="330">
        <f>Results!X20</f>
        <v>0.16323061605</v>
      </c>
      <c r="O25" s="330">
        <f>Results!Y20</f>
        <v>0.1713187679</v>
      </c>
      <c r="P25" s="330">
        <f>Results!Z20</f>
        <v>0.66545061605</v>
      </c>
      <c r="R25" s="347">
        <v>2</v>
      </c>
      <c r="S25" s="348" t="str">
        <f>GrpC!B$46</f>
        <v>Morocco</v>
      </c>
      <c r="T25" s="98">
        <f>GrpC!C$46</f>
        <v>1</v>
      </c>
      <c r="U25" s="98">
        <f>GrpC!D$46</f>
        <v>0</v>
      </c>
      <c r="V25" s="98">
        <f>GrpC!E$46</f>
        <v>1</v>
      </c>
      <c r="W25" s="98">
        <f>GrpC!F$46</f>
        <v>0</v>
      </c>
      <c r="X25" s="98">
        <f>GrpC!G$46</f>
        <v>1</v>
      </c>
      <c r="Y25" s="98">
        <f>GrpC!H$46</f>
        <v>1</v>
      </c>
      <c r="Z25" s="349">
        <f>GrpC!I$46</f>
        <v>0</v>
      </c>
      <c r="AA25" s="350">
        <f>GrpC!J$46</f>
        <v>1</v>
      </c>
      <c r="AC25" s="351" t="str">
        <f>GrpC!K$46</f>
        <v>Morocco</v>
      </c>
      <c r="AD25" s="353" t="str">
        <f>GrpC!L$46</f>
        <v>-</v>
      </c>
      <c r="AE25" s="352"/>
      <c r="AF25" s="353" t="str">
        <f>GrpC!N$46</f>
        <v>1-1</v>
      </c>
      <c r="AG25" s="353" t="str">
        <f>GrpC!O$46</f>
        <v>-</v>
      </c>
      <c r="AH25" s="354">
        <f>AA25</f>
        <v>1</v>
      </c>
    </row>
    <row r="26" spans="1:34" ht="14.25" customHeight="1" x14ac:dyDescent="0.2">
      <c r="A26" s="444" t="s">
        <v>560</v>
      </c>
      <c r="B26" s="325">
        <v>46190</v>
      </c>
      <c r="C26" s="326">
        <v>8.3333333333333329E-2</v>
      </c>
      <c r="D26" s="327" t="str">
        <f t="shared" si="2"/>
        <v>J</v>
      </c>
      <c r="E26" s="100" t="str">
        <f t="shared" si="0"/>
        <v>Argentina</v>
      </c>
      <c r="F26" s="138"/>
      <c r="G26" s="328" t="s">
        <v>536</v>
      </c>
      <c r="H26" s="137"/>
      <c r="I26" s="101" t="str">
        <f t="shared" si="1"/>
        <v>Algeria</v>
      </c>
      <c r="J26" s="101" t="str">
        <f>Stadium10</f>
        <v>Kansas City Stadium</v>
      </c>
      <c r="K26" s="329" t="str">
        <f t="shared" si="3"/>
        <v>J</v>
      </c>
      <c r="L26" s="323" t="str">
        <f t="shared" si="4"/>
        <v/>
      </c>
      <c r="M26" s="324" t="str">
        <f t="shared" si="5"/>
        <v/>
      </c>
      <c r="N26" s="330">
        <f>Results!X21</f>
        <v>0.68081384444999993</v>
      </c>
      <c r="O26" s="330">
        <f>Results!Y21</f>
        <v>0.16503231110000005</v>
      </c>
      <c r="P26" s="330">
        <f>Results!Z21</f>
        <v>0.15415384445000005</v>
      </c>
      <c r="R26" s="347">
        <v>3</v>
      </c>
      <c r="S26" s="348" t="str">
        <f>GrpC!B$47</f>
        <v>Brazil</v>
      </c>
      <c r="T26" s="98">
        <f>GrpC!C$47</f>
        <v>1</v>
      </c>
      <c r="U26" s="98">
        <f>GrpC!D$47</f>
        <v>0</v>
      </c>
      <c r="V26" s="98">
        <f>GrpC!E$47</f>
        <v>1</v>
      </c>
      <c r="W26" s="98">
        <f>GrpC!F$47</f>
        <v>0</v>
      </c>
      <c r="X26" s="98">
        <f>GrpC!G$47</f>
        <v>1</v>
      </c>
      <c r="Y26" s="98">
        <f>GrpC!H$47</f>
        <v>1</v>
      </c>
      <c r="Z26" s="349">
        <f>GrpC!I$47</f>
        <v>0</v>
      </c>
      <c r="AA26" s="350">
        <f>GrpC!J$47</f>
        <v>1</v>
      </c>
      <c r="AC26" s="351" t="str">
        <f>GrpC!K$47</f>
        <v>Brazil</v>
      </c>
      <c r="AD26" s="353" t="str">
        <f>GrpC!L$47</f>
        <v>-</v>
      </c>
      <c r="AE26" s="353" t="str">
        <f>GrpC!M$47</f>
        <v>1-1</v>
      </c>
      <c r="AF26" s="352"/>
      <c r="AG26" s="353" t="str">
        <f>GrpC!O$47</f>
        <v>-</v>
      </c>
      <c r="AH26" s="354">
        <f>AA26</f>
        <v>1</v>
      </c>
    </row>
    <row r="27" spans="1:34" ht="14.25" customHeight="1" x14ac:dyDescent="0.2">
      <c r="A27" s="444" t="s">
        <v>561</v>
      </c>
      <c r="B27" s="325">
        <v>46190</v>
      </c>
      <c r="C27" s="326">
        <v>0.20833333333333334</v>
      </c>
      <c r="D27" s="327" t="str">
        <f t="shared" si="2"/>
        <v>J</v>
      </c>
      <c r="E27" s="100" t="str">
        <f t="shared" si="0"/>
        <v>Austria</v>
      </c>
      <c r="F27" s="138"/>
      <c r="G27" s="328" t="s">
        <v>536</v>
      </c>
      <c r="H27" s="137"/>
      <c r="I27" s="101" t="str">
        <f t="shared" si="1"/>
        <v>Jordan</v>
      </c>
      <c r="J27" s="101" t="str">
        <f>Stadium15</f>
        <v>San Franciso Bay Stadium</v>
      </c>
      <c r="K27" s="329" t="str">
        <f t="shared" si="3"/>
        <v>J</v>
      </c>
      <c r="L27" s="323" t="str">
        <f t="shared" si="4"/>
        <v/>
      </c>
      <c r="M27" s="324" t="str">
        <f t="shared" si="5"/>
        <v/>
      </c>
      <c r="N27" s="330">
        <f>Results!X22</f>
        <v>0.70585700000000007</v>
      </c>
      <c r="O27" s="330">
        <f>Results!Y22</f>
        <v>0.15428600000000003</v>
      </c>
      <c r="P27" s="330">
        <f>Results!Z22</f>
        <v>0.13985699999999995</v>
      </c>
      <c r="R27" s="347">
        <v>4</v>
      </c>
      <c r="S27" s="355" t="str">
        <f>GrpC!B$48</f>
        <v>Haiti</v>
      </c>
      <c r="T27" s="356">
        <f>GrpC!C$48</f>
        <v>1</v>
      </c>
      <c r="U27" s="356">
        <f>GrpC!D$48</f>
        <v>0</v>
      </c>
      <c r="V27" s="356">
        <f>GrpC!E$48</f>
        <v>0</v>
      </c>
      <c r="W27" s="356">
        <f>GrpC!F$48</f>
        <v>1</v>
      </c>
      <c r="X27" s="356">
        <f>GrpC!G$48</f>
        <v>0</v>
      </c>
      <c r="Y27" s="356">
        <f>GrpC!H$48</f>
        <v>1</v>
      </c>
      <c r="Z27" s="357">
        <f>GrpC!I$48</f>
        <v>-1</v>
      </c>
      <c r="AA27" s="358">
        <f>GrpC!J$48</f>
        <v>0</v>
      </c>
      <c r="AC27" s="359" t="str">
        <f>GrpC!K$48</f>
        <v>Haiti</v>
      </c>
      <c r="AD27" s="360" t="str">
        <f>GrpC!L$48</f>
        <v>0-1</v>
      </c>
      <c r="AE27" s="360" t="str">
        <f>GrpC!M$48</f>
        <v>-</v>
      </c>
      <c r="AF27" s="360" t="str">
        <f>GrpC!N$48</f>
        <v>-</v>
      </c>
      <c r="AG27" s="361"/>
      <c r="AH27" s="362">
        <f>AA27</f>
        <v>0</v>
      </c>
    </row>
    <row r="28" spans="1:34" ht="14.25" customHeight="1" x14ac:dyDescent="0.2">
      <c r="A28" s="444" t="s">
        <v>562</v>
      </c>
      <c r="B28" s="325">
        <v>46190</v>
      </c>
      <c r="C28" s="326">
        <v>0.75</v>
      </c>
      <c r="D28" s="327" t="str">
        <f t="shared" si="2"/>
        <v>K</v>
      </c>
      <c r="E28" s="100" t="str">
        <f t="shared" si="0"/>
        <v>Portugal</v>
      </c>
      <c r="F28" s="138"/>
      <c r="G28" s="328" t="s">
        <v>536</v>
      </c>
      <c r="H28" s="137"/>
      <c r="I28" s="101" t="str">
        <f t="shared" si="1"/>
        <v>Congo DR</v>
      </c>
      <c r="J28" s="101" t="str">
        <f>Stadium9</f>
        <v>Houston Stadium</v>
      </c>
      <c r="K28" s="329" t="str">
        <f t="shared" si="3"/>
        <v>K</v>
      </c>
      <c r="L28" s="323" t="str">
        <f t="shared" si="4"/>
        <v/>
      </c>
      <c r="M28" s="324" t="str">
        <f t="shared" si="5"/>
        <v/>
      </c>
      <c r="N28" s="330">
        <f>Results!X23</f>
        <v>0.82970691124999996</v>
      </c>
      <c r="O28" s="330">
        <f>Results!Y23</f>
        <v>9.2886177500000056E-2</v>
      </c>
      <c r="P28" s="330">
        <f>Results!Z23</f>
        <v>7.7406911250000043E-2</v>
      </c>
      <c r="Z28" s="349"/>
      <c r="AD28" s="98"/>
      <c r="AE28" s="98"/>
      <c r="AF28" s="98"/>
      <c r="AG28" s="98"/>
      <c r="AH28" s="98"/>
    </row>
    <row r="29" spans="1:34" ht="14.25" customHeight="1" x14ac:dyDescent="0.2">
      <c r="A29" s="444" t="s">
        <v>563</v>
      </c>
      <c r="B29" s="325">
        <v>46190</v>
      </c>
      <c r="C29" s="326">
        <v>0.875</v>
      </c>
      <c r="D29" s="327" t="str">
        <f t="shared" si="2"/>
        <v>L</v>
      </c>
      <c r="E29" s="100" t="str">
        <f t="shared" si="0"/>
        <v>England</v>
      </c>
      <c r="F29" s="138"/>
      <c r="G29" s="328" t="s">
        <v>536</v>
      </c>
      <c r="H29" s="137"/>
      <c r="I29" s="101" t="str">
        <f t="shared" si="1"/>
        <v>Croatia</v>
      </c>
      <c r="J29" s="101" t="str">
        <f>Stadium8</f>
        <v>Dallas Stadium</v>
      </c>
      <c r="K29" s="329" t="str">
        <f t="shared" si="3"/>
        <v>L</v>
      </c>
      <c r="L29" s="323" t="str">
        <f t="shared" si="4"/>
        <v/>
      </c>
      <c r="M29" s="324" t="str">
        <f t="shared" si="5"/>
        <v/>
      </c>
      <c r="N29" s="330">
        <f>Results!X24</f>
        <v>0.54570802244999994</v>
      </c>
      <c r="O29" s="330">
        <f>Results!Y24</f>
        <v>0.21144395510000003</v>
      </c>
      <c r="P29" s="330">
        <f>Results!Z24</f>
        <v>0.24284802245000003</v>
      </c>
      <c r="R29" s="331"/>
      <c r="S29" s="332" t="s">
        <v>314</v>
      </c>
      <c r="T29" s="333"/>
      <c r="U29" s="333"/>
      <c r="V29" s="333"/>
      <c r="W29" s="333"/>
      <c r="X29" s="333"/>
      <c r="Y29" s="333"/>
      <c r="Z29" s="334"/>
      <c r="AA29" s="335"/>
      <c r="AC29" s="336" t="str">
        <f>S29</f>
        <v>Group D</v>
      </c>
      <c r="AD29" s="337"/>
      <c r="AE29" s="337"/>
      <c r="AF29" s="337"/>
      <c r="AG29" s="337"/>
      <c r="AH29" s="338"/>
    </row>
    <row r="30" spans="1:34" ht="14.25" customHeight="1" x14ac:dyDescent="0.2">
      <c r="A30" s="444" t="s">
        <v>564</v>
      </c>
      <c r="B30" s="325">
        <v>46191</v>
      </c>
      <c r="C30" s="326">
        <v>0</v>
      </c>
      <c r="D30" s="327" t="str">
        <f t="shared" si="2"/>
        <v>L</v>
      </c>
      <c r="E30" s="100" t="str">
        <f t="shared" si="0"/>
        <v>Ghana</v>
      </c>
      <c r="F30" s="138"/>
      <c r="G30" s="328" t="s">
        <v>536</v>
      </c>
      <c r="H30" s="137"/>
      <c r="I30" s="101" t="str">
        <f t="shared" si="1"/>
        <v>Panama</v>
      </c>
      <c r="J30" s="101" t="str">
        <f>Stadium1</f>
        <v>Toronto Stadium</v>
      </c>
      <c r="K30" s="329" t="str">
        <f t="shared" si="3"/>
        <v>L</v>
      </c>
      <c r="L30" s="323" t="str">
        <f t="shared" si="4"/>
        <v/>
      </c>
      <c r="M30" s="324" t="str">
        <f t="shared" si="5"/>
        <v/>
      </c>
      <c r="N30" s="330">
        <f>Results!X25</f>
        <v>0.22830078124999997</v>
      </c>
      <c r="O30" s="330">
        <f>Results!Y25</f>
        <v>0.20589843750000003</v>
      </c>
      <c r="P30" s="330">
        <f>Results!Z25</f>
        <v>0.56580078125</v>
      </c>
      <c r="R30" s="339" t="s">
        <v>325</v>
      </c>
      <c r="S30" s="340" t="s">
        <v>310</v>
      </c>
      <c r="T30" s="341" t="s">
        <v>311</v>
      </c>
      <c r="U30" s="341" t="s">
        <v>305</v>
      </c>
      <c r="V30" s="341" t="s">
        <v>15</v>
      </c>
      <c r="W30" s="341" t="s">
        <v>306</v>
      </c>
      <c r="X30" s="341" t="s">
        <v>307</v>
      </c>
      <c r="Y30" s="341" t="s">
        <v>16</v>
      </c>
      <c r="Z30" s="342" t="s">
        <v>308</v>
      </c>
      <c r="AA30" s="343" t="s">
        <v>566</v>
      </c>
      <c r="AC30" s="344" t="s">
        <v>310</v>
      </c>
      <c r="AD30" s="345" t="str">
        <f>LEFT($AC31,3)</f>
        <v>USA</v>
      </c>
      <c r="AE30" s="345" t="str">
        <f>LEFT($AC32,3)</f>
        <v>Aus</v>
      </c>
      <c r="AF30" s="345" t="str">
        <f>LEFT($AC33,3)</f>
        <v>Tur</v>
      </c>
      <c r="AG30" s="345" t="str">
        <f>LEFT($AC34,3)</f>
        <v>Par</v>
      </c>
      <c r="AH30" s="346" t="s">
        <v>566</v>
      </c>
    </row>
    <row r="31" spans="1:34" ht="14.25" customHeight="1" x14ac:dyDescent="0.2">
      <c r="A31" s="444" t="s">
        <v>565</v>
      </c>
      <c r="B31" s="325">
        <v>46191</v>
      </c>
      <c r="C31" s="326">
        <v>0.125</v>
      </c>
      <c r="D31" s="327" t="str">
        <f t="shared" si="2"/>
        <v>K</v>
      </c>
      <c r="E31" s="100" t="str">
        <f t="shared" si="0"/>
        <v>Uzbekistan</v>
      </c>
      <c r="F31" s="138"/>
      <c r="G31" s="328" t="s">
        <v>536</v>
      </c>
      <c r="H31" s="137"/>
      <c r="I31" s="101" t="str">
        <f t="shared" si="1"/>
        <v>Colombia</v>
      </c>
      <c r="J31" s="101" t="str">
        <f>Stadium3</f>
        <v>Mexico City Stadium</v>
      </c>
      <c r="K31" s="329" t="str">
        <f t="shared" si="3"/>
        <v>K</v>
      </c>
      <c r="L31" s="323" t="str">
        <f t="shared" si="4"/>
        <v/>
      </c>
      <c r="M31" s="324" t="str">
        <f t="shared" si="5"/>
        <v/>
      </c>
      <c r="N31" s="330">
        <f>Results!X26</f>
        <v>0.11032135125000002</v>
      </c>
      <c r="O31" s="330">
        <f>Results!Y26</f>
        <v>0.12845729749999996</v>
      </c>
      <c r="P31" s="330">
        <f>Results!Z26</f>
        <v>0.76122135125000001</v>
      </c>
      <c r="R31" s="347">
        <v>1</v>
      </c>
      <c r="S31" s="348" t="str">
        <f>GrpD!B$45</f>
        <v>USA</v>
      </c>
      <c r="T31" s="98">
        <f>GrpD!C$45</f>
        <v>1</v>
      </c>
      <c r="U31" s="98">
        <f>GrpD!D$45</f>
        <v>1</v>
      </c>
      <c r="V31" s="98">
        <f>GrpD!E$45</f>
        <v>0</v>
      </c>
      <c r="W31" s="98">
        <f>GrpD!F$45</f>
        <v>0</v>
      </c>
      <c r="X31" s="98">
        <f>GrpD!G$45</f>
        <v>4</v>
      </c>
      <c r="Y31" s="98">
        <f>GrpD!H$45</f>
        <v>1</v>
      </c>
      <c r="Z31" s="349">
        <f>GrpD!I$45</f>
        <v>3</v>
      </c>
      <c r="AA31" s="350">
        <f>GrpD!J$45</f>
        <v>3</v>
      </c>
      <c r="AC31" s="351" t="str">
        <f>GrpD!K$45</f>
        <v>USA</v>
      </c>
      <c r="AD31" s="352"/>
      <c r="AE31" s="353" t="str">
        <f>GrpD!M$45</f>
        <v>-</v>
      </c>
      <c r="AF31" s="353" t="str">
        <f>GrpD!N$45</f>
        <v>-</v>
      </c>
      <c r="AG31" s="353" t="str">
        <f>GrpD!O$45</f>
        <v>4-1</v>
      </c>
      <c r="AH31" s="354">
        <f>AA31</f>
        <v>3</v>
      </c>
    </row>
    <row r="32" spans="1:34" ht="14.25" customHeight="1" x14ac:dyDescent="0.2">
      <c r="A32" s="444" t="s">
        <v>567</v>
      </c>
      <c r="B32" s="325">
        <v>46191</v>
      </c>
      <c r="C32" s="326">
        <v>0.70833333333333337</v>
      </c>
      <c r="D32" s="327" t="str">
        <f t="shared" si="2"/>
        <v>A</v>
      </c>
      <c r="E32" s="100" t="str">
        <f t="shared" si="0"/>
        <v>Czechia</v>
      </c>
      <c r="F32" s="138"/>
      <c r="G32" s="328" t="s">
        <v>536</v>
      </c>
      <c r="H32" s="137"/>
      <c r="I32" s="101" t="str">
        <f t="shared" si="1"/>
        <v>South Africa</v>
      </c>
      <c r="J32" s="101" t="str">
        <f>Stadium6</f>
        <v>Atlanta Stadium</v>
      </c>
      <c r="K32" s="329" t="str">
        <f t="shared" si="3"/>
        <v>A</v>
      </c>
      <c r="L32" s="323" t="str">
        <f t="shared" si="4"/>
        <v/>
      </c>
      <c r="M32" s="324" t="str">
        <f t="shared" si="5"/>
        <v/>
      </c>
      <c r="N32" s="330">
        <f>Results!X27</f>
        <v>0.49470703124999993</v>
      </c>
      <c r="O32" s="330">
        <f>Results!Y27</f>
        <v>0.22308593750000005</v>
      </c>
      <c r="P32" s="330">
        <f>Results!Z27</f>
        <v>0.28220703125000007</v>
      </c>
      <c r="R32" s="347">
        <v>2</v>
      </c>
      <c r="S32" s="348" t="str">
        <f>GrpD!B$46</f>
        <v>Australia</v>
      </c>
      <c r="T32" s="98">
        <f>GrpD!C$46</f>
        <v>1</v>
      </c>
      <c r="U32" s="98">
        <f>GrpD!D$46</f>
        <v>1</v>
      </c>
      <c r="V32" s="98">
        <f>GrpD!E$46</f>
        <v>0</v>
      </c>
      <c r="W32" s="98">
        <f>GrpD!F$46</f>
        <v>0</v>
      </c>
      <c r="X32" s="98">
        <f>GrpD!G$46</f>
        <v>2</v>
      </c>
      <c r="Y32" s="98">
        <f>GrpD!H$46</f>
        <v>0</v>
      </c>
      <c r="Z32" s="349">
        <f>GrpD!I$46</f>
        <v>2</v>
      </c>
      <c r="AA32" s="350">
        <f>GrpD!J$46</f>
        <v>3</v>
      </c>
      <c r="AC32" s="351" t="str">
        <f>GrpD!K$46</f>
        <v>Australia</v>
      </c>
      <c r="AD32" s="353" t="str">
        <f>GrpD!L$46</f>
        <v>-</v>
      </c>
      <c r="AE32" s="352"/>
      <c r="AF32" s="353" t="str">
        <f>GrpD!N$46</f>
        <v>2-0</v>
      </c>
      <c r="AG32" s="353" t="str">
        <f>GrpD!O$46</f>
        <v>-</v>
      </c>
      <c r="AH32" s="354">
        <f>AA32</f>
        <v>3</v>
      </c>
    </row>
    <row r="33" spans="1:34" ht="14.25" customHeight="1" x14ac:dyDescent="0.2">
      <c r="A33" s="444" t="s">
        <v>568</v>
      </c>
      <c r="B33" s="325">
        <v>46191</v>
      </c>
      <c r="C33" s="326">
        <v>0.83333333333333337</v>
      </c>
      <c r="D33" s="327" t="str">
        <f t="shared" si="2"/>
        <v>B</v>
      </c>
      <c r="E33" s="100" t="str">
        <f t="shared" si="0"/>
        <v>Switzerland</v>
      </c>
      <c r="F33" s="138"/>
      <c r="G33" s="328" t="s">
        <v>536</v>
      </c>
      <c r="H33" s="137"/>
      <c r="I33" s="101" t="str">
        <f t="shared" si="1"/>
        <v>Bosnia-Herzegovina</v>
      </c>
      <c r="J33" s="101" t="str">
        <f>Stadium11</f>
        <v>Los Angeles Stadium</v>
      </c>
      <c r="K33" s="329" t="str">
        <f t="shared" si="3"/>
        <v>B</v>
      </c>
      <c r="L33" s="323" t="str">
        <f t="shared" si="4"/>
        <v/>
      </c>
      <c r="M33" s="324" t="str">
        <f t="shared" si="5"/>
        <v/>
      </c>
      <c r="N33" s="330">
        <f>Results!X28</f>
        <v>0.72651300000000008</v>
      </c>
      <c r="O33" s="330">
        <f>Results!Y28</f>
        <v>0.14497400000000005</v>
      </c>
      <c r="P33" s="330">
        <f>Results!Z28</f>
        <v>0.12851299999999993</v>
      </c>
      <c r="R33" s="347">
        <v>3</v>
      </c>
      <c r="S33" s="348" t="str">
        <f>GrpD!B$47</f>
        <v>Turkiye</v>
      </c>
      <c r="T33" s="98">
        <f>GrpD!C$47</f>
        <v>1</v>
      </c>
      <c r="U33" s="98">
        <f>GrpD!D$47</f>
        <v>0</v>
      </c>
      <c r="V33" s="98">
        <f>GrpD!E$47</f>
        <v>0</v>
      </c>
      <c r="W33" s="98">
        <f>GrpD!F$47</f>
        <v>1</v>
      </c>
      <c r="X33" s="98">
        <f>GrpD!G$47</f>
        <v>0</v>
      </c>
      <c r="Y33" s="98">
        <f>GrpD!H$47</f>
        <v>2</v>
      </c>
      <c r="Z33" s="349">
        <f>GrpD!I$47</f>
        <v>-2</v>
      </c>
      <c r="AA33" s="350">
        <f>GrpD!J$47</f>
        <v>0</v>
      </c>
      <c r="AC33" s="351" t="str">
        <f>GrpD!K$47</f>
        <v>Turkiye</v>
      </c>
      <c r="AD33" s="353" t="str">
        <f>GrpD!L$47</f>
        <v>-</v>
      </c>
      <c r="AE33" s="353" t="str">
        <f>GrpD!M$47</f>
        <v>0-2</v>
      </c>
      <c r="AF33" s="352"/>
      <c r="AG33" s="353" t="str">
        <f>GrpD!O$47</f>
        <v>-</v>
      </c>
      <c r="AH33" s="354">
        <f>AA33</f>
        <v>0</v>
      </c>
    </row>
    <row r="34" spans="1:34" ht="14.25" customHeight="1" x14ac:dyDescent="0.2">
      <c r="A34" s="444" t="s">
        <v>569</v>
      </c>
      <c r="B34" s="325">
        <v>46191</v>
      </c>
      <c r="C34" s="326">
        <v>0.95833333333333337</v>
      </c>
      <c r="D34" s="327" t="str">
        <f t="shared" si="2"/>
        <v>B</v>
      </c>
      <c r="E34" s="100" t="str">
        <f t="shared" si="0"/>
        <v>Canada</v>
      </c>
      <c r="F34" s="138"/>
      <c r="G34" s="328" t="s">
        <v>536</v>
      </c>
      <c r="H34" s="137"/>
      <c r="I34" s="101" t="str">
        <f t="shared" si="1"/>
        <v>Qatar</v>
      </c>
      <c r="J34" s="101" t="str">
        <f>Stadium2</f>
        <v>BC Place Vancouver</v>
      </c>
      <c r="K34" s="329" t="str">
        <f t="shared" si="3"/>
        <v>B</v>
      </c>
      <c r="L34" s="323" t="str">
        <f t="shared" si="4"/>
        <v/>
      </c>
      <c r="M34" s="324" t="str">
        <f t="shared" si="5"/>
        <v/>
      </c>
      <c r="N34" s="330">
        <f>Results!X29</f>
        <v>0.56872578125000006</v>
      </c>
      <c r="O34" s="330">
        <f>Results!Y29</f>
        <v>0.20504843750000001</v>
      </c>
      <c r="P34" s="330">
        <f>Results!Z29</f>
        <v>0.22622578124999995</v>
      </c>
      <c r="R34" s="347">
        <v>4</v>
      </c>
      <c r="S34" s="355" t="str">
        <f>GrpD!B$48</f>
        <v>Paraguay</v>
      </c>
      <c r="T34" s="356">
        <f>GrpD!C$48</f>
        <v>1</v>
      </c>
      <c r="U34" s="356">
        <f>GrpD!D$48</f>
        <v>0</v>
      </c>
      <c r="V34" s="356">
        <f>GrpD!E$48</f>
        <v>0</v>
      </c>
      <c r="W34" s="356">
        <f>GrpD!F$48</f>
        <v>1</v>
      </c>
      <c r="X34" s="356">
        <f>GrpD!G$48</f>
        <v>1</v>
      </c>
      <c r="Y34" s="356">
        <f>GrpD!H$48</f>
        <v>4</v>
      </c>
      <c r="Z34" s="357">
        <f>GrpD!I$48</f>
        <v>-3</v>
      </c>
      <c r="AA34" s="358">
        <f>GrpD!J$48</f>
        <v>0</v>
      </c>
      <c r="AC34" s="359" t="str">
        <f>GrpD!K$48</f>
        <v>Paraguay</v>
      </c>
      <c r="AD34" s="360" t="str">
        <f>GrpD!L$48</f>
        <v>1-4</v>
      </c>
      <c r="AE34" s="360" t="str">
        <f>GrpD!M$48</f>
        <v>-</v>
      </c>
      <c r="AF34" s="360" t="str">
        <f>GrpD!N$48</f>
        <v>-</v>
      </c>
      <c r="AG34" s="361"/>
      <c r="AH34" s="362">
        <f>AA34</f>
        <v>0</v>
      </c>
    </row>
    <row r="35" spans="1:34" ht="14.25" customHeight="1" x14ac:dyDescent="0.2">
      <c r="A35" s="444" t="s">
        <v>570</v>
      </c>
      <c r="B35" s="325">
        <v>46192</v>
      </c>
      <c r="C35" s="326">
        <v>8.3333333333333329E-2</v>
      </c>
      <c r="D35" s="327" t="str">
        <f t="shared" si="2"/>
        <v>A</v>
      </c>
      <c r="E35" s="100" t="str">
        <f t="shared" si="0"/>
        <v>Mexico</v>
      </c>
      <c r="F35" s="138"/>
      <c r="G35" s="328" t="s">
        <v>536</v>
      </c>
      <c r="H35" s="137"/>
      <c r="I35" s="101" t="str">
        <f t="shared" si="1"/>
        <v>Korea Republic</v>
      </c>
      <c r="J35" s="101" t="str">
        <f>Stadium4</f>
        <v>Estadio Guadalajara</v>
      </c>
      <c r="K35" s="329" t="str">
        <f t="shared" si="3"/>
        <v>A</v>
      </c>
      <c r="L35" s="323" t="str">
        <f t="shared" si="4"/>
        <v/>
      </c>
      <c r="M35" s="324" t="str">
        <f t="shared" si="5"/>
        <v/>
      </c>
      <c r="N35" s="330">
        <f>Results!X30</f>
        <v>0.53832500000000005</v>
      </c>
      <c r="O35" s="330">
        <f>Results!Y30</f>
        <v>0.21335000000000004</v>
      </c>
      <c r="P35" s="330">
        <f>Results!Z30</f>
        <v>0.24832499999999996</v>
      </c>
      <c r="Z35" s="349"/>
      <c r="AD35" s="98"/>
      <c r="AE35" s="98"/>
      <c r="AF35" s="98"/>
      <c r="AG35" s="98"/>
      <c r="AH35" s="98"/>
    </row>
    <row r="36" spans="1:34" ht="14.25" customHeight="1" x14ac:dyDescent="0.2">
      <c r="A36" s="444" t="s">
        <v>572</v>
      </c>
      <c r="B36" s="325">
        <v>46192</v>
      </c>
      <c r="C36" s="326">
        <v>0.83333333333333337</v>
      </c>
      <c r="D36" s="327" t="str">
        <f t="shared" si="2"/>
        <v>D</v>
      </c>
      <c r="E36" s="100" t="str">
        <f t="shared" si="0"/>
        <v>USA</v>
      </c>
      <c r="F36" s="138"/>
      <c r="G36" s="328" t="s">
        <v>536</v>
      </c>
      <c r="H36" s="137"/>
      <c r="I36" s="101" t="str">
        <f t="shared" si="1"/>
        <v>Australia</v>
      </c>
      <c r="J36" s="101" t="str">
        <f>Stadium16</f>
        <v>Seattle Stadium</v>
      </c>
      <c r="K36" s="329" t="str">
        <f t="shared" si="3"/>
        <v>D</v>
      </c>
      <c r="L36" s="323" t="str">
        <f t="shared" si="4"/>
        <v/>
      </c>
      <c r="M36" s="324" t="str">
        <f t="shared" si="5"/>
        <v/>
      </c>
      <c r="N36" s="330">
        <f>Results!X31</f>
        <v>0.55561250000000006</v>
      </c>
      <c r="O36" s="330">
        <f>Results!Y31</f>
        <v>0.20877499999999993</v>
      </c>
      <c r="P36" s="330">
        <f>Results!Z31</f>
        <v>0.23561249999999995</v>
      </c>
      <c r="R36" s="331"/>
      <c r="S36" s="332" t="s">
        <v>315</v>
      </c>
      <c r="T36" s="333"/>
      <c r="U36" s="333"/>
      <c r="V36" s="333"/>
      <c r="W36" s="333"/>
      <c r="X36" s="333"/>
      <c r="Y36" s="333"/>
      <c r="Z36" s="334"/>
      <c r="AA36" s="335"/>
      <c r="AC36" s="336" t="str">
        <f>S36</f>
        <v>Group E</v>
      </c>
      <c r="AD36" s="337"/>
      <c r="AE36" s="337"/>
      <c r="AF36" s="337"/>
      <c r="AG36" s="337"/>
      <c r="AH36" s="338"/>
    </row>
    <row r="37" spans="1:34" ht="14.25" customHeight="1" x14ac:dyDescent="0.2">
      <c r="A37" s="444" t="s">
        <v>573</v>
      </c>
      <c r="B37" s="325">
        <v>46192</v>
      </c>
      <c r="C37" s="326">
        <v>0.95833333333333337</v>
      </c>
      <c r="D37" s="327" t="str">
        <f t="shared" si="2"/>
        <v>C</v>
      </c>
      <c r="E37" s="100" t="str">
        <f t="shared" si="0"/>
        <v>Scotland</v>
      </c>
      <c r="F37" s="138"/>
      <c r="G37" s="328" t="s">
        <v>536</v>
      </c>
      <c r="H37" s="137"/>
      <c r="I37" s="101" t="str">
        <f t="shared" si="1"/>
        <v>Morocco</v>
      </c>
      <c r="J37" s="101" t="str">
        <f>Stadium7</f>
        <v>Boston Stadium</v>
      </c>
      <c r="K37" s="329" t="str">
        <f t="shared" si="3"/>
        <v>C</v>
      </c>
      <c r="L37" s="323" t="str">
        <f t="shared" si="4"/>
        <v/>
      </c>
      <c r="M37" s="324" t="str">
        <f t="shared" si="5"/>
        <v/>
      </c>
      <c r="N37" s="330">
        <f>Results!X32</f>
        <v>0.18874656420000002</v>
      </c>
      <c r="O37" s="330">
        <f>Results!Y32</f>
        <v>0.18694687160000001</v>
      </c>
      <c r="P37" s="330">
        <f>Results!Z32</f>
        <v>0.62430656419999997</v>
      </c>
      <c r="R37" s="339" t="s">
        <v>325</v>
      </c>
      <c r="S37" s="340" t="s">
        <v>310</v>
      </c>
      <c r="T37" s="341" t="s">
        <v>311</v>
      </c>
      <c r="U37" s="341" t="s">
        <v>305</v>
      </c>
      <c r="V37" s="341" t="s">
        <v>15</v>
      </c>
      <c r="W37" s="341" t="s">
        <v>306</v>
      </c>
      <c r="X37" s="341" t="s">
        <v>307</v>
      </c>
      <c r="Y37" s="341" t="s">
        <v>16</v>
      </c>
      <c r="Z37" s="342" t="s">
        <v>308</v>
      </c>
      <c r="AA37" s="343" t="s">
        <v>566</v>
      </c>
      <c r="AC37" s="344" t="s">
        <v>310</v>
      </c>
      <c r="AD37" s="345" t="str">
        <f>LEFT($AC38,3)</f>
        <v>Ger</v>
      </c>
      <c r="AE37" s="345" t="str">
        <f>LEFT($AC39,3)</f>
        <v>Cot</v>
      </c>
      <c r="AF37" s="345" t="str">
        <f>LEFT($AC40,3)</f>
        <v>Ecu</v>
      </c>
      <c r="AG37" s="345" t="str">
        <f>LEFT($AC41,3)</f>
        <v>Cur</v>
      </c>
      <c r="AH37" s="346" t="s">
        <v>566</v>
      </c>
    </row>
    <row r="38" spans="1:34" ht="14.25" customHeight="1" x14ac:dyDescent="0.2">
      <c r="A38" s="444" t="s">
        <v>574</v>
      </c>
      <c r="B38" s="325">
        <v>46193</v>
      </c>
      <c r="C38" s="326">
        <v>6.25E-2</v>
      </c>
      <c r="D38" s="327" t="str">
        <f t="shared" si="2"/>
        <v>C</v>
      </c>
      <c r="E38" s="100" t="str">
        <f t="shared" si="0"/>
        <v>Brazil</v>
      </c>
      <c r="F38" s="138"/>
      <c r="G38" s="328" t="s">
        <v>536</v>
      </c>
      <c r="H38" s="137"/>
      <c r="I38" s="101" t="str">
        <f t="shared" si="1"/>
        <v>Haiti</v>
      </c>
      <c r="J38" s="101" t="str">
        <f>Stadium14</f>
        <v>Philadelphia Stadium</v>
      </c>
      <c r="K38" s="329" t="str">
        <f t="shared" si="3"/>
        <v>C</v>
      </c>
      <c r="L38" s="323" t="str">
        <f t="shared" si="4"/>
        <v/>
      </c>
      <c r="M38" s="324" t="str">
        <f t="shared" si="5"/>
        <v/>
      </c>
      <c r="N38" s="330">
        <f>Results!X33</f>
        <v>0.95347984445</v>
      </c>
      <c r="O38" s="330">
        <f>Results!Y33</f>
        <v>1.9700311099999923E-2</v>
      </c>
      <c r="P38" s="330">
        <f>Results!Z33</f>
        <v>2.6819844450000019E-2</v>
      </c>
      <c r="R38" s="347">
        <v>1</v>
      </c>
      <c r="S38" s="348" t="str">
        <f>GrpE!B$45</f>
        <v>Germany</v>
      </c>
      <c r="T38" s="98">
        <f>GrpE!C$45</f>
        <v>1</v>
      </c>
      <c r="U38" s="98">
        <f>GrpE!D$45</f>
        <v>1</v>
      </c>
      <c r="V38" s="98">
        <f>GrpE!E$45</f>
        <v>0</v>
      </c>
      <c r="W38" s="98">
        <f>GrpE!F$45</f>
        <v>0</v>
      </c>
      <c r="X38" s="98">
        <f>GrpE!G$45</f>
        <v>7</v>
      </c>
      <c r="Y38" s="98">
        <f>GrpE!H$45</f>
        <v>1</v>
      </c>
      <c r="Z38" s="349">
        <f>GrpE!I$45</f>
        <v>6</v>
      </c>
      <c r="AA38" s="350">
        <f>GrpE!J$45</f>
        <v>3</v>
      </c>
      <c r="AC38" s="351" t="str">
        <f>GrpE!K$45</f>
        <v>Germany</v>
      </c>
      <c r="AD38" s="352"/>
      <c r="AE38" s="353" t="str">
        <f>GrpE!M$45</f>
        <v>-</v>
      </c>
      <c r="AF38" s="353" t="str">
        <f>GrpE!N$45</f>
        <v>-</v>
      </c>
      <c r="AG38" s="353" t="str">
        <f>GrpE!O$45</f>
        <v>7-1</v>
      </c>
      <c r="AH38" s="354">
        <f>AA38</f>
        <v>3</v>
      </c>
    </row>
    <row r="39" spans="1:34" ht="14.25" customHeight="1" x14ac:dyDescent="0.2">
      <c r="A39" s="444" t="s">
        <v>575</v>
      </c>
      <c r="B39" s="325">
        <v>46193</v>
      </c>
      <c r="C39" s="326">
        <v>0.16666666666666666</v>
      </c>
      <c r="D39" s="327" t="str">
        <f t="shared" si="2"/>
        <v>D</v>
      </c>
      <c r="E39" s="100" t="str">
        <f t="shared" si="0"/>
        <v>Turkiye</v>
      </c>
      <c r="F39" s="138"/>
      <c r="G39" s="328" t="s">
        <v>536</v>
      </c>
      <c r="H39" s="137"/>
      <c r="I39" s="101" t="str">
        <f t="shared" si="1"/>
        <v>Paraguay</v>
      </c>
      <c r="J39" s="101" t="str">
        <f>Stadium15</f>
        <v>San Franciso Bay Stadium</v>
      </c>
      <c r="K39" s="329" t="str">
        <f t="shared" si="3"/>
        <v>D</v>
      </c>
      <c r="L39" s="323" t="str">
        <f t="shared" si="4"/>
        <v/>
      </c>
      <c r="M39" s="324" t="str">
        <f t="shared" si="5"/>
        <v/>
      </c>
      <c r="N39" s="330">
        <f>Results!X34</f>
        <v>0.47006953125000001</v>
      </c>
      <c r="O39" s="330">
        <f>Results!Y34</f>
        <v>0.22736093750000003</v>
      </c>
      <c r="P39" s="330">
        <f>Results!Z34</f>
        <v>0.30256953124999997</v>
      </c>
      <c r="R39" s="347">
        <v>2</v>
      </c>
      <c r="S39" s="348" t="str">
        <f>GrpE!B$46</f>
        <v>Cote d'Ivorie</v>
      </c>
      <c r="T39" s="98">
        <f>GrpE!C$46</f>
        <v>1</v>
      </c>
      <c r="U39" s="98">
        <f>GrpE!D$46</f>
        <v>1</v>
      </c>
      <c r="V39" s="98">
        <f>GrpE!E$46</f>
        <v>0</v>
      </c>
      <c r="W39" s="98">
        <f>GrpE!F$46</f>
        <v>0</v>
      </c>
      <c r="X39" s="98">
        <f>GrpE!G$46</f>
        <v>1</v>
      </c>
      <c r="Y39" s="98">
        <f>GrpE!H$46</f>
        <v>0</v>
      </c>
      <c r="Z39" s="349">
        <f>GrpE!I$46</f>
        <v>1</v>
      </c>
      <c r="AA39" s="350">
        <f>GrpE!J$46</f>
        <v>3</v>
      </c>
      <c r="AC39" s="351" t="str">
        <f>GrpE!K$46</f>
        <v>Cote d'Ivorie</v>
      </c>
      <c r="AD39" s="353" t="str">
        <f>GrpE!L$46</f>
        <v>-</v>
      </c>
      <c r="AE39" s="352"/>
      <c r="AF39" s="353" t="str">
        <f>GrpE!N$46</f>
        <v>1-0</v>
      </c>
      <c r="AG39" s="353" t="str">
        <f>GrpE!O$46</f>
        <v>-</v>
      </c>
      <c r="AH39" s="354">
        <f>AA39</f>
        <v>3</v>
      </c>
    </row>
    <row r="40" spans="1:34" ht="14.25" customHeight="1" x14ac:dyDescent="0.2">
      <c r="A40" s="444" t="s">
        <v>576</v>
      </c>
      <c r="B40" s="325">
        <v>46193</v>
      </c>
      <c r="C40" s="326">
        <v>0.75</v>
      </c>
      <c r="D40" s="327" t="str">
        <f t="shared" si="2"/>
        <v>F</v>
      </c>
      <c r="E40" s="100" t="str">
        <f t="shared" ref="E40:E71" si="6">VLOOKUP(LEFT(A40,2),Lookup08,2)</f>
        <v>Netherlands</v>
      </c>
      <c r="F40" s="138"/>
      <c r="G40" s="328" t="s">
        <v>536</v>
      </c>
      <c r="H40" s="137"/>
      <c r="I40" s="101" t="str">
        <f t="shared" ref="I40:I71" si="7">VLOOKUP(RIGHT(A40,2),Lookup08,2)</f>
        <v>Sweden</v>
      </c>
      <c r="J40" s="101" t="str">
        <f>Stadium9</f>
        <v>Houston Stadium</v>
      </c>
      <c r="K40" s="329" t="str">
        <f t="shared" si="3"/>
        <v>F</v>
      </c>
      <c r="L40" s="323" t="str">
        <f t="shared" si="4"/>
        <v/>
      </c>
      <c r="M40" s="324" t="str">
        <f t="shared" si="5"/>
        <v/>
      </c>
      <c r="N40" s="330">
        <f>Results!X35</f>
        <v>0.63926249999999996</v>
      </c>
      <c r="O40" s="330">
        <f>Results!Y35</f>
        <v>0.18147499999999994</v>
      </c>
      <c r="P40" s="330">
        <f>Results!Z35</f>
        <v>0.17926250000000005</v>
      </c>
      <c r="R40" s="347">
        <v>3</v>
      </c>
      <c r="S40" s="348" t="str">
        <f>GrpE!B$47</f>
        <v>Ecuador</v>
      </c>
      <c r="T40" s="98">
        <f>GrpE!C$47</f>
        <v>1</v>
      </c>
      <c r="U40" s="98">
        <f>GrpE!D$47</f>
        <v>0</v>
      </c>
      <c r="V40" s="98">
        <f>GrpE!E$47</f>
        <v>0</v>
      </c>
      <c r="W40" s="98">
        <f>GrpE!F$47</f>
        <v>1</v>
      </c>
      <c r="X40" s="98">
        <f>GrpE!G$47</f>
        <v>0</v>
      </c>
      <c r="Y40" s="98">
        <f>GrpE!H$47</f>
        <v>1</v>
      </c>
      <c r="Z40" s="349">
        <f>GrpE!I$47</f>
        <v>-1</v>
      </c>
      <c r="AA40" s="350">
        <f>GrpE!J$47</f>
        <v>0</v>
      </c>
      <c r="AC40" s="351" t="str">
        <f>GrpE!K$47</f>
        <v>Ecuador</v>
      </c>
      <c r="AD40" s="353" t="str">
        <f>GrpE!L$47</f>
        <v>-</v>
      </c>
      <c r="AE40" s="353" t="str">
        <f>GrpE!M$47</f>
        <v>0-1</v>
      </c>
      <c r="AF40" s="352"/>
      <c r="AG40" s="353" t="str">
        <f>GrpE!O$47</f>
        <v>-</v>
      </c>
      <c r="AH40" s="354">
        <f>AA40</f>
        <v>0</v>
      </c>
    </row>
    <row r="41" spans="1:34" ht="14.25" customHeight="1" x14ac:dyDescent="0.2">
      <c r="A41" s="444" t="s">
        <v>577</v>
      </c>
      <c r="B41" s="325">
        <v>46193</v>
      </c>
      <c r="C41" s="326">
        <v>0.875</v>
      </c>
      <c r="D41" s="327" t="str">
        <f t="shared" si="2"/>
        <v>E</v>
      </c>
      <c r="E41" s="100" t="str">
        <f t="shared" si="6"/>
        <v>Germany</v>
      </c>
      <c r="F41" s="138"/>
      <c r="G41" s="328" t="s">
        <v>536</v>
      </c>
      <c r="H41" s="137"/>
      <c r="I41" s="101" t="str">
        <f t="shared" si="7"/>
        <v>Cote d'Ivorie</v>
      </c>
      <c r="J41" s="101" t="str">
        <f>Stadium1</f>
        <v>Toronto Stadium</v>
      </c>
      <c r="K41" s="329" t="str">
        <f t="shared" si="3"/>
        <v>E</v>
      </c>
      <c r="L41" s="323" t="str">
        <f t="shared" si="4"/>
        <v/>
      </c>
      <c r="M41" s="324" t="str">
        <f t="shared" si="5"/>
        <v/>
      </c>
      <c r="N41" s="330">
        <f>Results!X36</f>
        <v>0.79294234445</v>
      </c>
      <c r="O41" s="330">
        <f>Results!Y36</f>
        <v>0.11245531110000007</v>
      </c>
      <c r="P41" s="330">
        <f>Results!Z36</f>
        <v>9.4602344449999987E-2</v>
      </c>
      <c r="R41" s="347">
        <v>4</v>
      </c>
      <c r="S41" s="355" t="str">
        <f>GrpE!B$48</f>
        <v>Curaçao</v>
      </c>
      <c r="T41" s="356">
        <f>GrpE!C$48</f>
        <v>1</v>
      </c>
      <c r="U41" s="356">
        <f>GrpE!D$48</f>
        <v>0</v>
      </c>
      <c r="V41" s="356">
        <f>GrpE!E$48</f>
        <v>0</v>
      </c>
      <c r="W41" s="356">
        <f>GrpE!F$48</f>
        <v>1</v>
      </c>
      <c r="X41" s="356">
        <f>GrpE!G$48</f>
        <v>1</v>
      </c>
      <c r="Y41" s="356">
        <f>GrpE!H$48</f>
        <v>7</v>
      </c>
      <c r="Z41" s="357">
        <f>GrpE!I$48</f>
        <v>-6</v>
      </c>
      <c r="AA41" s="358">
        <f>GrpE!J$48</f>
        <v>0</v>
      </c>
      <c r="AC41" s="359" t="str">
        <f>GrpE!K$48</f>
        <v>Curaçao</v>
      </c>
      <c r="AD41" s="360" t="str">
        <f>GrpE!L$48</f>
        <v>1-7</v>
      </c>
      <c r="AE41" s="360" t="str">
        <f>GrpE!M$48</f>
        <v>-</v>
      </c>
      <c r="AF41" s="360" t="str">
        <f>GrpE!N$48</f>
        <v>-</v>
      </c>
      <c r="AG41" s="361"/>
      <c r="AH41" s="362">
        <f>AA41</f>
        <v>0</v>
      </c>
    </row>
    <row r="42" spans="1:34" ht="14.25" customHeight="1" x14ac:dyDescent="0.2">
      <c r="A42" s="444" t="s">
        <v>578</v>
      </c>
      <c r="B42" s="325">
        <v>46194</v>
      </c>
      <c r="C42" s="326">
        <v>4.1666666666666664E-2</v>
      </c>
      <c r="D42" s="327" t="str">
        <f t="shared" si="2"/>
        <v>E</v>
      </c>
      <c r="E42" s="100" t="str">
        <f t="shared" si="6"/>
        <v>Ecuador</v>
      </c>
      <c r="F42" s="138"/>
      <c r="G42" s="328" t="s">
        <v>536</v>
      </c>
      <c r="H42" s="137"/>
      <c r="I42" s="101" t="str">
        <f t="shared" si="7"/>
        <v>Curaçao</v>
      </c>
      <c r="J42" s="101" t="str">
        <f>Stadium10</f>
        <v>Kansas City Stadium</v>
      </c>
      <c r="K42" s="329" t="str">
        <f t="shared" si="3"/>
        <v>E</v>
      </c>
      <c r="L42" s="323" t="str">
        <f t="shared" si="4"/>
        <v/>
      </c>
      <c r="M42" s="324" t="str">
        <f t="shared" si="5"/>
        <v/>
      </c>
      <c r="N42" s="330">
        <f>Results!X37</f>
        <v>0.79744062500000001</v>
      </c>
      <c r="O42" s="330">
        <f>Results!Y37</f>
        <v>0.11011874999999993</v>
      </c>
      <c r="P42" s="330">
        <f>Results!Z37</f>
        <v>9.2440625000000012E-2</v>
      </c>
      <c r="Z42" s="349"/>
      <c r="AB42" s="97" t="s">
        <v>327</v>
      </c>
      <c r="AD42" s="98"/>
      <c r="AE42" s="98"/>
      <c r="AF42" s="98"/>
      <c r="AG42" s="98"/>
      <c r="AH42" s="98"/>
    </row>
    <row r="43" spans="1:34" ht="14.25" customHeight="1" x14ac:dyDescent="0.2">
      <c r="A43" s="444" t="s">
        <v>579</v>
      </c>
      <c r="B43" s="325">
        <v>46194</v>
      </c>
      <c r="C43" s="326">
        <v>0.20833333333333334</v>
      </c>
      <c r="D43" s="327" t="str">
        <f t="shared" si="2"/>
        <v>F</v>
      </c>
      <c r="E43" s="100" t="str">
        <f t="shared" si="6"/>
        <v>Tunisia</v>
      </c>
      <c r="F43" s="138"/>
      <c r="G43" s="328" t="s">
        <v>536</v>
      </c>
      <c r="H43" s="137"/>
      <c r="I43" s="101" t="str">
        <f t="shared" si="7"/>
        <v>Japan</v>
      </c>
      <c r="J43" s="101" t="str">
        <f>Stadium5</f>
        <v>Estadio Monterrey</v>
      </c>
      <c r="K43" s="329" t="str">
        <f t="shared" si="3"/>
        <v>F</v>
      </c>
      <c r="L43" s="323" t="str">
        <f t="shared" si="4"/>
        <v/>
      </c>
      <c r="M43" s="324" t="str">
        <f t="shared" si="5"/>
        <v/>
      </c>
      <c r="N43" s="330">
        <f>Results!X38</f>
        <v>0.18603828124999999</v>
      </c>
      <c r="O43" s="330">
        <f>Results!Y38</f>
        <v>0.18542343750000001</v>
      </c>
      <c r="P43" s="330">
        <f>Results!Z38</f>
        <v>0.62853828125</v>
      </c>
      <c r="R43" s="331"/>
      <c r="S43" s="332" t="s">
        <v>316</v>
      </c>
      <c r="T43" s="333"/>
      <c r="U43" s="333"/>
      <c r="V43" s="333"/>
      <c r="W43" s="333"/>
      <c r="X43" s="333"/>
      <c r="Y43" s="333"/>
      <c r="Z43" s="334"/>
      <c r="AA43" s="335"/>
      <c r="AC43" s="336" t="str">
        <f>S43</f>
        <v>Group F</v>
      </c>
      <c r="AD43" s="337"/>
      <c r="AE43" s="337"/>
      <c r="AF43" s="337"/>
      <c r="AG43" s="337"/>
      <c r="AH43" s="338"/>
    </row>
    <row r="44" spans="1:34" ht="14.25" customHeight="1" x14ac:dyDescent="0.2">
      <c r="A44" s="444" t="s">
        <v>580</v>
      </c>
      <c r="B44" s="325">
        <v>46194</v>
      </c>
      <c r="C44" s="326">
        <v>0.70833333333333337</v>
      </c>
      <c r="D44" s="327" t="str">
        <f t="shared" si="2"/>
        <v>H</v>
      </c>
      <c r="E44" s="100" t="str">
        <f t="shared" si="6"/>
        <v>Spain</v>
      </c>
      <c r="F44" s="138"/>
      <c r="G44" s="328" t="s">
        <v>536</v>
      </c>
      <c r="H44" s="137"/>
      <c r="I44" s="101" t="str">
        <f t="shared" si="7"/>
        <v>Saudi Arabia</v>
      </c>
      <c r="J44" s="101" t="str">
        <f>Stadium6</f>
        <v>Atlanta Stadium</v>
      </c>
      <c r="K44" s="329" t="str">
        <f t="shared" si="3"/>
        <v>H</v>
      </c>
      <c r="L44" s="323" t="str">
        <f t="shared" si="4"/>
        <v/>
      </c>
      <c r="M44" s="324" t="str">
        <f t="shared" si="5"/>
        <v/>
      </c>
      <c r="N44" s="330">
        <f>Results!X39</f>
        <v>0.88767826124999993</v>
      </c>
      <c r="O44" s="330">
        <f>Results!Y39</f>
        <v>5.9943477500000064E-2</v>
      </c>
      <c r="P44" s="330">
        <f>Results!Z39</f>
        <v>5.237826125000003E-2</v>
      </c>
      <c r="R44" s="339" t="s">
        <v>325</v>
      </c>
      <c r="S44" s="340" t="s">
        <v>310</v>
      </c>
      <c r="T44" s="341" t="s">
        <v>311</v>
      </c>
      <c r="U44" s="341" t="s">
        <v>305</v>
      </c>
      <c r="V44" s="341" t="s">
        <v>15</v>
      </c>
      <c r="W44" s="341" t="s">
        <v>306</v>
      </c>
      <c r="X44" s="341" t="s">
        <v>307</v>
      </c>
      <c r="Y44" s="341" t="s">
        <v>16</v>
      </c>
      <c r="Z44" s="342" t="s">
        <v>308</v>
      </c>
      <c r="AA44" s="343" t="s">
        <v>566</v>
      </c>
      <c r="AC44" s="344" t="s">
        <v>310</v>
      </c>
      <c r="AD44" s="345" t="str">
        <f>LEFT($AC45,3)</f>
        <v>Swe</v>
      </c>
      <c r="AE44" s="345" t="str">
        <f>LEFT($AC46,3)</f>
        <v>Jap</v>
      </c>
      <c r="AF44" s="345" t="str">
        <f>LEFT($AC47,3)</f>
        <v>Net</v>
      </c>
      <c r="AG44" s="345" t="str">
        <f>LEFT($AC48,3)</f>
        <v>Tun</v>
      </c>
      <c r="AH44" s="346" t="s">
        <v>566</v>
      </c>
    </row>
    <row r="45" spans="1:34" ht="14.25" customHeight="1" x14ac:dyDescent="0.2">
      <c r="A45" s="444" t="s">
        <v>581</v>
      </c>
      <c r="B45" s="325">
        <v>46194</v>
      </c>
      <c r="C45" s="326">
        <v>0.83333333333333337</v>
      </c>
      <c r="D45" s="327" t="str">
        <f t="shared" si="2"/>
        <v>G</v>
      </c>
      <c r="E45" s="100" t="str">
        <f t="shared" si="6"/>
        <v>Belgium</v>
      </c>
      <c r="F45" s="138"/>
      <c r="G45" s="328" t="s">
        <v>536</v>
      </c>
      <c r="H45" s="137"/>
      <c r="I45" s="101" t="str">
        <f t="shared" si="7"/>
        <v>IR Iran</v>
      </c>
      <c r="J45" s="101" t="str">
        <f>Stadium11</f>
        <v>Los Angeles Stadium</v>
      </c>
      <c r="K45" s="329" t="str">
        <f t="shared" si="3"/>
        <v>G</v>
      </c>
      <c r="L45" s="323" t="str">
        <f t="shared" si="4"/>
        <v/>
      </c>
      <c r="M45" s="324" t="str">
        <f t="shared" si="5"/>
        <v/>
      </c>
      <c r="N45" s="330">
        <f>Results!X40</f>
        <v>0.63465703124999995</v>
      </c>
      <c r="O45" s="330">
        <f>Results!Y40</f>
        <v>0.18318593750000001</v>
      </c>
      <c r="P45" s="330">
        <f>Results!Z40</f>
        <v>0.18215703125000005</v>
      </c>
      <c r="R45" s="347">
        <v>1</v>
      </c>
      <c r="S45" s="348" t="str">
        <f>GrpF!B$45</f>
        <v>Sweden</v>
      </c>
      <c r="T45" s="98">
        <f>GrpF!C$45</f>
        <v>1</v>
      </c>
      <c r="U45" s="98">
        <f>GrpF!D$45</f>
        <v>1</v>
      </c>
      <c r="V45" s="98">
        <f>GrpF!E$45</f>
        <v>0</v>
      </c>
      <c r="W45" s="98">
        <f>GrpF!F$45</f>
        <v>0</v>
      </c>
      <c r="X45" s="98">
        <f>GrpF!G$45</f>
        <v>5</v>
      </c>
      <c r="Y45" s="98">
        <f>GrpF!H$45</f>
        <v>1</v>
      </c>
      <c r="Z45" s="349">
        <f>GrpF!I$45</f>
        <v>4</v>
      </c>
      <c r="AA45" s="350">
        <f>GrpF!J$45</f>
        <v>3</v>
      </c>
      <c r="AC45" s="351" t="str">
        <f>GrpF!K$45</f>
        <v>Sweden</v>
      </c>
      <c r="AD45" s="352"/>
      <c r="AE45" s="353" t="str">
        <f>GrpF!M$45</f>
        <v>-</v>
      </c>
      <c r="AF45" s="353" t="str">
        <f>GrpF!N$45</f>
        <v>-</v>
      </c>
      <c r="AG45" s="353" t="str">
        <f>GrpF!O$45</f>
        <v>5-1</v>
      </c>
      <c r="AH45" s="354">
        <f>AA45</f>
        <v>3</v>
      </c>
    </row>
    <row r="46" spans="1:34" ht="14.25" customHeight="1" x14ac:dyDescent="0.2">
      <c r="A46" s="444" t="s">
        <v>582</v>
      </c>
      <c r="B46" s="325">
        <v>46194</v>
      </c>
      <c r="C46" s="326">
        <v>0.95833333333333337</v>
      </c>
      <c r="D46" s="327" t="str">
        <f t="shared" si="2"/>
        <v>H</v>
      </c>
      <c r="E46" s="100" t="str">
        <f t="shared" si="6"/>
        <v>Uruguay</v>
      </c>
      <c r="F46" s="138"/>
      <c r="G46" s="328" t="s">
        <v>536</v>
      </c>
      <c r="H46" s="137"/>
      <c r="I46" s="101" t="str">
        <f t="shared" si="7"/>
        <v>Cabo Verde</v>
      </c>
      <c r="J46" s="101" t="str">
        <f>Stadium12</f>
        <v>Miami Stadium</v>
      </c>
      <c r="K46" s="329" t="str">
        <f t="shared" si="3"/>
        <v>H</v>
      </c>
      <c r="L46" s="323" t="str">
        <f t="shared" si="4"/>
        <v/>
      </c>
      <c r="M46" s="324" t="str">
        <f t="shared" si="5"/>
        <v/>
      </c>
      <c r="N46" s="330">
        <f>Results!X41</f>
        <v>0.79294234445</v>
      </c>
      <c r="O46" s="330">
        <f>Results!Y41</f>
        <v>0.11245531110000007</v>
      </c>
      <c r="P46" s="330">
        <f>Results!Z41</f>
        <v>9.4602344449999987E-2</v>
      </c>
      <c r="R46" s="347">
        <v>2</v>
      </c>
      <c r="S46" s="348" t="str">
        <f>GrpF!B$46</f>
        <v>Japan</v>
      </c>
      <c r="T46" s="98">
        <f>GrpF!C$46</f>
        <v>1</v>
      </c>
      <c r="U46" s="98">
        <f>GrpF!D$46</f>
        <v>0</v>
      </c>
      <c r="V46" s="98">
        <f>GrpF!E$46</f>
        <v>1</v>
      </c>
      <c r="W46" s="98">
        <f>GrpF!F$46</f>
        <v>0</v>
      </c>
      <c r="X46" s="98">
        <f>GrpF!G$46</f>
        <v>2</v>
      </c>
      <c r="Y46" s="98">
        <f>GrpF!H$46</f>
        <v>2</v>
      </c>
      <c r="Z46" s="349">
        <f>GrpF!I$46</f>
        <v>0</v>
      </c>
      <c r="AA46" s="350">
        <f>GrpF!J$46</f>
        <v>1</v>
      </c>
      <c r="AC46" s="351" t="str">
        <f>GrpF!K$46</f>
        <v>Japan</v>
      </c>
      <c r="AD46" s="353" t="str">
        <f>GrpF!L$46</f>
        <v>-</v>
      </c>
      <c r="AE46" s="352"/>
      <c r="AF46" s="353" t="str">
        <f>GrpF!N$46</f>
        <v>2-2</v>
      </c>
      <c r="AG46" s="353" t="str">
        <f>GrpF!O$46</f>
        <v>-</v>
      </c>
      <c r="AH46" s="354">
        <f>AA46</f>
        <v>1</v>
      </c>
    </row>
    <row r="47" spans="1:34" ht="14.25" customHeight="1" x14ac:dyDescent="0.2">
      <c r="A47" s="444" t="s">
        <v>583</v>
      </c>
      <c r="B47" s="325">
        <v>46195</v>
      </c>
      <c r="C47" s="326">
        <v>8.3333333333333329E-2</v>
      </c>
      <c r="D47" s="327" t="str">
        <f t="shared" si="2"/>
        <v>G</v>
      </c>
      <c r="E47" s="100" t="str">
        <f t="shared" si="6"/>
        <v>New Zealand</v>
      </c>
      <c r="F47" s="138"/>
      <c r="G47" s="328" t="s">
        <v>536</v>
      </c>
      <c r="H47" s="137"/>
      <c r="I47" s="101" t="str">
        <f t="shared" si="7"/>
        <v>Egypt</v>
      </c>
      <c r="J47" s="101" t="str">
        <f>Stadium2</f>
        <v>BC Place Vancouver</v>
      </c>
      <c r="K47" s="329" t="str">
        <f t="shared" si="3"/>
        <v>G</v>
      </c>
      <c r="L47" s="323" t="str">
        <f t="shared" si="4"/>
        <v/>
      </c>
      <c r="M47" s="324" t="str">
        <f t="shared" si="5"/>
        <v/>
      </c>
      <c r="N47" s="330">
        <f>Results!X42</f>
        <v>9.7868994449999996E-2</v>
      </c>
      <c r="O47" s="330">
        <f>Results!Y42</f>
        <v>0.11592201109999997</v>
      </c>
      <c r="P47" s="330">
        <f>Results!Z42</f>
        <v>0.78620899445000003</v>
      </c>
      <c r="R47" s="347">
        <v>3</v>
      </c>
      <c r="S47" s="348" t="str">
        <f>GrpF!B$47</f>
        <v>Netherlands</v>
      </c>
      <c r="T47" s="98">
        <f>GrpF!C$47</f>
        <v>1</v>
      </c>
      <c r="U47" s="98">
        <f>GrpF!D$47</f>
        <v>0</v>
      </c>
      <c r="V47" s="98">
        <f>GrpF!E$47</f>
        <v>1</v>
      </c>
      <c r="W47" s="98">
        <f>GrpF!F$47</f>
        <v>0</v>
      </c>
      <c r="X47" s="98">
        <f>GrpF!G$47</f>
        <v>2</v>
      </c>
      <c r="Y47" s="98">
        <f>GrpF!H$47</f>
        <v>2</v>
      </c>
      <c r="Z47" s="349">
        <f>GrpF!I$47</f>
        <v>0</v>
      </c>
      <c r="AA47" s="350">
        <f>GrpF!J$47</f>
        <v>1</v>
      </c>
      <c r="AC47" s="351" t="str">
        <f>GrpF!K$47</f>
        <v>Netherlands</v>
      </c>
      <c r="AD47" s="353" t="str">
        <f>GrpF!L$47</f>
        <v>-</v>
      </c>
      <c r="AE47" s="353" t="str">
        <f>GrpF!M$47</f>
        <v>2-2</v>
      </c>
      <c r="AF47" s="352"/>
      <c r="AG47" s="353" t="str">
        <f>GrpF!O$47</f>
        <v>-</v>
      </c>
      <c r="AH47" s="354">
        <f>AA47</f>
        <v>1</v>
      </c>
    </row>
    <row r="48" spans="1:34" ht="14.25" customHeight="1" x14ac:dyDescent="0.2">
      <c r="A48" s="444" t="s">
        <v>584</v>
      </c>
      <c r="B48" s="325">
        <v>46195</v>
      </c>
      <c r="C48" s="326">
        <v>0.75</v>
      </c>
      <c r="D48" s="327" t="str">
        <f t="shared" si="2"/>
        <v>J</v>
      </c>
      <c r="E48" s="100" t="str">
        <f t="shared" si="6"/>
        <v>Argentina</v>
      </c>
      <c r="F48" s="138"/>
      <c r="G48" s="328" t="s">
        <v>536</v>
      </c>
      <c r="H48" s="137"/>
      <c r="I48" s="101" t="str">
        <f t="shared" si="7"/>
        <v>Austria</v>
      </c>
      <c r="J48" s="101" t="str">
        <f>Stadium8</f>
        <v>Dallas Stadium</v>
      </c>
      <c r="K48" s="329" t="str">
        <f t="shared" si="3"/>
        <v>J</v>
      </c>
      <c r="L48" s="323" t="str">
        <f t="shared" si="4"/>
        <v/>
      </c>
      <c r="M48" s="324" t="str">
        <f t="shared" si="5"/>
        <v/>
      </c>
      <c r="N48" s="330">
        <f>Results!X43</f>
        <v>0.65852235680000004</v>
      </c>
      <c r="O48" s="330">
        <f>Results!Y43</f>
        <v>0.17407528640000003</v>
      </c>
      <c r="P48" s="330">
        <f>Results!Z43</f>
        <v>0.16740235679999996</v>
      </c>
      <c r="R48" s="347">
        <v>4</v>
      </c>
      <c r="S48" s="355" t="str">
        <f>GrpF!B$48</f>
        <v>Tunisia</v>
      </c>
      <c r="T48" s="356">
        <f>GrpF!C$48</f>
        <v>1</v>
      </c>
      <c r="U48" s="356">
        <f>GrpF!D$48</f>
        <v>0</v>
      </c>
      <c r="V48" s="356">
        <f>GrpF!E$48</f>
        <v>0</v>
      </c>
      <c r="W48" s="356">
        <f>GrpF!F$48</f>
        <v>1</v>
      </c>
      <c r="X48" s="356">
        <f>GrpF!G$48</f>
        <v>1</v>
      </c>
      <c r="Y48" s="356">
        <f>GrpF!H$48</f>
        <v>5</v>
      </c>
      <c r="Z48" s="357">
        <f>GrpF!I$48</f>
        <v>-4</v>
      </c>
      <c r="AA48" s="358">
        <f>GrpF!J$48</f>
        <v>0</v>
      </c>
      <c r="AC48" s="359" t="str">
        <f>GrpF!K$48</f>
        <v>Tunisia</v>
      </c>
      <c r="AD48" s="360" t="str">
        <f>GrpF!L$48</f>
        <v>1-5</v>
      </c>
      <c r="AE48" s="360" t="str">
        <f>GrpF!M$48</f>
        <v>-</v>
      </c>
      <c r="AF48" s="360" t="str">
        <f>GrpF!N$48</f>
        <v>-</v>
      </c>
      <c r="AG48" s="361"/>
      <c r="AH48" s="362">
        <f>AA48</f>
        <v>0</v>
      </c>
    </row>
    <row r="49" spans="1:34" ht="14.25" customHeight="1" x14ac:dyDescent="0.2">
      <c r="A49" s="444" t="s">
        <v>585</v>
      </c>
      <c r="B49" s="325">
        <v>46195</v>
      </c>
      <c r="C49" s="326">
        <v>0.91666666666666663</v>
      </c>
      <c r="D49" s="327" t="str">
        <f t="shared" si="2"/>
        <v>I</v>
      </c>
      <c r="E49" s="100" t="str">
        <f t="shared" si="6"/>
        <v>France</v>
      </c>
      <c r="F49" s="138"/>
      <c r="G49" s="328" t="s">
        <v>536</v>
      </c>
      <c r="H49" s="137"/>
      <c r="I49" s="101" t="str">
        <f t="shared" si="7"/>
        <v>Iraq</v>
      </c>
      <c r="J49" s="101" t="str">
        <f>Stadium14</f>
        <v>Philadelphia Stadium</v>
      </c>
      <c r="K49" s="329" t="str">
        <f t="shared" si="3"/>
        <v>I</v>
      </c>
      <c r="L49" s="323" t="str">
        <f t="shared" si="4"/>
        <v/>
      </c>
      <c r="M49" s="324" t="str">
        <f t="shared" si="5"/>
        <v/>
      </c>
      <c r="N49" s="330">
        <f>Results!X44</f>
        <v>0.87519939619999998</v>
      </c>
      <c r="O49" s="330">
        <f>Results!Y44</f>
        <v>6.7241207599999964E-2</v>
      </c>
      <c r="P49" s="330">
        <f>Results!Z44</f>
        <v>5.7559396200000001E-2</v>
      </c>
      <c r="Z49" s="349"/>
      <c r="AD49" s="98"/>
      <c r="AE49" s="98"/>
      <c r="AF49" s="98"/>
      <c r="AG49" s="98"/>
      <c r="AH49" s="98"/>
    </row>
    <row r="50" spans="1:34" ht="14.25" customHeight="1" x14ac:dyDescent="0.2">
      <c r="A50" s="444" t="s">
        <v>586</v>
      </c>
      <c r="B50" s="325">
        <v>46196</v>
      </c>
      <c r="C50" s="326">
        <v>4.1666666666666664E-2</v>
      </c>
      <c r="D50" s="327" t="str">
        <f t="shared" si="2"/>
        <v>I</v>
      </c>
      <c r="E50" s="100" t="str">
        <f t="shared" si="6"/>
        <v>Norway</v>
      </c>
      <c r="F50" s="138"/>
      <c r="G50" s="328" t="s">
        <v>536</v>
      </c>
      <c r="H50" s="137"/>
      <c r="I50" s="101" t="str">
        <f t="shared" si="7"/>
        <v>Senegal</v>
      </c>
      <c r="J50" s="101" t="str">
        <f>Stadium13</f>
        <v>MetLife Stadium</v>
      </c>
      <c r="K50" s="329" t="str">
        <f t="shared" si="3"/>
        <v>I</v>
      </c>
      <c r="L50" s="323" t="str">
        <f t="shared" si="4"/>
        <v/>
      </c>
      <c r="M50" s="324" t="str">
        <f t="shared" si="5"/>
        <v/>
      </c>
      <c r="N50" s="330">
        <f>Results!X45</f>
        <v>0.35604078979999998</v>
      </c>
      <c r="O50" s="330">
        <f>Results!Y45</f>
        <v>0.23363842039999994</v>
      </c>
      <c r="P50" s="330">
        <f>Results!Z45</f>
        <v>0.41032078980000003</v>
      </c>
      <c r="R50" s="331"/>
      <c r="S50" s="332" t="s">
        <v>317</v>
      </c>
      <c r="T50" s="333"/>
      <c r="U50" s="333"/>
      <c r="V50" s="333"/>
      <c r="W50" s="333"/>
      <c r="X50" s="333"/>
      <c r="Y50" s="333"/>
      <c r="Z50" s="334"/>
      <c r="AA50" s="335"/>
      <c r="AC50" s="336" t="str">
        <f>S50</f>
        <v>Group G</v>
      </c>
      <c r="AD50" s="337"/>
      <c r="AE50" s="337"/>
      <c r="AF50" s="337"/>
      <c r="AG50" s="337"/>
      <c r="AH50" s="338"/>
    </row>
    <row r="51" spans="1:34" ht="14.25" customHeight="1" x14ac:dyDescent="0.2">
      <c r="A51" s="444" t="s">
        <v>587</v>
      </c>
      <c r="B51" s="325">
        <v>46196</v>
      </c>
      <c r="C51" s="326">
        <v>0.16666666666666666</v>
      </c>
      <c r="D51" s="327" t="str">
        <f t="shared" si="2"/>
        <v>J</v>
      </c>
      <c r="E51" s="100" t="str">
        <f t="shared" si="6"/>
        <v>Jordan</v>
      </c>
      <c r="F51" s="138"/>
      <c r="G51" s="328" t="s">
        <v>536</v>
      </c>
      <c r="H51" s="137"/>
      <c r="I51" s="101" t="str">
        <f t="shared" si="7"/>
        <v>Algeria</v>
      </c>
      <c r="J51" s="101" t="str">
        <f>Stadium15</f>
        <v>San Franciso Bay Stadium</v>
      </c>
      <c r="K51" s="329" t="str">
        <f t="shared" si="3"/>
        <v>J</v>
      </c>
      <c r="L51" s="323" t="str">
        <f t="shared" si="4"/>
        <v/>
      </c>
      <c r="M51" s="324" t="str">
        <f t="shared" si="5"/>
        <v/>
      </c>
      <c r="N51" s="330">
        <f>Results!X46</f>
        <v>0.1533367568</v>
      </c>
      <c r="O51" s="330">
        <f>Results!Y46</f>
        <v>0.16444648640000006</v>
      </c>
      <c r="P51" s="330">
        <f>Results!Z46</f>
        <v>0.68221675679999993</v>
      </c>
      <c r="R51" s="339" t="s">
        <v>325</v>
      </c>
      <c r="S51" s="340" t="s">
        <v>310</v>
      </c>
      <c r="T51" s="341" t="s">
        <v>311</v>
      </c>
      <c r="U51" s="341" t="s">
        <v>305</v>
      </c>
      <c r="V51" s="341" t="s">
        <v>15</v>
      </c>
      <c r="W51" s="341" t="s">
        <v>306</v>
      </c>
      <c r="X51" s="341" t="s">
        <v>307</v>
      </c>
      <c r="Y51" s="341" t="s">
        <v>16</v>
      </c>
      <c r="Z51" s="342" t="s">
        <v>308</v>
      </c>
      <c r="AA51" s="343" t="s">
        <v>566</v>
      </c>
      <c r="AC51" s="344" t="s">
        <v>310</v>
      </c>
      <c r="AD51" s="345" t="str">
        <f>LEFT($AC52,3)</f>
        <v>New</v>
      </c>
      <c r="AE51" s="345" t="str">
        <f>LEFT($AC53,3)</f>
        <v xml:space="preserve">IR </v>
      </c>
      <c r="AF51" s="345" t="str">
        <f>LEFT($AC54,3)</f>
        <v>Bel</v>
      </c>
      <c r="AG51" s="345" t="str">
        <f>LEFT($AC55,3)</f>
        <v>Egy</v>
      </c>
      <c r="AH51" s="346" t="s">
        <v>566</v>
      </c>
    </row>
    <row r="52" spans="1:34" ht="14.25" customHeight="1" x14ac:dyDescent="0.2">
      <c r="A52" s="444" t="s">
        <v>588</v>
      </c>
      <c r="B52" s="325">
        <v>46196</v>
      </c>
      <c r="C52" s="326">
        <v>0.75</v>
      </c>
      <c r="D52" s="327" t="str">
        <f t="shared" si="2"/>
        <v>K</v>
      </c>
      <c r="E52" s="100" t="str">
        <f t="shared" si="6"/>
        <v>Portugal</v>
      </c>
      <c r="F52" s="138"/>
      <c r="G52" s="328" t="s">
        <v>536</v>
      </c>
      <c r="H52" s="137"/>
      <c r="I52" s="101" t="str">
        <f t="shared" si="7"/>
        <v>Uzbekistan</v>
      </c>
      <c r="J52" s="101" t="str">
        <f>Stadium9</f>
        <v>Houston Stadium</v>
      </c>
      <c r="K52" s="329" t="str">
        <f t="shared" si="3"/>
        <v>K</v>
      </c>
      <c r="L52" s="323" t="str">
        <f t="shared" si="4"/>
        <v/>
      </c>
      <c r="M52" s="324" t="str">
        <f t="shared" si="5"/>
        <v/>
      </c>
      <c r="N52" s="330">
        <f>Results!X47</f>
        <v>0.84365703125000002</v>
      </c>
      <c r="O52" s="330">
        <f>Results!Y47</f>
        <v>8.5185937500000031E-2</v>
      </c>
      <c r="P52" s="330">
        <f>Results!Z47</f>
        <v>7.1157031249999975E-2</v>
      </c>
      <c r="R52" s="347">
        <v>1</v>
      </c>
      <c r="S52" s="348" t="str">
        <f>GrpG!B$45</f>
        <v>New Zealand</v>
      </c>
      <c r="T52" s="98">
        <f>GrpG!C$45</f>
        <v>1</v>
      </c>
      <c r="U52" s="98">
        <f>GrpG!D$45</f>
        <v>0</v>
      </c>
      <c r="V52" s="98">
        <f>GrpG!E$45</f>
        <v>1</v>
      </c>
      <c r="W52" s="98">
        <f>GrpG!F$45</f>
        <v>0</v>
      </c>
      <c r="X52" s="98">
        <f>GrpG!G$45</f>
        <v>2</v>
      </c>
      <c r="Y52" s="98">
        <f>GrpG!H$45</f>
        <v>2</v>
      </c>
      <c r="Z52" s="349">
        <f>GrpG!I$45</f>
        <v>0</v>
      </c>
      <c r="AA52" s="350">
        <f>GrpG!J$45</f>
        <v>1</v>
      </c>
      <c r="AC52" s="351" t="str">
        <f>GrpG!K$45</f>
        <v>New Zealand</v>
      </c>
      <c r="AD52" s="352"/>
      <c r="AE52" s="353" t="str">
        <f>GrpG!M$45</f>
        <v>2-2</v>
      </c>
      <c r="AF52" s="353" t="str">
        <f>GrpG!N$45</f>
        <v>-</v>
      </c>
      <c r="AG52" s="353" t="str">
        <f>GrpG!O$45</f>
        <v>-</v>
      </c>
      <c r="AH52" s="354">
        <f>AA52</f>
        <v>1</v>
      </c>
    </row>
    <row r="53" spans="1:34" ht="14.25" customHeight="1" x14ac:dyDescent="0.2">
      <c r="A53" s="444" t="s">
        <v>589</v>
      </c>
      <c r="B53" s="325">
        <v>46196</v>
      </c>
      <c r="C53" s="326">
        <v>0.875</v>
      </c>
      <c r="D53" s="327" t="str">
        <f t="shared" si="2"/>
        <v>L</v>
      </c>
      <c r="E53" s="100" t="str">
        <f t="shared" si="6"/>
        <v>England</v>
      </c>
      <c r="F53" s="138"/>
      <c r="G53" s="328" t="s">
        <v>536</v>
      </c>
      <c r="H53" s="137"/>
      <c r="I53" s="101" t="str">
        <f t="shared" si="7"/>
        <v>Ghana</v>
      </c>
      <c r="J53" s="101" t="str">
        <f>Stadium7</f>
        <v>Boston Stadium</v>
      </c>
      <c r="K53" s="329" t="str">
        <f t="shared" si="3"/>
        <v>L</v>
      </c>
      <c r="L53" s="323" t="str">
        <f t="shared" si="4"/>
        <v/>
      </c>
      <c r="M53" s="324" t="str">
        <f t="shared" si="5"/>
        <v/>
      </c>
      <c r="N53" s="330">
        <f>Results!X48</f>
        <v>0.85787673045000001</v>
      </c>
      <c r="O53" s="330">
        <f>Results!Y48</f>
        <v>7.7186539100000062E-2</v>
      </c>
      <c r="P53" s="330">
        <f>Results!Z48</f>
        <v>6.493673044999998E-2</v>
      </c>
      <c r="R53" s="347">
        <v>2</v>
      </c>
      <c r="S53" s="348" t="str">
        <f>GrpG!B$46</f>
        <v>IR Iran</v>
      </c>
      <c r="T53" s="98">
        <f>GrpG!C$46</f>
        <v>1</v>
      </c>
      <c r="U53" s="98">
        <f>GrpG!D$46</f>
        <v>0</v>
      </c>
      <c r="V53" s="98">
        <f>GrpG!E$46</f>
        <v>1</v>
      </c>
      <c r="W53" s="98">
        <f>GrpG!F$46</f>
        <v>0</v>
      </c>
      <c r="X53" s="98">
        <f>GrpG!G$46</f>
        <v>2</v>
      </c>
      <c r="Y53" s="98">
        <f>GrpG!H$46</f>
        <v>2</v>
      </c>
      <c r="Z53" s="349">
        <f>GrpG!I$46</f>
        <v>0</v>
      </c>
      <c r="AA53" s="350">
        <f>GrpG!J$46</f>
        <v>1</v>
      </c>
      <c r="AC53" s="351" t="str">
        <f>GrpG!K$46</f>
        <v>IR Iran</v>
      </c>
      <c r="AD53" s="353" t="str">
        <f>GrpG!L$46</f>
        <v>2-2</v>
      </c>
      <c r="AE53" s="352"/>
      <c r="AF53" s="353" t="str">
        <f>GrpG!N$46</f>
        <v>-</v>
      </c>
      <c r="AG53" s="353" t="str">
        <f>GrpG!O$46</f>
        <v>-</v>
      </c>
      <c r="AH53" s="354">
        <f>AA53</f>
        <v>1</v>
      </c>
    </row>
    <row r="54" spans="1:34" ht="14.25" customHeight="1" x14ac:dyDescent="0.2">
      <c r="A54" s="444" t="s">
        <v>590</v>
      </c>
      <c r="B54" s="325">
        <v>46197</v>
      </c>
      <c r="C54" s="326">
        <v>0</v>
      </c>
      <c r="D54" s="327" t="str">
        <f t="shared" si="2"/>
        <v>L</v>
      </c>
      <c r="E54" s="100" t="str">
        <f t="shared" si="6"/>
        <v>Panama</v>
      </c>
      <c r="F54" s="138"/>
      <c r="G54" s="328" t="s">
        <v>536</v>
      </c>
      <c r="H54" s="137"/>
      <c r="I54" s="101" t="str">
        <f t="shared" si="7"/>
        <v>Croatia</v>
      </c>
      <c r="J54" s="101" t="str">
        <f>Stadium1</f>
        <v>Toronto Stadium</v>
      </c>
      <c r="K54" s="329" t="str">
        <f t="shared" si="3"/>
        <v>L</v>
      </c>
      <c r="L54" s="323" t="str">
        <f t="shared" si="4"/>
        <v/>
      </c>
      <c r="M54" s="324" t="str">
        <f t="shared" si="5"/>
        <v/>
      </c>
      <c r="N54" s="330">
        <f>Results!X49</f>
        <v>0.22415703124999997</v>
      </c>
      <c r="O54" s="330">
        <f>Results!Y49</f>
        <v>0.20418593750000003</v>
      </c>
      <c r="P54" s="330">
        <f>Results!Z49</f>
        <v>0.57165703125</v>
      </c>
      <c r="R54" s="347">
        <v>3</v>
      </c>
      <c r="S54" s="348" t="str">
        <f>GrpG!B$47</f>
        <v>Belgium</v>
      </c>
      <c r="T54" s="98">
        <f>GrpG!C$47</f>
        <v>1</v>
      </c>
      <c r="U54" s="98">
        <f>GrpG!D$47</f>
        <v>0</v>
      </c>
      <c r="V54" s="98">
        <f>GrpG!E$47</f>
        <v>1</v>
      </c>
      <c r="W54" s="98">
        <f>GrpG!F$47</f>
        <v>0</v>
      </c>
      <c r="X54" s="98">
        <f>GrpG!G$47</f>
        <v>1</v>
      </c>
      <c r="Y54" s="98">
        <f>GrpG!H$47</f>
        <v>1</v>
      </c>
      <c r="Z54" s="349">
        <f>GrpG!I$47</f>
        <v>0</v>
      </c>
      <c r="AA54" s="350">
        <f>GrpG!J$47</f>
        <v>1</v>
      </c>
      <c r="AC54" s="351" t="str">
        <f>GrpG!K$47</f>
        <v>Belgium</v>
      </c>
      <c r="AD54" s="353" t="str">
        <f>GrpG!L$47</f>
        <v>-</v>
      </c>
      <c r="AE54" s="353" t="str">
        <f>GrpG!M$47</f>
        <v>-</v>
      </c>
      <c r="AF54" s="352"/>
      <c r="AG54" s="353" t="str">
        <f>GrpG!O$47</f>
        <v>1-1</v>
      </c>
      <c r="AH54" s="354">
        <f>AA54</f>
        <v>1</v>
      </c>
    </row>
    <row r="55" spans="1:34" ht="14.25" customHeight="1" x14ac:dyDescent="0.2">
      <c r="A55" s="444" t="s">
        <v>591</v>
      </c>
      <c r="B55" s="325">
        <v>46197</v>
      </c>
      <c r="C55" s="326">
        <v>0.125</v>
      </c>
      <c r="D55" s="327" t="str">
        <f t="shared" si="2"/>
        <v>K</v>
      </c>
      <c r="E55" s="100" t="str">
        <f t="shared" si="6"/>
        <v>Colombia</v>
      </c>
      <c r="F55" s="138"/>
      <c r="G55" s="328" t="s">
        <v>536</v>
      </c>
      <c r="H55" s="137"/>
      <c r="I55" s="101" t="str">
        <f t="shared" si="7"/>
        <v>Congo DR</v>
      </c>
      <c r="J55" s="101" t="str">
        <f>Stadium4</f>
        <v>Estadio Guadalajara</v>
      </c>
      <c r="K55" s="329" t="str">
        <f t="shared" si="3"/>
        <v>K</v>
      </c>
      <c r="L55" s="323" t="str">
        <f t="shared" si="4"/>
        <v/>
      </c>
      <c r="M55" s="324" t="str">
        <f t="shared" si="5"/>
        <v/>
      </c>
      <c r="N55" s="330">
        <f>Results!X50</f>
        <v>0.74444252644999998</v>
      </c>
      <c r="O55" s="330">
        <f>Results!Y50</f>
        <v>0.13657494710000007</v>
      </c>
      <c r="P55" s="330">
        <f>Results!Z50</f>
        <v>0.11898252645000001</v>
      </c>
      <c r="R55" s="347">
        <v>4</v>
      </c>
      <c r="S55" s="355" t="str">
        <f>GrpG!B$48</f>
        <v>Egypt</v>
      </c>
      <c r="T55" s="356">
        <f>GrpG!C$48</f>
        <v>1</v>
      </c>
      <c r="U55" s="356">
        <f>GrpG!D$48</f>
        <v>0</v>
      </c>
      <c r="V55" s="356">
        <f>GrpG!E$48</f>
        <v>1</v>
      </c>
      <c r="W55" s="356">
        <f>GrpG!F$48</f>
        <v>0</v>
      </c>
      <c r="X55" s="356">
        <f>GrpG!G$48</f>
        <v>1</v>
      </c>
      <c r="Y55" s="356">
        <f>GrpG!H$48</f>
        <v>1</v>
      </c>
      <c r="Z55" s="357">
        <f>GrpG!I$48</f>
        <v>0</v>
      </c>
      <c r="AA55" s="358">
        <f>GrpG!J$48</f>
        <v>1</v>
      </c>
      <c r="AC55" s="359" t="str">
        <f>GrpG!K$48</f>
        <v>Egypt</v>
      </c>
      <c r="AD55" s="360" t="str">
        <f>GrpG!L$48</f>
        <v>-</v>
      </c>
      <c r="AE55" s="360" t="str">
        <f>GrpG!M$48</f>
        <v>-</v>
      </c>
      <c r="AF55" s="360" t="str">
        <f>GrpG!N$48</f>
        <v>1-1</v>
      </c>
      <c r="AG55" s="361"/>
      <c r="AH55" s="362">
        <f>AA55</f>
        <v>1</v>
      </c>
    </row>
    <row r="56" spans="1:34" ht="14.25" customHeight="1" x14ac:dyDescent="0.2">
      <c r="A56" s="444" t="s">
        <v>592</v>
      </c>
      <c r="B56" s="325">
        <v>46197</v>
      </c>
      <c r="C56" s="326">
        <v>0.83333333333333337</v>
      </c>
      <c r="D56" s="327" t="str">
        <f t="shared" ref="D56:D79" si="8">LEFT(A56)</f>
        <v>B</v>
      </c>
      <c r="E56" s="100" t="str">
        <f t="shared" si="6"/>
        <v>Switzerland</v>
      </c>
      <c r="F56" s="138"/>
      <c r="G56" s="328" t="s">
        <v>536</v>
      </c>
      <c r="H56" s="137"/>
      <c r="I56" s="101" t="str">
        <f t="shared" si="7"/>
        <v>Canada</v>
      </c>
      <c r="J56" s="101" t="str">
        <f>Stadium2</f>
        <v>BC Place Vancouver</v>
      </c>
      <c r="K56" s="329" t="str">
        <f t="shared" ref="K56:K79" si="9">D56</f>
        <v>B</v>
      </c>
      <c r="L56" s="323" t="str">
        <f t="shared" si="4"/>
        <v/>
      </c>
      <c r="M56" s="324" t="str">
        <f t="shared" si="5"/>
        <v/>
      </c>
      <c r="N56" s="330">
        <f>Results!X51</f>
        <v>0.47998398980000007</v>
      </c>
      <c r="O56" s="330">
        <f>Results!Y51</f>
        <v>0.22575202039999992</v>
      </c>
      <c r="P56" s="330">
        <f>Results!Z51</f>
        <v>0.29426398980000001</v>
      </c>
      <c r="R56" s="97" t="s">
        <v>327</v>
      </c>
      <c r="Z56" s="349"/>
      <c r="AD56" s="98"/>
      <c r="AE56" s="98"/>
      <c r="AF56" s="98"/>
      <c r="AG56" s="98"/>
      <c r="AH56" s="98"/>
    </row>
    <row r="57" spans="1:34" ht="14.25" customHeight="1" x14ac:dyDescent="0.2">
      <c r="A57" s="444" t="s">
        <v>593</v>
      </c>
      <c r="B57" s="325">
        <v>46197</v>
      </c>
      <c r="C57" s="326">
        <v>0.83333333333333337</v>
      </c>
      <c r="D57" s="327" t="str">
        <f t="shared" si="8"/>
        <v>B</v>
      </c>
      <c r="E57" s="100" t="str">
        <f t="shared" si="6"/>
        <v>Bosnia-Herzegovina</v>
      </c>
      <c r="F57" s="138"/>
      <c r="G57" s="328" t="s">
        <v>536</v>
      </c>
      <c r="H57" s="137"/>
      <c r="I57" s="101" t="str">
        <f t="shared" si="7"/>
        <v>Qatar</v>
      </c>
      <c r="J57" s="101" t="str">
        <f>Stadium16</f>
        <v>Seattle Stadium</v>
      </c>
      <c r="K57" s="329" t="str">
        <f t="shared" si="9"/>
        <v>B</v>
      </c>
      <c r="L57" s="323" t="str">
        <f t="shared" si="4"/>
        <v/>
      </c>
      <c r="M57" s="324" t="str">
        <f t="shared" si="5"/>
        <v/>
      </c>
      <c r="N57" s="330">
        <f>Results!X52</f>
        <v>0.3152625</v>
      </c>
      <c r="O57" s="330">
        <f>Results!Y52</f>
        <v>0.22947499999999998</v>
      </c>
      <c r="P57" s="330">
        <f>Results!Z52</f>
        <v>0.45526250000000001</v>
      </c>
      <c r="R57" s="331"/>
      <c r="S57" s="332" t="s">
        <v>318</v>
      </c>
      <c r="T57" s="333"/>
      <c r="U57" s="333"/>
      <c r="V57" s="333"/>
      <c r="W57" s="333"/>
      <c r="X57" s="333"/>
      <c r="Y57" s="333"/>
      <c r="Z57" s="334"/>
      <c r="AA57" s="335"/>
      <c r="AC57" s="363" t="str">
        <f>S57</f>
        <v>Group H</v>
      </c>
      <c r="AD57" s="364"/>
      <c r="AE57" s="364"/>
      <c r="AF57" s="364"/>
      <c r="AG57" s="364"/>
      <c r="AH57" s="365"/>
    </row>
    <row r="58" spans="1:34" ht="14.25" customHeight="1" x14ac:dyDescent="0.2">
      <c r="A58" s="444" t="s">
        <v>594</v>
      </c>
      <c r="B58" s="325">
        <v>46197</v>
      </c>
      <c r="C58" s="326">
        <v>0.95833333333333337</v>
      </c>
      <c r="D58" s="327" t="str">
        <f t="shared" si="8"/>
        <v>C</v>
      </c>
      <c r="E58" s="100" t="str">
        <f t="shared" si="6"/>
        <v>Scotland</v>
      </c>
      <c r="F58" s="138"/>
      <c r="G58" s="328" t="s">
        <v>536</v>
      </c>
      <c r="H58" s="137"/>
      <c r="I58" s="101" t="str">
        <f t="shared" si="7"/>
        <v>Brazil</v>
      </c>
      <c r="J58" s="101" t="str">
        <f>Stadium12</f>
        <v>Miami Stadium</v>
      </c>
      <c r="K58" s="329" t="str">
        <f t="shared" si="9"/>
        <v>C</v>
      </c>
      <c r="L58" s="323" t="str">
        <f t="shared" si="4"/>
        <v/>
      </c>
      <c r="M58" s="324" t="str">
        <f t="shared" si="5"/>
        <v/>
      </c>
      <c r="N58" s="330">
        <f>Results!X53</f>
        <v>0.11960835619999999</v>
      </c>
      <c r="O58" s="330">
        <f>Results!Y53</f>
        <v>0.13714328759999994</v>
      </c>
      <c r="P58" s="330">
        <f>Results!Z53</f>
        <v>0.74324835620000007</v>
      </c>
      <c r="R58" s="339" t="s">
        <v>325</v>
      </c>
      <c r="S58" s="340" t="s">
        <v>310</v>
      </c>
      <c r="T58" s="341" t="s">
        <v>311</v>
      </c>
      <c r="U58" s="341" t="s">
        <v>305</v>
      </c>
      <c r="V58" s="341" t="s">
        <v>15</v>
      </c>
      <c r="W58" s="341" t="s">
        <v>306</v>
      </c>
      <c r="X58" s="341" t="s">
        <v>307</v>
      </c>
      <c r="Y58" s="341" t="s">
        <v>16</v>
      </c>
      <c r="Z58" s="342" t="s">
        <v>308</v>
      </c>
      <c r="AA58" s="343" t="s">
        <v>566</v>
      </c>
      <c r="AC58" s="344" t="s">
        <v>310</v>
      </c>
      <c r="AD58" s="345" t="str">
        <f>LEFT($AC59,3)</f>
        <v>Uru</v>
      </c>
      <c r="AE58" s="345" t="str">
        <f>LEFT($AC60,3)</f>
        <v>Sau</v>
      </c>
      <c r="AF58" s="345" t="str">
        <f>LEFT($AC61,3)</f>
        <v>Spa</v>
      </c>
      <c r="AG58" s="345" t="str">
        <f>LEFT($AC62,3)</f>
        <v>Cab</v>
      </c>
      <c r="AH58" s="346" t="s">
        <v>566</v>
      </c>
    </row>
    <row r="59" spans="1:34" ht="14.25" customHeight="1" x14ac:dyDescent="0.2">
      <c r="A59" s="444" t="s">
        <v>595</v>
      </c>
      <c r="B59" s="325">
        <v>46197</v>
      </c>
      <c r="C59" s="326">
        <v>0.95833333333333337</v>
      </c>
      <c r="D59" s="327" t="str">
        <f t="shared" si="8"/>
        <v>C</v>
      </c>
      <c r="E59" s="100" t="str">
        <f t="shared" si="6"/>
        <v>Morocco</v>
      </c>
      <c r="F59" s="138"/>
      <c r="G59" s="328" t="s">
        <v>536</v>
      </c>
      <c r="H59" s="137"/>
      <c r="I59" s="101" t="str">
        <f t="shared" si="7"/>
        <v>Haiti</v>
      </c>
      <c r="J59" s="101" t="str">
        <f>Stadium6</f>
        <v>Atlanta Stadium</v>
      </c>
      <c r="K59" s="329" t="str">
        <f t="shared" si="9"/>
        <v>C</v>
      </c>
      <c r="L59" s="323" t="str">
        <f t="shared" si="4"/>
        <v/>
      </c>
      <c r="M59" s="324" t="str">
        <f t="shared" si="5"/>
        <v/>
      </c>
      <c r="N59" s="330">
        <f>Results!X54</f>
        <v>0.90311862499999995</v>
      </c>
      <c r="O59" s="330">
        <f>Results!Y54</f>
        <v>5.0762749999999968E-2</v>
      </c>
      <c r="P59" s="330">
        <f>Results!Z54</f>
        <v>4.6118625000000052E-2</v>
      </c>
      <c r="R59" s="347">
        <v>1</v>
      </c>
      <c r="S59" s="348" t="str">
        <f>GrpH!B$45</f>
        <v>Uruguay</v>
      </c>
      <c r="T59" s="98">
        <f>GrpH!C$45</f>
        <v>1</v>
      </c>
      <c r="U59" s="98">
        <f>GrpH!D$45</f>
        <v>0</v>
      </c>
      <c r="V59" s="98">
        <f>GrpH!E$45</f>
        <v>1</v>
      </c>
      <c r="W59" s="98">
        <f>GrpH!F$45</f>
        <v>0</v>
      </c>
      <c r="X59" s="98">
        <f>GrpH!G$45</f>
        <v>1</v>
      </c>
      <c r="Y59" s="98">
        <f>GrpH!H$45</f>
        <v>1</v>
      </c>
      <c r="Z59" s="349">
        <f>GrpH!I$45</f>
        <v>0</v>
      </c>
      <c r="AA59" s="350">
        <f>GrpH!J$45</f>
        <v>1</v>
      </c>
      <c r="AC59" s="351" t="str">
        <f>GrpH!K$45</f>
        <v>Uruguay</v>
      </c>
      <c r="AD59" s="352"/>
      <c r="AE59" s="353" t="str">
        <f>GrpH!M$45</f>
        <v>1-1</v>
      </c>
      <c r="AF59" s="353" t="str">
        <f>GrpH!N$45</f>
        <v>-</v>
      </c>
      <c r="AG59" s="353" t="str">
        <f>GrpH!O$45</f>
        <v>-</v>
      </c>
      <c r="AH59" s="354">
        <f>AA59</f>
        <v>1</v>
      </c>
    </row>
    <row r="60" spans="1:34" ht="14.25" customHeight="1" x14ac:dyDescent="0.2">
      <c r="A60" s="444" t="s">
        <v>596</v>
      </c>
      <c r="B60" s="325">
        <v>46198</v>
      </c>
      <c r="C60" s="326">
        <v>8.3333333333333329E-2</v>
      </c>
      <c r="D60" s="327" t="str">
        <f t="shared" si="8"/>
        <v>A</v>
      </c>
      <c r="E60" s="100" t="str">
        <f t="shared" si="6"/>
        <v>Czechia</v>
      </c>
      <c r="F60" s="138"/>
      <c r="G60" s="328" t="s">
        <v>536</v>
      </c>
      <c r="H60" s="137"/>
      <c r="I60" s="101" t="str">
        <f t="shared" si="7"/>
        <v>Mexico</v>
      </c>
      <c r="J60" s="101" t="str">
        <f>Stadium3</f>
        <v>Mexico City Stadium</v>
      </c>
      <c r="K60" s="329" t="str">
        <f t="shared" si="9"/>
        <v>A</v>
      </c>
      <c r="L60" s="323" t="str">
        <f t="shared" si="4"/>
        <v/>
      </c>
      <c r="M60" s="324" t="str">
        <f t="shared" si="5"/>
        <v/>
      </c>
      <c r="N60" s="330">
        <f>Results!X55</f>
        <v>0.15007341604999999</v>
      </c>
      <c r="O60" s="330">
        <f>Results!Y55</f>
        <v>0.16207316790000006</v>
      </c>
      <c r="P60" s="330">
        <f>Results!Z55</f>
        <v>0.68785341604999994</v>
      </c>
      <c r="R60" s="347">
        <v>2</v>
      </c>
      <c r="S60" s="348" t="str">
        <f>GrpH!B$46</f>
        <v>Saudi Arabia</v>
      </c>
      <c r="T60" s="98">
        <f>GrpH!C$46</f>
        <v>1</v>
      </c>
      <c r="U60" s="98">
        <f>GrpH!D$46</f>
        <v>0</v>
      </c>
      <c r="V60" s="98">
        <f>GrpH!E$46</f>
        <v>1</v>
      </c>
      <c r="W60" s="98">
        <f>GrpH!F$46</f>
        <v>0</v>
      </c>
      <c r="X60" s="98">
        <f>GrpH!G$46</f>
        <v>1</v>
      </c>
      <c r="Y60" s="98">
        <f>GrpH!H$46</f>
        <v>1</v>
      </c>
      <c r="Z60" s="349">
        <f>GrpH!I$46</f>
        <v>0</v>
      </c>
      <c r="AA60" s="350">
        <f>GrpH!J$46</f>
        <v>1</v>
      </c>
      <c r="AC60" s="351" t="str">
        <f>GrpH!K$46</f>
        <v>Saudi Arabia</v>
      </c>
      <c r="AD60" s="353" t="str">
        <f>GrpH!L$46</f>
        <v>1-1</v>
      </c>
      <c r="AE60" s="352"/>
      <c r="AF60" s="353" t="str">
        <f>GrpH!N$46</f>
        <v>-</v>
      </c>
      <c r="AG60" s="353" t="str">
        <f>GrpH!O$46</f>
        <v>-</v>
      </c>
      <c r="AH60" s="354">
        <f>AA60</f>
        <v>1</v>
      </c>
    </row>
    <row r="61" spans="1:34" ht="14.25" customHeight="1" x14ac:dyDescent="0.2">
      <c r="A61" s="444" t="s">
        <v>597</v>
      </c>
      <c r="B61" s="325">
        <v>46198</v>
      </c>
      <c r="C61" s="326">
        <v>8.3333333333333329E-2</v>
      </c>
      <c r="D61" s="327" t="str">
        <f t="shared" si="8"/>
        <v>A</v>
      </c>
      <c r="E61" s="100" t="str">
        <f t="shared" si="6"/>
        <v>South Africa</v>
      </c>
      <c r="F61" s="138"/>
      <c r="G61" s="328" t="s">
        <v>536</v>
      </c>
      <c r="H61" s="137"/>
      <c r="I61" s="101" t="str">
        <f t="shared" si="7"/>
        <v>Korea Republic</v>
      </c>
      <c r="J61" s="101" t="str">
        <f>Stadium5</f>
        <v>Estadio Monterrey</v>
      </c>
      <c r="K61" s="329" t="str">
        <f t="shared" si="9"/>
        <v>A</v>
      </c>
      <c r="L61" s="323" t="str">
        <f t="shared" si="4"/>
        <v/>
      </c>
      <c r="M61" s="324" t="str">
        <f t="shared" si="5"/>
        <v/>
      </c>
      <c r="N61" s="330">
        <f>Results!X56</f>
        <v>0.17414884445000001</v>
      </c>
      <c r="O61" s="330">
        <f>Results!Y56</f>
        <v>0.1783623111</v>
      </c>
      <c r="P61" s="330">
        <f>Results!Z56</f>
        <v>0.64748884444999999</v>
      </c>
      <c r="R61" s="347">
        <v>3</v>
      </c>
      <c r="S61" s="348" t="str">
        <f>GrpH!B$47</f>
        <v>Spain</v>
      </c>
      <c r="T61" s="98">
        <f>GrpH!C$47</f>
        <v>1</v>
      </c>
      <c r="U61" s="98">
        <f>GrpH!D$47</f>
        <v>0</v>
      </c>
      <c r="V61" s="98">
        <f>GrpH!E$47</f>
        <v>1</v>
      </c>
      <c r="W61" s="98">
        <f>GrpH!F$47</f>
        <v>0</v>
      </c>
      <c r="X61" s="98">
        <f>GrpH!G$47</f>
        <v>0</v>
      </c>
      <c r="Y61" s="98">
        <f>GrpH!H$47</f>
        <v>0</v>
      </c>
      <c r="Z61" s="349">
        <f>GrpH!I$47</f>
        <v>0</v>
      </c>
      <c r="AA61" s="350">
        <f>GrpH!J$47</f>
        <v>1</v>
      </c>
      <c r="AC61" s="351" t="str">
        <f>GrpH!K$47</f>
        <v>Spain</v>
      </c>
      <c r="AD61" s="353" t="str">
        <f>GrpH!L$47</f>
        <v>-</v>
      </c>
      <c r="AE61" s="353" t="str">
        <f>GrpH!M$47</f>
        <v>-</v>
      </c>
      <c r="AF61" s="352"/>
      <c r="AG61" s="353" t="str">
        <f>GrpH!O$47</f>
        <v>0-0</v>
      </c>
      <c r="AH61" s="354">
        <f>AA61</f>
        <v>1</v>
      </c>
    </row>
    <row r="62" spans="1:34" ht="14.25" customHeight="1" x14ac:dyDescent="0.2">
      <c r="A62" s="444" t="s">
        <v>598</v>
      </c>
      <c r="B62" s="325">
        <v>46198</v>
      </c>
      <c r="C62" s="326">
        <v>0.875</v>
      </c>
      <c r="D62" s="327" t="str">
        <f t="shared" si="8"/>
        <v>E</v>
      </c>
      <c r="E62" s="100" t="str">
        <f t="shared" si="6"/>
        <v>Curaçao</v>
      </c>
      <c r="F62" s="138"/>
      <c r="G62" s="328" t="s">
        <v>536</v>
      </c>
      <c r="H62" s="137"/>
      <c r="I62" s="101" t="str">
        <f t="shared" si="7"/>
        <v>Cote d'Ivorie</v>
      </c>
      <c r="J62" s="101" t="str">
        <f>Stadium14</f>
        <v>Philadelphia Stadium</v>
      </c>
      <c r="K62" s="329" t="str">
        <f t="shared" si="9"/>
        <v>E</v>
      </c>
      <c r="L62" s="323" t="str">
        <f t="shared" si="4"/>
        <v/>
      </c>
      <c r="M62" s="324" t="str">
        <f t="shared" si="5"/>
        <v/>
      </c>
      <c r="N62" s="330">
        <f>Results!X57</f>
        <v>0.1657299642</v>
      </c>
      <c r="O62" s="330">
        <f>Results!Y57</f>
        <v>0.17298007159999992</v>
      </c>
      <c r="P62" s="330">
        <f>Results!Z57</f>
        <v>0.66128996420000008</v>
      </c>
      <c r="R62" s="347">
        <v>4</v>
      </c>
      <c r="S62" s="355" t="str">
        <f>GrpH!B$48</f>
        <v>Cabo Verde</v>
      </c>
      <c r="T62" s="356">
        <f>GrpH!C$48</f>
        <v>1</v>
      </c>
      <c r="U62" s="356">
        <f>GrpH!D$48</f>
        <v>0</v>
      </c>
      <c r="V62" s="356">
        <f>GrpH!E$48</f>
        <v>1</v>
      </c>
      <c r="W62" s="356">
        <f>GrpH!F$48</f>
        <v>0</v>
      </c>
      <c r="X62" s="356">
        <f>GrpH!G$48</f>
        <v>0</v>
      </c>
      <c r="Y62" s="356">
        <f>GrpH!H$48</f>
        <v>0</v>
      </c>
      <c r="Z62" s="357">
        <f>GrpH!I$48</f>
        <v>0</v>
      </c>
      <c r="AA62" s="358">
        <f>GrpH!J$48</f>
        <v>1</v>
      </c>
      <c r="AC62" s="359" t="str">
        <f>GrpH!K$48</f>
        <v>Cabo Verde</v>
      </c>
      <c r="AD62" s="360" t="str">
        <f>GrpH!L$48</f>
        <v>-</v>
      </c>
      <c r="AE62" s="360" t="str">
        <f>GrpH!M$48</f>
        <v>-</v>
      </c>
      <c r="AF62" s="360" t="str">
        <f>GrpH!N$48</f>
        <v>0-0</v>
      </c>
      <c r="AG62" s="361"/>
      <c r="AH62" s="362">
        <f>AA62</f>
        <v>1</v>
      </c>
    </row>
    <row r="63" spans="1:34" ht="14.25" customHeight="1" x14ac:dyDescent="0.2">
      <c r="A63" s="444" t="s">
        <v>599</v>
      </c>
      <c r="B63" s="325">
        <v>46198</v>
      </c>
      <c r="C63" s="326">
        <v>0.875</v>
      </c>
      <c r="D63" s="327" t="str">
        <f t="shared" si="8"/>
        <v>E</v>
      </c>
      <c r="E63" s="100" t="str">
        <f t="shared" si="6"/>
        <v>Ecuador</v>
      </c>
      <c r="F63" s="138"/>
      <c r="G63" s="328" t="s">
        <v>536</v>
      </c>
      <c r="H63" s="137"/>
      <c r="I63" s="101" t="str">
        <f t="shared" si="7"/>
        <v>Germany</v>
      </c>
      <c r="J63" s="101" t="str">
        <f>Stadium13</f>
        <v>MetLife Stadium</v>
      </c>
      <c r="K63" s="329" t="str">
        <f t="shared" si="9"/>
        <v>E</v>
      </c>
      <c r="L63" s="323" t="str">
        <f t="shared" si="4"/>
        <v/>
      </c>
      <c r="M63" s="324" t="str">
        <f t="shared" si="5"/>
        <v/>
      </c>
      <c r="N63" s="330">
        <f>Results!X58</f>
        <v>0.16908724445000001</v>
      </c>
      <c r="O63" s="330">
        <f>Results!Y58</f>
        <v>0.1751655111</v>
      </c>
      <c r="P63" s="330">
        <f>Results!Z58</f>
        <v>0.65574724444999999</v>
      </c>
      <c r="Z63" s="349"/>
      <c r="AD63" s="98"/>
      <c r="AE63" s="98"/>
      <c r="AF63" s="98"/>
      <c r="AG63" s="98"/>
      <c r="AH63" s="98"/>
    </row>
    <row r="64" spans="1:34" ht="14.25" customHeight="1" x14ac:dyDescent="0.2">
      <c r="A64" s="444" t="s">
        <v>600</v>
      </c>
      <c r="B64" s="325">
        <v>46199</v>
      </c>
      <c r="C64" s="326">
        <v>0</v>
      </c>
      <c r="D64" s="327" t="str">
        <f t="shared" si="8"/>
        <v>F</v>
      </c>
      <c r="E64" s="100" t="str">
        <f t="shared" si="6"/>
        <v>Japan</v>
      </c>
      <c r="F64" s="138"/>
      <c r="G64" s="328" t="s">
        <v>536</v>
      </c>
      <c r="H64" s="137"/>
      <c r="I64" s="101" t="str">
        <f t="shared" si="7"/>
        <v>Sweden</v>
      </c>
      <c r="J64" s="101" t="str">
        <f>Stadium8</f>
        <v>Dallas Stadium</v>
      </c>
      <c r="K64" s="329" t="str">
        <f t="shared" si="9"/>
        <v>F</v>
      </c>
      <c r="L64" s="323" t="str">
        <f t="shared" si="4"/>
        <v/>
      </c>
      <c r="M64" s="324" t="str">
        <f t="shared" si="5"/>
        <v/>
      </c>
      <c r="N64" s="330">
        <f>Results!X59</f>
        <v>0.51844062499999999</v>
      </c>
      <c r="O64" s="330">
        <f>Results!Y59</f>
        <v>0.21811875000000003</v>
      </c>
      <c r="P64" s="330">
        <f>Results!Z59</f>
        <v>0.26344062499999998</v>
      </c>
      <c r="R64" s="331"/>
      <c r="S64" s="332" t="s">
        <v>527</v>
      </c>
      <c r="T64" s="333"/>
      <c r="U64" s="333"/>
      <c r="V64" s="333"/>
      <c r="W64" s="333"/>
      <c r="X64" s="333"/>
      <c r="Y64" s="333"/>
      <c r="Z64" s="334"/>
      <c r="AA64" s="335"/>
      <c r="AC64" s="336" t="str">
        <f>S64</f>
        <v>Group I</v>
      </c>
      <c r="AD64" s="337"/>
      <c r="AE64" s="337"/>
      <c r="AF64" s="337"/>
      <c r="AG64" s="337"/>
      <c r="AH64" s="338"/>
    </row>
    <row r="65" spans="1:34" ht="14.25" customHeight="1" x14ac:dyDescent="0.2">
      <c r="A65" s="444" t="s">
        <v>601</v>
      </c>
      <c r="B65" s="325">
        <v>46199</v>
      </c>
      <c r="C65" s="326">
        <v>0</v>
      </c>
      <c r="D65" s="327" t="str">
        <f t="shared" si="8"/>
        <v>F</v>
      </c>
      <c r="E65" s="100" t="str">
        <f t="shared" si="6"/>
        <v>Tunisia</v>
      </c>
      <c r="F65" s="138"/>
      <c r="G65" s="328" t="s">
        <v>536</v>
      </c>
      <c r="H65" s="137"/>
      <c r="I65" s="101" t="str">
        <f t="shared" si="7"/>
        <v>Netherlands</v>
      </c>
      <c r="J65" s="101" t="str">
        <f>Stadium10</f>
        <v>Kansas City Stadium</v>
      </c>
      <c r="K65" s="329" t="str">
        <f t="shared" si="9"/>
        <v>F</v>
      </c>
      <c r="L65" s="323" t="str">
        <f t="shared" si="4"/>
        <v/>
      </c>
      <c r="M65" s="324" t="str">
        <f t="shared" si="5"/>
        <v/>
      </c>
      <c r="N65" s="330">
        <f>Results!X60</f>
        <v>0.12086250000000001</v>
      </c>
      <c r="O65" s="330">
        <f>Results!Y60</f>
        <v>0.13827500000000001</v>
      </c>
      <c r="P65" s="330">
        <f>Results!Z60</f>
        <v>0.74086249999999998</v>
      </c>
      <c r="R65" s="339" t="s">
        <v>325</v>
      </c>
      <c r="S65" s="340" t="s">
        <v>310</v>
      </c>
      <c r="T65" s="341" t="s">
        <v>311</v>
      </c>
      <c r="U65" s="341" t="s">
        <v>305</v>
      </c>
      <c r="V65" s="341" t="s">
        <v>15</v>
      </c>
      <c r="W65" s="341" t="s">
        <v>306</v>
      </c>
      <c r="X65" s="341" t="s">
        <v>307</v>
      </c>
      <c r="Y65" s="341" t="s">
        <v>16</v>
      </c>
      <c r="Z65" s="342" t="s">
        <v>308</v>
      </c>
      <c r="AA65" s="343" t="s">
        <v>566</v>
      </c>
      <c r="AC65" s="344" t="s">
        <v>310</v>
      </c>
      <c r="AD65" s="345" t="str">
        <f>LEFT($AC66,3)</f>
        <v>Fra</v>
      </c>
      <c r="AE65" s="345" t="str">
        <f>LEFT($AC67,3)</f>
        <v>Sen</v>
      </c>
      <c r="AF65" s="345" t="str">
        <f>LEFT($AC68,3)</f>
        <v>Nor</v>
      </c>
      <c r="AG65" s="345" t="str">
        <f>LEFT($AC69,3)</f>
        <v>Ira</v>
      </c>
      <c r="AH65" s="346" t="s">
        <v>566</v>
      </c>
    </row>
    <row r="66" spans="1:34" ht="14.25" customHeight="1" x14ac:dyDescent="0.2">
      <c r="A66" s="444" t="s">
        <v>602</v>
      </c>
      <c r="B66" s="325">
        <v>46199</v>
      </c>
      <c r="C66" s="326">
        <v>0.125</v>
      </c>
      <c r="D66" s="327" t="str">
        <f t="shared" si="8"/>
        <v>D</v>
      </c>
      <c r="E66" s="100" t="str">
        <f t="shared" si="6"/>
        <v>Turkiye</v>
      </c>
      <c r="F66" s="138"/>
      <c r="G66" s="328" t="s">
        <v>536</v>
      </c>
      <c r="H66" s="137"/>
      <c r="I66" s="101" t="str">
        <f t="shared" si="7"/>
        <v>USA</v>
      </c>
      <c r="J66" s="101" t="str">
        <f>Stadium11</f>
        <v>Los Angeles Stadium</v>
      </c>
      <c r="K66" s="329" t="str">
        <f t="shared" si="9"/>
        <v>D</v>
      </c>
      <c r="L66" s="323" t="str">
        <f t="shared" si="4"/>
        <v/>
      </c>
      <c r="M66" s="324" t="str">
        <f t="shared" si="5"/>
        <v/>
      </c>
      <c r="N66" s="330">
        <f>Results!X61</f>
        <v>0.27001249999999999</v>
      </c>
      <c r="O66" s="330">
        <f>Results!Y61</f>
        <v>0.21997500000000003</v>
      </c>
      <c r="P66" s="330">
        <f>Results!Z61</f>
        <v>0.51001249999999998</v>
      </c>
      <c r="R66" s="347">
        <v>1</v>
      </c>
      <c r="S66" s="348" t="str">
        <f>GrpI!B$45</f>
        <v>France</v>
      </c>
      <c r="T66" s="98">
        <f>GrpI!C$45</f>
        <v>0</v>
      </c>
      <c r="U66" s="98">
        <f>GrpI!D$45</f>
        <v>0</v>
      </c>
      <c r="V66" s="98">
        <f>GrpI!E$45</f>
        <v>0</v>
      </c>
      <c r="W66" s="98">
        <f>GrpI!F$45</f>
        <v>0</v>
      </c>
      <c r="X66" s="98">
        <f>GrpI!G$45</f>
        <v>0</v>
      </c>
      <c r="Y66" s="98">
        <f>GrpI!H$45</f>
        <v>0</v>
      </c>
      <c r="Z66" s="349">
        <f>GrpI!I$45</f>
        <v>0</v>
      </c>
      <c r="AA66" s="350">
        <f>GrpI!J$45</f>
        <v>0</v>
      </c>
      <c r="AC66" s="351" t="str">
        <f>GrpI!K$45</f>
        <v>France</v>
      </c>
      <c r="AD66" s="352"/>
      <c r="AE66" s="353" t="str">
        <f>GrpI!M$45</f>
        <v>-</v>
      </c>
      <c r="AF66" s="353" t="str">
        <f>GrpI!N$45</f>
        <v>-</v>
      </c>
      <c r="AG66" s="353" t="str">
        <f>GrpI!O$45</f>
        <v>-</v>
      </c>
      <c r="AH66" s="354">
        <f>AA66</f>
        <v>0</v>
      </c>
    </row>
    <row r="67" spans="1:34" ht="14.25" customHeight="1" x14ac:dyDescent="0.2">
      <c r="A67" s="444" t="s">
        <v>603</v>
      </c>
      <c r="B67" s="325">
        <v>46199</v>
      </c>
      <c r="C67" s="326">
        <v>0.125</v>
      </c>
      <c r="D67" s="327" t="str">
        <f t="shared" si="8"/>
        <v>D</v>
      </c>
      <c r="E67" s="100" t="str">
        <f t="shared" si="6"/>
        <v>Paraguay</v>
      </c>
      <c r="F67" s="138"/>
      <c r="G67" s="328" t="s">
        <v>536</v>
      </c>
      <c r="H67" s="137"/>
      <c r="I67" s="101" t="str">
        <f t="shared" si="7"/>
        <v>Australia</v>
      </c>
      <c r="J67" s="101" t="str">
        <f>Stadium15</f>
        <v>San Franciso Bay Stadium</v>
      </c>
      <c r="K67" s="329" t="str">
        <f t="shared" si="9"/>
        <v>D</v>
      </c>
      <c r="L67" s="323" t="str">
        <f t="shared" si="4"/>
        <v/>
      </c>
      <c r="M67" s="324" t="str">
        <f t="shared" si="5"/>
        <v/>
      </c>
      <c r="N67" s="330">
        <f>Results!X62</f>
        <v>0.34361249999999999</v>
      </c>
      <c r="O67" s="330">
        <f>Results!Y62</f>
        <v>0.23277500000000007</v>
      </c>
      <c r="P67" s="330">
        <f>Results!Z62</f>
        <v>0.4236125</v>
      </c>
      <c r="R67" s="347">
        <v>2</v>
      </c>
      <c r="S67" s="348" t="str">
        <f>GrpI!B$46</f>
        <v>Senegal</v>
      </c>
      <c r="T67" s="98">
        <f>GrpI!C$46</f>
        <v>0</v>
      </c>
      <c r="U67" s="98">
        <f>GrpI!D$46</f>
        <v>0</v>
      </c>
      <c r="V67" s="98">
        <f>GrpI!E$46</f>
        <v>0</v>
      </c>
      <c r="W67" s="98">
        <f>GrpI!F$46</f>
        <v>0</v>
      </c>
      <c r="X67" s="98">
        <f>GrpI!G$46</f>
        <v>0</v>
      </c>
      <c r="Y67" s="98">
        <f>GrpI!H$46</f>
        <v>0</v>
      </c>
      <c r="Z67" s="349">
        <f>GrpI!I$46</f>
        <v>0</v>
      </c>
      <c r="AA67" s="350">
        <f>GrpI!J$46</f>
        <v>0</v>
      </c>
      <c r="AC67" s="351" t="str">
        <f>GrpI!K$46</f>
        <v>Senegal</v>
      </c>
      <c r="AD67" s="353" t="str">
        <f>GrpI!L$46</f>
        <v>-</v>
      </c>
      <c r="AE67" s="352"/>
      <c r="AF67" s="353" t="str">
        <f>GrpI!N$46</f>
        <v>-</v>
      </c>
      <c r="AG67" s="353" t="str">
        <f>GrpI!O$46</f>
        <v>-</v>
      </c>
      <c r="AH67" s="354">
        <f>AA67</f>
        <v>0</v>
      </c>
    </row>
    <row r="68" spans="1:34" ht="14.25" customHeight="1" x14ac:dyDescent="0.2">
      <c r="A68" s="444" t="s">
        <v>604</v>
      </c>
      <c r="B68" s="325">
        <v>46199</v>
      </c>
      <c r="C68" s="326">
        <v>0.83333333333333337</v>
      </c>
      <c r="D68" s="327" t="str">
        <f t="shared" si="8"/>
        <v>I</v>
      </c>
      <c r="E68" s="100" t="str">
        <f t="shared" si="6"/>
        <v>Norway</v>
      </c>
      <c r="F68" s="138"/>
      <c r="G68" s="328" t="s">
        <v>536</v>
      </c>
      <c r="H68" s="137"/>
      <c r="I68" s="101" t="str">
        <f t="shared" si="7"/>
        <v>France</v>
      </c>
      <c r="J68" s="101" t="str">
        <f>Stadium7</f>
        <v>Boston Stadium</v>
      </c>
      <c r="K68" s="329" t="str">
        <f t="shared" si="9"/>
        <v>I</v>
      </c>
      <c r="L68" s="323" t="str">
        <f t="shared" si="4"/>
        <v/>
      </c>
      <c r="M68" s="324" t="str">
        <f t="shared" si="5"/>
        <v/>
      </c>
      <c r="N68" s="330">
        <f>Results!X63</f>
        <v>0.17076951605000001</v>
      </c>
      <c r="O68" s="330">
        <f>Results!Y63</f>
        <v>0.17624096789999999</v>
      </c>
      <c r="P68" s="330">
        <f>Results!Z63</f>
        <v>0.65298951605</v>
      </c>
      <c r="R68" s="347">
        <v>3</v>
      </c>
      <c r="S68" s="348" t="str">
        <f>GrpI!B$47</f>
        <v>Norway</v>
      </c>
      <c r="T68" s="98">
        <f>GrpI!C$47</f>
        <v>0</v>
      </c>
      <c r="U68" s="98">
        <f>GrpI!D$47</f>
        <v>0</v>
      </c>
      <c r="V68" s="98">
        <f>GrpI!E$47</f>
        <v>0</v>
      </c>
      <c r="W68" s="98">
        <f>GrpI!F$47</f>
        <v>0</v>
      </c>
      <c r="X68" s="98">
        <f>GrpI!G$47</f>
        <v>0</v>
      </c>
      <c r="Y68" s="98">
        <f>GrpI!H$47</f>
        <v>0</v>
      </c>
      <c r="Z68" s="349">
        <f>GrpI!I$47</f>
        <v>0</v>
      </c>
      <c r="AA68" s="350">
        <f>GrpI!J$47</f>
        <v>0</v>
      </c>
      <c r="AC68" s="351" t="str">
        <f>GrpI!K$47</f>
        <v>Norway</v>
      </c>
      <c r="AD68" s="353" t="str">
        <f>GrpI!L$47</f>
        <v>-</v>
      </c>
      <c r="AE68" s="353" t="str">
        <f>GrpI!M$47</f>
        <v>-</v>
      </c>
      <c r="AF68" s="352"/>
      <c r="AG68" s="353" t="str">
        <f>GrpI!O$47</f>
        <v>-</v>
      </c>
      <c r="AH68" s="354">
        <f>AA68</f>
        <v>0</v>
      </c>
    </row>
    <row r="69" spans="1:34" ht="14.25" customHeight="1" x14ac:dyDescent="0.2">
      <c r="A69" s="444" t="s">
        <v>605</v>
      </c>
      <c r="B69" s="325">
        <v>46199</v>
      </c>
      <c r="C69" s="326">
        <v>0.83333333333333337</v>
      </c>
      <c r="D69" s="327" t="str">
        <f t="shared" si="8"/>
        <v>I</v>
      </c>
      <c r="E69" s="100" t="str">
        <f t="shared" si="6"/>
        <v>Senegal</v>
      </c>
      <c r="F69" s="138"/>
      <c r="G69" s="328" t="s">
        <v>536</v>
      </c>
      <c r="H69" s="137"/>
      <c r="I69" s="101" t="str">
        <f t="shared" si="7"/>
        <v>Iraq</v>
      </c>
      <c r="J69" s="101" t="str">
        <f>Stadium1</f>
        <v>Toronto Stadium</v>
      </c>
      <c r="K69" s="329" t="str">
        <f t="shared" si="9"/>
        <v>I</v>
      </c>
      <c r="L69" s="323" t="str">
        <f t="shared" si="4"/>
        <v/>
      </c>
      <c r="M69" s="324" t="str">
        <f t="shared" si="5"/>
        <v/>
      </c>
      <c r="N69" s="330">
        <f>Results!X64</f>
        <v>0.69067281604999997</v>
      </c>
      <c r="O69" s="330">
        <f>Results!Y64</f>
        <v>0.16087436789999998</v>
      </c>
      <c r="P69" s="330">
        <f>Results!Z64</f>
        <v>0.14845281604999999</v>
      </c>
      <c r="R69" s="347">
        <v>4</v>
      </c>
      <c r="S69" s="355" t="str">
        <f>GrpI!B$48</f>
        <v>Iraq</v>
      </c>
      <c r="T69" s="356">
        <f>GrpI!C$48</f>
        <v>0</v>
      </c>
      <c r="U69" s="356">
        <f>GrpI!D$48</f>
        <v>0</v>
      </c>
      <c r="V69" s="356">
        <f>GrpI!E$48</f>
        <v>0</v>
      </c>
      <c r="W69" s="356">
        <f>GrpI!F$48</f>
        <v>0</v>
      </c>
      <c r="X69" s="356">
        <f>GrpI!G$48</f>
        <v>0</v>
      </c>
      <c r="Y69" s="356">
        <f>GrpI!H$48</f>
        <v>0</v>
      </c>
      <c r="Z69" s="357">
        <f>GrpI!I$48</f>
        <v>0</v>
      </c>
      <c r="AA69" s="358">
        <f>GrpI!J$48</f>
        <v>0</v>
      </c>
      <c r="AC69" s="359" t="str">
        <f>GrpI!K$48</f>
        <v>Iraq</v>
      </c>
      <c r="AD69" s="360" t="str">
        <f>GrpI!L$48</f>
        <v>-</v>
      </c>
      <c r="AE69" s="360" t="str">
        <f>GrpI!M$48</f>
        <v>-</v>
      </c>
      <c r="AF69" s="360" t="str">
        <f>GrpI!N$48</f>
        <v>-</v>
      </c>
      <c r="AG69" s="361"/>
      <c r="AH69" s="362">
        <f>AA69</f>
        <v>0</v>
      </c>
    </row>
    <row r="70" spans="1:34" ht="14.25" customHeight="1" x14ac:dyDescent="0.2">
      <c r="A70" s="444" t="s">
        <v>606</v>
      </c>
      <c r="B70" s="325">
        <v>46200</v>
      </c>
      <c r="C70" s="326">
        <v>4.1666666666666664E-2</v>
      </c>
      <c r="D70" s="327" t="str">
        <f t="shared" si="8"/>
        <v>H</v>
      </c>
      <c r="E70" s="100" t="str">
        <f t="shared" si="6"/>
        <v>Cabo Verde</v>
      </c>
      <c r="F70" s="138"/>
      <c r="G70" s="328" t="s">
        <v>536</v>
      </c>
      <c r="H70" s="137"/>
      <c r="I70" s="101" t="str">
        <f t="shared" si="7"/>
        <v>Saudi Arabia</v>
      </c>
      <c r="J70" s="101" t="str">
        <f>Stadium9</f>
        <v>Houston Stadium</v>
      </c>
      <c r="K70" s="329" t="str">
        <f t="shared" si="9"/>
        <v>H</v>
      </c>
      <c r="L70" s="323" t="str">
        <f t="shared" si="4"/>
        <v/>
      </c>
      <c r="M70" s="324" t="str">
        <f t="shared" si="5"/>
        <v/>
      </c>
      <c r="N70" s="330">
        <f>Results!X65</f>
        <v>0.30486328125000001</v>
      </c>
      <c r="O70" s="330">
        <f>Results!Y65</f>
        <v>0.22777343750000006</v>
      </c>
      <c r="P70" s="330">
        <f>Results!Z65</f>
        <v>0.46736328124999993</v>
      </c>
      <c r="Z70" s="349"/>
      <c r="AD70" s="98"/>
      <c r="AE70" s="98"/>
      <c r="AF70" s="98"/>
      <c r="AG70" s="98"/>
      <c r="AH70" s="98"/>
    </row>
    <row r="71" spans="1:34" ht="14.25" customHeight="1" x14ac:dyDescent="0.2">
      <c r="A71" s="444" t="s">
        <v>607</v>
      </c>
      <c r="B71" s="325">
        <v>46200</v>
      </c>
      <c r="C71" s="326">
        <v>4.1666666666666664E-2</v>
      </c>
      <c r="D71" s="327" t="str">
        <f t="shared" si="8"/>
        <v>H</v>
      </c>
      <c r="E71" s="100" t="str">
        <f t="shared" si="6"/>
        <v>Uruguay</v>
      </c>
      <c r="F71" s="138"/>
      <c r="G71" s="328" t="s">
        <v>536</v>
      </c>
      <c r="H71" s="137"/>
      <c r="I71" s="101" t="str">
        <f t="shared" si="7"/>
        <v>Spain</v>
      </c>
      <c r="J71" s="101" t="str">
        <f>Stadium4</f>
        <v>Estadio Guadalajara</v>
      </c>
      <c r="K71" s="329" t="str">
        <f t="shared" si="9"/>
        <v>H</v>
      </c>
      <c r="L71" s="323" t="str">
        <f t="shared" si="4"/>
        <v/>
      </c>
      <c r="M71" s="324" t="str">
        <f t="shared" si="5"/>
        <v/>
      </c>
      <c r="N71" s="330">
        <f>Results!X66</f>
        <v>0.19585078124999999</v>
      </c>
      <c r="O71" s="330">
        <f>Results!Y66</f>
        <v>0.19079843750000003</v>
      </c>
      <c r="P71" s="330">
        <f>Results!Z66</f>
        <v>0.61335078124999998</v>
      </c>
      <c r="R71" s="331"/>
      <c r="S71" s="332" t="s">
        <v>528</v>
      </c>
      <c r="T71" s="333"/>
      <c r="U71" s="333"/>
      <c r="V71" s="333"/>
      <c r="W71" s="333"/>
      <c r="X71" s="333"/>
      <c r="Y71" s="333"/>
      <c r="Z71" s="334"/>
      <c r="AA71" s="335"/>
      <c r="AC71" s="336" t="str">
        <f>S71</f>
        <v>Group J</v>
      </c>
      <c r="AD71" s="337"/>
      <c r="AE71" s="337"/>
      <c r="AF71" s="337"/>
      <c r="AG71" s="337"/>
      <c r="AH71" s="338"/>
    </row>
    <row r="72" spans="1:34" ht="14.25" customHeight="1" x14ac:dyDescent="0.2">
      <c r="A72" s="444" t="s">
        <v>608</v>
      </c>
      <c r="B72" s="325">
        <v>46200</v>
      </c>
      <c r="C72" s="326">
        <v>0.16666666666666666</v>
      </c>
      <c r="D72" s="327" t="str">
        <f t="shared" si="8"/>
        <v>G</v>
      </c>
      <c r="E72" s="100" t="str">
        <f t="shared" ref="E72:E79" si="10">VLOOKUP(LEFT(A72,2),Lookup08,2)</f>
        <v>Egypt</v>
      </c>
      <c r="F72" s="138"/>
      <c r="G72" s="328" t="s">
        <v>536</v>
      </c>
      <c r="H72" s="137"/>
      <c r="I72" s="101" t="str">
        <f t="shared" ref="I72:I79" si="11">VLOOKUP(RIGHT(A72,2),Lookup08,2)</f>
        <v>IR Iran</v>
      </c>
      <c r="J72" s="101" t="str">
        <f>Stadium16</f>
        <v>Seattle Stadium</v>
      </c>
      <c r="K72" s="329" t="str">
        <f t="shared" si="9"/>
        <v>G</v>
      </c>
      <c r="L72" s="323" t="str">
        <f t="shared" si="4"/>
        <v/>
      </c>
      <c r="M72" s="324" t="str">
        <f t="shared" si="5"/>
        <v/>
      </c>
      <c r="N72" s="330">
        <f>Results!X67</f>
        <v>0.39575518979999996</v>
      </c>
      <c r="O72" s="330">
        <f>Results!Y67</f>
        <v>0.2342096204000001</v>
      </c>
      <c r="P72" s="330">
        <f>Results!Z67</f>
        <v>0.37003518979999994</v>
      </c>
      <c r="R72" s="339" t="s">
        <v>325</v>
      </c>
      <c r="S72" s="340" t="s">
        <v>310</v>
      </c>
      <c r="T72" s="341" t="s">
        <v>311</v>
      </c>
      <c r="U72" s="341" t="s">
        <v>305</v>
      </c>
      <c r="V72" s="341" t="s">
        <v>15</v>
      </c>
      <c r="W72" s="341" t="s">
        <v>306</v>
      </c>
      <c r="X72" s="341" t="s">
        <v>307</v>
      </c>
      <c r="Y72" s="341" t="s">
        <v>16</v>
      </c>
      <c r="Z72" s="342" t="s">
        <v>308</v>
      </c>
      <c r="AA72" s="343" t="s">
        <v>566</v>
      </c>
      <c r="AC72" s="344" t="s">
        <v>310</v>
      </c>
      <c r="AD72" s="345" t="str">
        <f>LEFT($AC73,3)</f>
        <v>Arg</v>
      </c>
      <c r="AE72" s="345" t="str">
        <f>LEFT($AC74,3)</f>
        <v>Aus</v>
      </c>
      <c r="AF72" s="345" t="str">
        <f>LEFT($AC75,3)</f>
        <v>Alg</v>
      </c>
      <c r="AG72" s="345" t="str">
        <f>LEFT($AC76,3)</f>
        <v>Jor</v>
      </c>
      <c r="AH72" s="346" t="s">
        <v>566</v>
      </c>
    </row>
    <row r="73" spans="1:34" ht="14.25" customHeight="1" x14ac:dyDescent="0.2">
      <c r="A73" s="444" t="s">
        <v>609</v>
      </c>
      <c r="B73" s="325">
        <v>46200</v>
      </c>
      <c r="C73" s="326">
        <v>0.16666666666666666</v>
      </c>
      <c r="D73" s="327" t="str">
        <f t="shared" si="8"/>
        <v>G</v>
      </c>
      <c r="E73" s="100" t="str">
        <f t="shared" si="10"/>
        <v>New Zealand</v>
      </c>
      <c r="F73" s="138"/>
      <c r="G73" s="328" t="s">
        <v>536</v>
      </c>
      <c r="H73" s="137"/>
      <c r="I73" s="101" t="str">
        <f t="shared" si="11"/>
        <v>Belgium</v>
      </c>
      <c r="J73" s="101" t="str">
        <f>Stadium2</f>
        <v>BC Place Vancouver</v>
      </c>
      <c r="K73" s="329" t="str">
        <f t="shared" si="9"/>
        <v>G</v>
      </c>
      <c r="L73" s="323" t="str">
        <f t="shared" ref="L73:L79" si="12">IF(F73&lt;&gt;"",IF(F73&gt;H73,E73,IF(H73&gt;F73,I73,"D"&amp;E73)),"")</f>
        <v/>
      </c>
      <c r="M73" s="324" t="str">
        <f t="shared" ref="M73:M79" si="13">IF(F73&lt;&gt;"",IF(F73&lt;H73,E73,IF(H73&lt;F73,I73,"D"&amp;I73)),"")</f>
        <v/>
      </c>
      <c r="N73" s="330">
        <f>Results!X68</f>
        <v>3.6591988199999988E-2</v>
      </c>
      <c r="O73" s="330">
        <f>Results!Y68</f>
        <v>3.5976023600000066E-2</v>
      </c>
      <c r="P73" s="330">
        <f>Results!Z68</f>
        <v>0.92743198819999995</v>
      </c>
      <c r="R73" s="347">
        <v>1</v>
      </c>
      <c r="S73" s="348" t="str">
        <f>GrpJ!B$45</f>
        <v>Argentina</v>
      </c>
      <c r="T73" s="98">
        <f>GrpJ!C$45</f>
        <v>0</v>
      </c>
      <c r="U73" s="98">
        <f>GrpJ!D$45</f>
        <v>0</v>
      </c>
      <c r="V73" s="98">
        <f>GrpJ!E$45</f>
        <v>0</v>
      </c>
      <c r="W73" s="98">
        <f>GrpJ!F$45</f>
        <v>0</v>
      </c>
      <c r="X73" s="98">
        <f>GrpJ!G$45</f>
        <v>0</v>
      </c>
      <c r="Y73" s="98">
        <f>GrpJ!H$45</f>
        <v>0</v>
      </c>
      <c r="Z73" s="349">
        <f>GrpJ!I$45</f>
        <v>0</v>
      </c>
      <c r="AA73" s="350">
        <f>GrpJ!J$45</f>
        <v>0</v>
      </c>
      <c r="AC73" s="351" t="str">
        <f>GrpJ!K$45</f>
        <v>Argentina</v>
      </c>
      <c r="AD73" s="352"/>
      <c r="AE73" s="353" t="str">
        <f>GrpJ!M$45</f>
        <v>-</v>
      </c>
      <c r="AF73" s="353" t="str">
        <f>GrpJ!N$45</f>
        <v>-</v>
      </c>
      <c r="AG73" s="353" t="str">
        <f>GrpJ!O$45</f>
        <v>-</v>
      </c>
      <c r="AH73" s="354">
        <f>AA73</f>
        <v>0</v>
      </c>
    </row>
    <row r="74" spans="1:34" ht="14.25" customHeight="1" x14ac:dyDescent="0.2">
      <c r="A74" s="444" t="s">
        <v>610</v>
      </c>
      <c r="B74" s="325">
        <v>46200</v>
      </c>
      <c r="C74" s="326">
        <v>0.91666666666666663</v>
      </c>
      <c r="D74" s="327" t="str">
        <f t="shared" si="8"/>
        <v>L</v>
      </c>
      <c r="E74" s="100" t="str">
        <f t="shared" si="10"/>
        <v>Panama</v>
      </c>
      <c r="F74" s="138"/>
      <c r="G74" s="328" t="s">
        <v>536</v>
      </c>
      <c r="H74" s="137"/>
      <c r="I74" s="101" t="str">
        <f t="shared" si="11"/>
        <v>England</v>
      </c>
      <c r="J74" s="101" t="str">
        <f>Stadium13</f>
        <v>MetLife Stadium</v>
      </c>
      <c r="K74" s="329" t="str">
        <f t="shared" si="9"/>
        <v>L</v>
      </c>
      <c r="L74" s="323" t="str">
        <f t="shared" si="12"/>
        <v/>
      </c>
      <c r="M74" s="324" t="str">
        <f t="shared" si="13"/>
        <v/>
      </c>
      <c r="N74" s="330">
        <f>Results!X69</f>
        <v>0.129917</v>
      </c>
      <c r="O74" s="330">
        <f>Results!Y69</f>
        <v>0.14616600000000007</v>
      </c>
      <c r="P74" s="330">
        <f>Results!Z69</f>
        <v>0.72391699999999992</v>
      </c>
      <c r="R74" s="347">
        <v>2</v>
      </c>
      <c r="S74" s="348" t="str">
        <f>GrpJ!B$46</f>
        <v>Austria</v>
      </c>
      <c r="T74" s="98">
        <f>GrpJ!C$46</f>
        <v>0</v>
      </c>
      <c r="U74" s="98">
        <f>GrpJ!D$46</f>
        <v>0</v>
      </c>
      <c r="V74" s="98">
        <f>GrpJ!E$46</f>
        <v>0</v>
      </c>
      <c r="W74" s="98">
        <f>GrpJ!F$46</f>
        <v>0</v>
      </c>
      <c r="X74" s="98">
        <f>GrpJ!G$46</f>
        <v>0</v>
      </c>
      <c r="Y74" s="98">
        <f>GrpJ!H$46</f>
        <v>0</v>
      </c>
      <c r="Z74" s="349">
        <f>GrpJ!I$46</f>
        <v>0</v>
      </c>
      <c r="AA74" s="350">
        <f>GrpJ!J$46</f>
        <v>0</v>
      </c>
      <c r="AC74" s="351" t="str">
        <f>GrpJ!K$46</f>
        <v>Austria</v>
      </c>
      <c r="AD74" s="353" t="str">
        <f>GrpJ!L$46</f>
        <v>-</v>
      </c>
      <c r="AE74" s="352"/>
      <c r="AF74" s="353" t="str">
        <f>GrpJ!N$46</f>
        <v>-</v>
      </c>
      <c r="AG74" s="353" t="str">
        <f>GrpJ!O$46</f>
        <v>-</v>
      </c>
      <c r="AH74" s="354">
        <f>AA74</f>
        <v>0</v>
      </c>
    </row>
    <row r="75" spans="1:34" ht="14.25" customHeight="1" x14ac:dyDescent="0.2">
      <c r="A75" s="444" t="s">
        <v>611</v>
      </c>
      <c r="B75" s="325">
        <v>46200</v>
      </c>
      <c r="C75" s="326">
        <v>0.91666666666666663</v>
      </c>
      <c r="D75" s="327" t="str">
        <f t="shared" si="8"/>
        <v>L</v>
      </c>
      <c r="E75" s="100" t="str">
        <f t="shared" si="10"/>
        <v>Croatia</v>
      </c>
      <c r="F75" s="138"/>
      <c r="G75" s="328" t="s">
        <v>536</v>
      </c>
      <c r="H75" s="137"/>
      <c r="I75" s="101" t="str">
        <f t="shared" si="11"/>
        <v>Ghana</v>
      </c>
      <c r="J75" s="101" t="str">
        <f>Stadium14</f>
        <v>Philadelphia Stadium</v>
      </c>
      <c r="K75" s="329" t="str">
        <f t="shared" si="9"/>
        <v>L</v>
      </c>
      <c r="L75" s="323" t="str">
        <f t="shared" si="12"/>
        <v/>
      </c>
      <c r="M75" s="324" t="str">
        <f t="shared" si="13"/>
        <v/>
      </c>
      <c r="N75" s="330">
        <f>Results!X70</f>
        <v>0.74324835619999996</v>
      </c>
      <c r="O75" s="330">
        <f>Results!Y70</f>
        <v>0.13714328759999994</v>
      </c>
      <c r="P75" s="330">
        <f>Results!Z70</f>
        <v>0.11960835620000004</v>
      </c>
      <c r="R75" s="347">
        <v>3</v>
      </c>
      <c r="S75" s="348" t="str">
        <f>GrpJ!B$47</f>
        <v>Algeria</v>
      </c>
      <c r="T75" s="98">
        <f>GrpJ!C$47</f>
        <v>0</v>
      </c>
      <c r="U75" s="98">
        <f>GrpJ!D$47</f>
        <v>0</v>
      </c>
      <c r="V75" s="98">
        <f>GrpJ!E$47</f>
        <v>0</v>
      </c>
      <c r="W75" s="98">
        <f>GrpJ!F$47</f>
        <v>0</v>
      </c>
      <c r="X75" s="98">
        <f>GrpJ!G$47</f>
        <v>0</v>
      </c>
      <c r="Y75" s="98">
        <f>GrpJ!H$47</f>
        <v>0</v>
      </c>
      <c r="Z75" s="349">
        <f>GrpJ!I$47</f>
        <v>0</v>
      </c>
      <c r="AA75" s="350">
        <f>GrpJ!J$47</f>
        <v>0</v>
      </c>
      <c r="AC75" s="351" t="str">
        <f>GrpJ!K$47</f>
        <v>Algeria</v>
      </c>
      <c r="AD75" s="353" t="str">
        <f>GrpJ!L$47</f>
        <v>-</v>
      </c>
      <c r="AE75" s="353" t="str">
        <f>GrpJ!M$47</f>
        <v>-</v>
      </c>
      <c r="AF75" s="352"/>
      <c r="AG75" s="353" t="str">
        <f>GrpJ!O$47</f>
        <v>-</v>
      </c>
      <c r="AH75" s="354">
        <f>AA75</f>
        <v>0</v>
      </c>
    </row>
    <row r="76" spans="1:34" ht="14.25" customHeight="1" x14ac:dyDescent="0.2">
      <c r="A76" s="444" t="s">
        <v>612</v>
      </c>
      <c r="B76" s="325">
        <v>46201</v>
      </c>
      <c r="C76" s="326">
        <v>2.0833333333333332E-2</v>
      </c>
      <c r="D76" s="327" t="str">
        <f t="shared" si="8"/>
        <v>K</v>
      </c>
      <c r="E76" s="100" t="str">
        <f t="shared" si="10"/>
        <v>Colombia</v>
      </c>
      <c r="F76" s="138"/>
      <c r="G76" s="328" t="s">
        <v>536</v>
      </c>
      <c r="H76" s="137"/>
      <c r="I76" s="101" t="str">
        <f t="shared" si="11"/>
        <v>Portugal</v>
      </c>
      <c r="J76" s="101" t="str">
        <f>Stadium12</f>
        <v>Miami Stadium</v>
      </c>
      <c r="K76" s="329" t="str">
        <f t="shared" si="9"/>
        <v>K</v>
      </c>
      <c r="L76" s="323" t="str">
        <f t="shared" si="12"/>
        <v/>
      </c>
      <c r="M76" s="324" t="str">
        <f t="shared" si="13"/>
        <v/>
      </c>
      <c r="N76" s="330">
        <f>Results!X71</f>
        <v>0.28220703125000002</v>
      </c>
      <c r="O76" s="330">
        <f>Results!Y71</f>
        <v>0.22308593750000005</v>
      </c>
      <c r="P76" s="330">
        <f>Results!Z71</f>
        <v>0.49470703124999998</v>
      </c>
      <c r="R76" s="347">
        <v>4</v>
      </c>
      <c r="S76" s="355" t="str">
        <f>GrpJ!B$48</f>
        <v>Jordan</v>
      </c>
      <c r="T76" s="356">
        <f>GrpJ!C$48</f>
        <v>0</v>
      </c>
      <c r="U76" s="356">
        <f>GrpJ!D$48</f>
        <v>0</v>
      </c>
      <c r="V76" s="356">
        <f>GrpJ!E$48</f>
        <v>0</v>
      </c>
      <c r="W76" s="356">
        <f>GrpJ!F$48</f>
        <v>0</v>
      </c>
      <c r="X76" s="356">
        <f>GrpJ!G$48</f>
        <v>0</v>
      </c>
      <c r="Y76" s="356">
        <f>GrpJ!H$48</f>
        <v>0</v>
      </c>
      <c r="Z76" s="357">
        <f>GrpJ!I$48</f>
        <v>0</v>
      </c>
      <c r="AA76" s="358">
        <f>GrpJ!J$48</f>
        <v>0</v>
      </c>
      <c r="AC76" s="359" t="str">
        <f>GrpJ!K$48</f>
        <v>Jordan</v>
      </c>
      <c r="AD76" s="360" t="str">
        <f>GrpJ!L$48</f>
        <v>-</v>
      </c>
      <c r="AE76" s="360" t="str">
        <f>GrpJ!M$48</f>
        <v>-</v>
      </c>
      <c r="AF76" s="360" t="str">
        <f>GrpJ!N$48</f>
        <v>-</v>
      </c>
      <c r="AG76" s="361"/>
      <c r="AH76" s="362">
        <f>AA76</f>
        <v>0</v>
      </c>
    </row>
    <row r="77" spans="1:34" ht="14.25" customHeight="1" x14ac:dyDescent="0.2">
      <c r="A77" s="444" t="s">
        <v>613</v>
      </c>
      <c r="B77" s="325">
        <v>46201</v>
      </c>
      <c r="C77" s="326">
        <v>2.0833333333333332E-2</v>
      </c>
      <c r="D77" s="327" t="str">
        <f t="shared" si="8"/>
        <v>K</v>
      </c>
      <c r="E77" s="100" t="str">
        <f t="shared" si="10"/>
        <v>Congo DR</v>
      </c>
      <c r="F77" s="138"/>
      <c r="G77" s="328" t="s">
        <v>536</v>
      </c>
      <c r="H77" s="137"/>
      <c r="I77" s="101" t="str">
        <f t="shared" si="11"/>
        <v>Uzbekistan</v>
      </c>
      <c r="J77" s="101" t="str">
        <f>Stadium6</f>
        <v>Atlanta Stadium</v>
      </c>
      <c r="K77" s="329" t="str">
        <f t="shared" si="9"/>
        <v>K</v>
      </c>
      <c r="L77" s="323" t="str">
        <f t="shared" si="12"/>
        <v/>
      </c>
      <c r="M77" s="324" t="str">
        <f t="shared" si="13"/>
        <v/>
      </c>
      <c r="N77" s="330">
        <f>Results!X72</f>
        <v>0.40885300205000003</v>
      </c>
      <c r="O77" s="330">
        <f>Results!Y72</f>
        <v>0.23371399590000003</v>
      </c>
      <c r="P77" s="330">
        <f>Results!Z72</f>
        <v>0.35743300204999995</v>
      </c>
      <c r="Z77" s="349"/>
      <c r="AD77" s="98"/>
      <c r="AE77" s="98"/>
      <c r="AF77" s="98"/>
      <c r="AG77" s="98"/>
      <c r="AH77" s="98"/>
    </row>
    <row r="78" spans="1:34" ht="14.25" customHeight="1" x14ac:dyDescent="0.2">
      <c r="A78" s="444" t="s">
        <v>614</v>
      </c>
      <c r="B78" s="325">
        <v>46201</v>
      </c>
      <c r="C78" s="326">
        <v>0.125</v>
      </c>
      <c r="D78" s="327" t="str">
        <f t="shared" si="8"/>
        <v>J</v>
      </c>
      <c r="E78" s="100" t="str">
        <f t="shared" si="10"/>
        <v>Algeria</v>
      </c>
      <c r="F78" s="138"/>
      <c r="G78" s="328" t="s">
        <v>536</v>
      </c>
      <c r="H78" s="137"/>
      <c r="I78" s="101" t="str">
        <f t="shared" si="11"/>
        <v>Austria</v>
      </c>
      <c r="J78" s="101" t="str">
        <f>Stadium10</f>
        <v>Kansas City Stadium</v>
      </c>
      <c r="K78" s="329" t="str">
        <f t="shared" si="9"/>
        <v>J</v>
      </c>
      <c r="L78" s="323" t="str">
        <f t="shared" si="12"/>
        <v/>
      </c>
      <c r="M78" s="324" t="str">
        <f t="shared" si="13"/>
        <v/>
      </c>
      <c r="N78" s="330">
        <f>Results!X73</f>
        <v>0.35743300205</v>
      </c>
      <c r="O78" s="330">
        <f>Results!Y73</f>
        <v>0.23371399590000003</v>
      </c>
      <c r="P78" s="330">
        <f>Results!Z73</f>
        <v>0.40885300204999997</v>
      </c>
      <c r="R78" s="331"/>
      <c r="S78" s="332" t="s">
        <v>529</v>
      </c>
      <c r="T78" s="333"/>
      <c r="U78" s="333"/>
      <c r="V78" s="333"/>
      <c r="W78" s="333"/>
      <c r="X78" s="333"/>
      <c r="Y78" s="333"/>
      <c r="Z78" s="334"/>
      <c r="AA78" s="335"/>
      <c r="AC78" s="336" t="str">
        <f>S78</f>
        <v>Group K</v>
      </c>
      <c r="AD78" s="337"/>
      <c r="AE78" s="337"/>
      <c r="AF78" s="337"/>
      <c r="AG78" s="337"/>
      <c r="AH78" s="338"/>
    </row>
    <row r="79" spans="1:34" ht="14.25" customHeight="1" x14ac:dyDescent="0.2">
      <c r="A79" s="444" t="s">
        <v>615</v>
      </c>
      <c r="B79" s="325">
        <v>46201</v>
      </c>
      <c r="C79" s="326">
        <v>0.125</v>
      </c>
      <c r="D79" s="327" t="str">
        <f t="shared" si="8"/>
        <v>J</v>
      </c>
      <c r="E79" s="100" t="str">
        <f t="shared" si="10"/>
        <v>Jordan</v>
      </c>
      <c r="F79" s="138"/>
      <c r="G79" s="328" t="s">
        <v>536</v>
      </c>
      <c r="H79" s="137"/>
      <c r="I79" s="101" t="str">
        <f t="shared" si="11"/>
        <v>Argentina</v>
      </c>
      <c r="J79" s="101" t="str">
        <f>Stadium8</f>
        <v>Dallas Stadium</v>
      </c>
      <c r="K79" s="329" t="str">
        <f t="shared" si="9"/>
        <v>J</v>
      </c>
      <c r="L79" s="323" t="str">
        <f t="shared" si="12"/>
        <v/>
      </c>
      <c r="M79" s="324" t="str">
        <f t="shared" si="13"/>
        <v/>
      </c>
      <c r="N79" s="330">
        <f>Results!X74</f>
        <v>4.7837624999999995E-2</v>
      </c>
      <c r="O79" s="330">
        <f>Results!Y74</f>
        <v>5.3324750000000032E-2</v>
      </c>
      <c r="P79" s="330">
        <f>Results!Z74</f>
        <v>0.89883762499999997</v>
      </c>
      <c r="R79" s="339" t="s">
        <v>325</v>
      </c>
      <c r="S79" s="340" t="s">
        <v>310</v>
      </c>
      <c r="T79" s="341" t="s">
        <v>311</v>
      </c>
      <c r="U79" s="341" t="s">
        <v>305</v>
      </c>
      <c r="V79" s="341" t="s">
        <v>15</v>
      </c>
      <c r="W79" s="341" t="s">
        <v>306</v>
      </c>
      <c r="X79" s="341" t="s">
        <v>307</v>
      </c>
      <c r="Y79" s="341" t="s">
        <v>16</v>
      </c>
      <c r="Z79" s="342" t="s">
        <v>308</v>
      </c>
      <c r="AA79" s="343" t="s">
        <v>566</v>
      </c>
      <c r="AC79" s="344" t="s">
        <v>310</v>
      </c>
      <c r="AD79" s="345" t="str">
        <f>LEFT($AC80,3)</f>
        <v>Por</v>
      </c>
      <c r="AE79" s="345" t="str">
        <f>LEFT($AC81,3)</f>
        <v>Col</v>
      </c>
      <c r="AF79" s="345" t="str">
        <f>LEFT($AC82,3)</f>
        <v>Con</v>
      </c>
      <c r="AG79" s="345" t="str">
        <f>LEFT($AC83,3)</f>
        <v>Uzb</v>
      </c>
      <c r="AH79" s="346" t="s">
        <v>566</v>
      </c>
    </row>
    <row r="80" spans="1:34" ht="14.25" customHeight="1" x14ac:dyDescent="0.2">
      <c r="A80" s="444"/>
      <c r="E80" s="102"/>
      <c r="F80" s="98"/>
      <c r="G80" s="98"/>
      <c r="H80" s="98"/>
      <c r="K80" s="322"/>
      <c r="L80" s="323"/>
      <c r="M80" s="324"/>
      <c r="N80" s="366"/>
      <c r="O80" s="366"/>
      <c r="P80" s="366"/>
      <c r="R80" s="347">
        <v>1</v>
      </c>
      <c r="S80" s="348" t="str">
        <f>GrpK!B$45</f>
        <v>Portugal</v>
      </c>
      <c r="T80" s="98">
        <f>GrpK!C$45</f>
        <v>0</v>
      </c>
      <c r="U80" s="98">
        <f>GrpK!D$45</f>
        <v>0</v>
      </c>
      <c r="V80" s="98">
        <f>GrpK!E$45</f>
        <v>0</v>
      </c>
      <c r="W80" s="98">
        <f>GrpK!F$45</f>
        <v>0</v>
      </c>
      <c r="X80" s="98">
        <f>GrpK!G$45</f>
        <v>0</v>
      </c>
      <c r="Y80" s="98">
        <f>GrpK!H$45</f>
        <v>0</v>
      </c>
      <c r="Z80" s="349">
        <f>GrpK!I$45</f>
        <v>0</v>
      </c>
      <c r="AA80" s="350">
        <f>GrpK!J$45</f>
        <v>0</v>
      </c>
      <c r="AC80" s="351" t="str">
        <f>GrpK!K$45</f>
        <v>Portugal</v>
      </c>
      <c r="AD80" s="352"/>
      <c r="AE80" s="353" t="str">
        <f>GrpK!M$45</f>
        <v>-</v>
      </c>
      <c r="AF80" s="353" t="str">
        <f>GrpK!N$45</f>
        <v>-</v>
      </c>
      <c r="AG80" s="353" t="str">
        <f>GrpK!O$45</f>
        <v>-</v>
      </c>
      <c r="AH80" s="354">
        <f>AA80</f>
        <v>0</v>
      </c>
    </row>
    <row r="81" spans="1:34" ht="14.25" customHeight="1" x14ac:dyDescent="0.2">
      <c r="A81" s="444"/>
      <c r="B81" s="312"/>
      <c r="C81" s="312"/>
      <c r="D81" s="313"/>
      <c r="E81" s="666" t="s">
        <v>532</v>
      </c>
      <c r="F81" s="666"/>
      <c r="G81" s="666"/>
      <c r="H81" s="666"/>
      <c r="I81" s="666"/>
      <c r="J81" s="312"/>
      <c r="K81" s="367"/>
      <c r="L81" s="323"/>
      <c r="M81" s="324"/>
      <c r="N81" s="667" t="s">
        <v>386</v>
      </c>
      <c r="O81" s="667"/>
      <c r="P81" s="667"/>
      <c r="R81" s="347">
        <v>2</v>
      </c>
      <c r="S81" s="348" t="str">
        <f>GrpK!B$46</f>
        <v>Colombia</v>
      </c>
      <c r="T81" s="98">
        <f>GrpK!C$46</f>
        <v>0</v>
      </c>
      <c r="U81" s="98">
        <f>GrpK!D$46</f>
        <v>0</v>
      </c>
      <c r="V81" s="98">
        <f>GrpK!E$46</f>
        <v>0</v>
      </c>
      <c r="W81" s="98">
        <f>GrpK!F$46</f>
        <v>0</v>
      </c>
      <c r="X81" s="98">
        <f>GrpK!G$46</f>
        <v>0</v>
      </c>
      <c r="Y81" s="98">
        <f>GrpK!H$46</f>
        <v>0</v>
      </c>
      <c r="Z81" s="349">
        <f>GrpK!I$46</f>
        <v>0</v>
      </c>
      <c r="AA81" s="350">
        <f>GrpK!J$46</f>
        <v>0</v>
      </c>
      <c r="AC81" s="351" t="str">
        <f>GrpK!K$46</f>
        <v>Colombia</v>
      </c>
      <c r="AD81" s="353" t="str">
        <f>GrpK!L$46</f>
        <v>-</v>
      </c>
      <c r="AE81" s="352"/>
      <c r="AF81" s="353" t="str">
        <f>GrpK!N$46</f>
        <v>-</v>
      </c>
      <c r="AG81" s="353" t="str">
        <f>GrpK!O$46</f>
        <v>-</v>
      </c>
      <c r="AH81" s="354">
        <f>AA81</f>
        <v>0</v>
      </c>
    </row>
    <row r="82" spans="1:34" ht="14.25" customHeight="1" x14ac:dyDescent="0.2">
      <c r="A82" s="444"/>
      <c r="B82" s="315" t="s">
        <v>111</v>
      </c>
      <c r="C82" s="315" t="s">
        <v>319</v>
      </c>
      <c r="D82" s="316" t="s">
        <v>618</v>
      </c>
      <c r="E82" s="317"/>
      <c r="F82" s="368" t="s">
        <v>337</v>
      </c>
      <c r="G82" s="317"/>
      <c r="H82" s="317"/>
      <c r="I82" s="317"/>
      <c r="J82" s="318" t="s">
        <v>321</v>
      </c>
      <c r="K82" s="369"/>
      <c r="L82" s="323"/>
      <c r="M82" s="324"/>
      <c r="N82" s="370" t="s">
        <v>1</v>
      </c>
      <c r="O82" s="370" t="s">
        <v>25</v>
      </c>
      <c r="P82" s="370" t="s">
        <v>0</v>
      </c>
      <c r="R82" s="347">
        <v>3</v>
      </c>
      <c r="S82" s="348" t="str">
        <f>GrpK!B$47</f>
        <v>Congo DR</v>
      </c>
      <c r="T82" s="98">
        <f>GrpK!C$47</f>
        <v>0</v>
      </c>
      <c r="U82" s="98">
        <f>GrpK!D$47</f>
        <v>0</v>
      </c>
      <c r="V82" s="98">
        <f>GrpK!E$47</f>
        <v>0</v>
      </c>
      <c r="W82" s="98">
        <f>GrpK!F$47</f>
        <v>0</v>
      </c>
      <c r="X82" s="98">
        <f>GrpK!G$47</f>
        <v>0</v>
      </c>
      <c r="Y82" s="98">
        <f>GrpK!H$47</f>
        <v>0</v>
      </c>
      <c r="Z82" s="349">
        <f>GrpK!I$47</f>
        <v>0</v>
      </c>
      <c r="AA82" s="350">
        <f>GrpK!J$47</f>
        <v>0</v>
      </c>
      <c r="AC82" s="351" t="str">
        <f>GrpK!K$47</f>
        <v>Congo DR</v>
      </c>
      <c r="AD82" s="353" t="str">
        <f>GrpK!L$47</f>
        <v>-</v>
      </c>
      <c r="AE82" s="353" t="str">
        <f>GrpK!M$47</f>
        <v>-</v>
      </c>
      <c r="AF82" s="352"/>
      <c r="AG82" s="353" t="str">
        <f>GrpK!O$47</f>
        <v>-</v>
      </c>
      <c r="AH82" s="354">
        <f>AA82</f>
        <v>0</v>
      </c>
    </row>
    <row r="83" spans="1:34" ht="14.25" customHeight="1" x14ac:dyDescent="0.2">
      <c r="A83" s="444"/>
      <c r="F83" s="98"/>
      <c r="G83" s="98"/>
      <c r="H83" s="98"/>
      <c r="K83" s="322"/>
      <c r="L83" s="323"/>
      <c r="M83" s="324"/>
      <c r="N83" s="366"/>
      <c r="O83" s="366"/>
      <c r="P83" s="366"/>
      <c r="R83" s="347">
        <v>4</v>
      </c>
      <c r="S83" s="355" t="str">
        <f>GrpK!B$48</f>
        <v>Uzbekistan</v>
      </c>
      <c r="T83" s="356">
        <f>GrpK!C$48</f>
        <v>0</v>
      </c>
      <c r="U83" s="356">
        <f>GrpK!D$48</f>
        <v>0</v>
      </c>
      <c r="V83" s="356">
        <f>GrpK!E$48</f>
        <v>0</v>
      </c>
      <c r="W83" s="356">
        <f>GrpK!F$48</f>
        <v>0</v>
      </c>
      <c r="X83" s="356">
        <f>GrpK!G$48</f>
        <v>0</v>
      </c>
      <c r="Y83" s="356">
        <f>GrpK!H$48</f>
        <v>0</v>
      </c>
      <c r="Z83" s="357">
        <f>GrpK!I$48</f>
        <v>0</v>
      </c>
      <c r="AA83" s="358">
        <f>GrpK!J$48</f>
        <v>0</v>
      </c>
      <c r="AC83" s="359" t="str">
        <f>GrpK!K$48</f>
        <v>Uzbekistan</v>
      </c>
      <c r="AD83" s="360" t="str">
        <f>GrpK!L$48</f>
        <v>-</v>
      </c>
      <c r="AE83" s="360" t="str">
        <f>GrpK!M$48</f>
        <v>-</v>
      </c>
      <c r="AF83" s="360" t="str">
        <f>GrpK!N$48</f>
        <v>-</v>
      </c>
      <c r="AG83" s="361"/>
      <c r="AH83" s="362">
        <f>AA83</f>
        <v>0</v>
      </c>
    </row>
    <row r="84" spans="1:34" ht="14.25" customHeight="1" x14ac:dyDescent="0.2">
      <c r="A84" s="444" t="s">
        <v>1206</v>
      </c>
      <c r="B84" s="325">
        <v>46201</v>
      </c>
      <c r="C84" s="326">
        <v>0.83333333333333337</v>
      </c>
      <c r="D84" s="371" t="s">
        <v>1229</v>
      </c>
      <c r="E84" s="100" t="str">
        <f>IF(GrpA!C49=12,GrpA!B46,"Second in Group A")</f>
        <v>Second in Group A</v>
      </c>
      <c r="F84" s="140"/>
      <c r="G84" s="372" t="s">
        <v>536</v>
      </c>
      <c r="H84" s="141"/>
      <c r="I84" s="101" t="str">
        <f>IF(GrpB!C49=12,GrpB!B46,"Second in Group B")</f>
        <v>Second in Group B</v>
      </c>
      <c r="J84" s="101" t="str">
        <f>Stadium11</f>
        <v>Los Angeles Stadium</v>
      </c>
      <c r="K84" s="322"/>
      <c r="L84" s="323" t="str">
        <f>IF(F84&lt;&gt;"",IF((F84+F85+F86)&gt;(H84+H85+H86),E84,IF((H84+H85+H86)&gt;(F84+F85+F86),I84,"Winner Match "&amp;D84)),"Winner Match "&amp;D84)</f>
        <v>Winner Match 73</v>
      </c>
      <c r="M84" s="324"/>
      <c r="N84" s="445" t="str">
        <f>VLOOKUP($D84,Lookup20,24,FALSE)</f>
        <v/>
      </c>
      <c r="O84" s="446" t="str">
        <f>VLOOKUP($D84,Lookup20,25,FALSE)</f>
        <v/>
      </c>
      <c r="P84" s="445" t="str">
        <f>VLOOKUP($D84,Lookup20,26,FALSE)</f>
        <v/>
      </c>
      <c r="Z84" s="349"/>
      <c r="AB84" s="97" t="s">
        <v>327</v>
      </c>
      <c r="AD84" s="98"/>
      <c r="AE84" s="98"/>
      <c r="AF84" s="98"/>
      <c r="AG84" s="98"/>
      <c r="AH84" s="98"/>
    </row>
    <row r="85" spans="1:34" ht="14.25" customHeight="1" x14ac:dyDescent="0.2">
      <c r="A85" s="444"/>
      <c r="B85" s="325" t="s">
        <v>110</v>
      </c>
      <c r="C85" s="326"/>
      <c r="D85" s="98" t="str">
        <f>IF(E85="AET",D84&amp;"E","")</f>
        <v/>
      </c>
      <c r="E85" s="373" t="str">
        <f>IF(AND(F84=H84,F84&lt;&gt;""),"AET","")</f>
        <v/>
      </c>
      <c r="F85" s="139"/>
      <c r="G85" s="374" t="str">
        <f>IF(E85="","","-")</f>
        <v/>
      </c>
      <c r="H85" s="139"/>
      <c r="I85" s="101"/>
      <c r="J85" s="101"/>
      <c r="K85" s="322"/>
      <c r="L85" s="323"/>
      <c r="M85" s="324"/>
      <c r="N85" s="366"/>
      <c r="O85" s="366"/>
      <c r="P85" s="366"/>
      <c r="R85" s="331"/>
      <c r="S85" s="332" t="s">
        <v>530</v>
      </c>
      <c r="T85" s="333"/>
      <c r="U85" s="333"/>
      <c r="V85" s="333"/>
      <c r="W85" s="333"/>
      <c r="X85" s="333"/>
      <c r="Y85" s="333"/>
      <c r="Z85" s="334"/>
      <c r="AA85" s="335"/>
      <c r="AC85" s="336" t="str">
        <f>S85</f>
        <v>Group L</v>
      </c>
      <c r="AD85" s="337"/>
      <c r="AE85" s="337"/>
      <c r="AF85" s="337"/>
      <c r="AG85" s="337"/>
      <c r="AH85" s="338"/>
    </row>
    <row r="86" spans="1:34" ht="14.25" customHeight="1" x14ac:dyDescent="0.2">
      <c r="A86" s="444"/>
      <c r="B86" s="325" t="s">
        <v>110</v>
      </c>
      <c r="C86" s="326"/>
      <c r="D86" s="98" t="str">
        <f>IF(E86="Penalties",D84&amp;"P","")</f>
        <v/>
      </c>
      <c r="E86" s="375" t="str">
        <f>IF(AND(F85=H85,F85&lt;&gt;""),"Penalties","")</f>
        <v/>
      </c>
      <c r="F86" s="142"/>
      <c r="G86" s="374" t="str">
        <f>IF(E86="","","-")</f>
        <v/>
      </c>
      <c r="H86" s="142"/>
      <c r="I86" s="101"/>
      <c r="J86" s="101"/>
      <c r="K86" s="322"/>
      <c r="L86" s="323"/>
      <c r="M86" s="324"/>
      <c r="N86" s="366"/>
      <c r="O86" s="366"/>
      <c r="P86" s="366"/>
      <c r="R86" s="339" t="s">
        <v>325</v>
      </c>
      <c r="S86" s="340" t="s">
        <v>310</v>
      </c>
      <c r="T86" s="341" t="s">
        <v>311</v>
      </c>
      <c r="U86" s="341" t="s">
        <v>305</v>
      </c>
      <c r="V86" s="341" t="s">
        <v>15</v>
      </c>
      <c r="W86" s="341" t="s">
        <v>306</v>
      </c>
      <c r="X86" s="341" t="s">
        <v>307</v>
      </c>
      <c r="Y86" s="341" t="s">
        <v>16</v>
      </c>
      <c r="Z86" s="342" t="s">
        <v>308</v>
      </c>
      <c r="AA86" s="343" t="s">
        <v>566</v>
      </c>
      <c r="AC86" s="344" t="s">
        <v>310</v>
      </c>
      <c r="AD86" s="345" t="str">
        <f>LEFT($AC87,3)</f>
        <v>Eng</v>
      </c>
      <c r="AE86" s="345" t="str">
        <f>LEFT($AC88,3)</f>
        <v>Cro</v>
      </c>
      <c r="AF86" s="345" t="str">
        <f>LEFT($AC89,3)</f>
        <v>Pan</v>
      </c>
      <c r="AG86" s="345" t="str">
        <f>LEFT($AC90,3)</f>
        <v>Gha</v>
      </c>
      <c r="AH86" s="346" t="s">
        <v>566</v>
      </c>
    </row>
    <row r="87" spans="1:34" ht="14.25" customHeight="1" x14ac:dyDescent="0.2">
      <c r="A87" s="444" t="s">
        <v>1207</v>
      </c>
      <c r="B87" s="325">
        <v>46202</v>
      </c>
      <c r="C87" s="326">
        <v>0.75</v>
      </c>
      <c r="D87" s="371" t="s">
        <v>1231</v>
      </c>
      <c r="E87" s="100" t="str">
        <f>IF(GrpC!C49=12,GrpC!B45,"Winner Group C")</f>
        <v>Winner Group C</v>
      </c>
      <c r="F87" s="140"/>
      <c r="G87" s="372" t="s">
        <v>536</v>
      </c>
      <c r="H87" s="141"/>
      <c r="I87" s="101" t="str">
        <f>IF(GrpF!C49=12,GrpF!B46,"Second in Group F")</f>
        <v>Second in Group F</v>
      </c>
      <c r="J87" s="101" t="str">
        <f>Stadium9</f>
        <v>Houston Stadium</v>
      </c>
      <c r="K87" s="322"/>
      <c r="L87" s="323" t="str">
        <f>IF(F87&lt;&gt;"",IF((F87+F88+F89)&gt;(H87+H88+H89),E87,IF((H87+H88+H89)&gt;(F87+F88+F89),I87,"Winner Match "&amp;D87)),"Winner Match "&amp;D87)</f>
        <v>Winner Match 76</v>
      </c>
      <c r="M87" s="324"/>
      <c r="N87" s="445" t="str">
        <f>VLOOKUP($D87,Lookup20,24,FALSE)</f>
        <v/>
      </c>
      <c r="O87" s="446" t="str">
        <f>VLOOKUP($D87,Lookup20,25,FALSE)</f>
        <v/>
      </c>
      <c r="P87" s="445" t="str">
        <f>VLOOKUP($D87,Lookup20,26,FALSE)</f>
        <v/>
      </c>
      <c r="R87" s="347">
        <v>1</v>
      </c>
      <c r="S87" s="348" t="str">
        <f>GrpL!B$45</f>
        <v>England</v>
      </c>
      <c r="T87" s="98">
        <f>GrpL!C$45</f>
        <v>0</v>
      </c>
      <c r="U87" s="98">
        <f>GrpL!D$45</f>
        <v>0</v>
      </c>
      <c r="V87" s="98">
        <f>GrpL!E$45</f>
        <v>0</v>
      </c>
      <c r="W87" s="98">
        <f>GrpL!F$45</f>
        <v>0</v>
      </c>
      <c r="X87" s="98">
        <f>GrpL!G$45</f>
        <v>0</v>
      </c>
      <c r="Y87" s="98">
        <f>GrpL!H$45</f>
        <v>0</v>
      </c>
      <c r="Z87" s="349">
        <f>GrpL!I$45</f>
        <v>0</v>
      </c>
      <c r="AA87" s="350">
        <f>GrpL!J$45</f>
        <v>0</v>
      </c>
      <c r="AC87" s="351" t="str">
        <f>GrpL!K$45</f>
        <v>England</v>
      </c>
      <c r="AD87" s="352"/>
      <c r="AE87" s="353" t="str">
        <f>GrpL!M$45</f>
        <v>-</v>
      </c>
      <c r="AF87" s="353" t="str">
        <f>GrpL!N$45</f>
        <v>-</v>
      </c>
      <c r="AG87" s="353" t="str">
        <f>GrpL!O$45</f>
        <v>-</v>
      </c>
      <c r="AH87" s="354">
        <f>AA87</f>
        <v>0</v>
      </c>
    </row>
    <row r="88" spans="1:34" ht="14.25" customHeight="1" x14ac:dyDescent="0.2">
      <c r="A88" s="444"/>
      <c r="B88" s="325" t="s">
        <v>110</v>
      </c>
      <c r="C88" s="326"/>
      <c r="D88" s="98" t="str">
        <f>IF(E88="AET",D87&amp;"E","")</f>
        <v/>
      </c>
      <c r="E88" s="373" t="str">
        <f>IF(AND(F87=H87,F87&lt;&gt;""),"AET","")</f>
        <v/>
      </c>
      <c r="F88" s="139"/>
      <c r="G88" s="374" t="str">
        <f>IF(E88="","","-")</f>
        <v/>
      </c>
      <c r="H88" s="139"/>
      <c r="I88" s="101"/>
      <c r="J88" s="101"/>
      <c r="K88" s="322"/>
      <c r="L88" s="323"/>
      <c r="M88" s="324"/>
      <c r="N88" s="366"/>
      <c r="O88" s="366"/>
      <c r="P88" s="366"/>
      <c r="R88" s="347">
        <v>2</v>
      </c>
      <c r="S88" s="348" t="str">
        <f>GrpL!B$46</f>
        <v>Croatia</v>
      </c>
      <c r="T88" s="98">
        <f>GrpL!C$46</f>
        <v>0</v>
      </c>
      <c r="U88" s="98">
        <f>GrpL!D$46</f>
        <v>0</v>
      </c>
      <c r="V88" s="98">
        <f>GrpL!E$46</f>
        <v>0</v>
      </c>
      <c r="W88" s="98">
        <f>GrpL!F$46</f>
        <v>0</v>
      </c>
      <c r="X88" s="98">
        <f>GrpL!G$46</f>
        <v>0</v>
      </c>
      <c r="Y88" s="98">
        <f>GrpL!H$46</f>
        <v>0</v>
      </c>
      <c r="Z88" s="349">
        <f>GrpL!I$46</f>
        <v>0</v>
      </c>
      <c r="AA88" s="350">
        <f>GrpL!J$46</f>
        <v>0</v>
      </c>
      <c r="AC88" s="351" t="str">
        <f>GrpL!K$46</f>
        <v>Croatia</v>
      </c>
      <c r="AD88" s="353" t="str">
        <f>GrpL!L$46</f>
        <v>-</v>
      </c>
      <c r="AE88" s="352"/>
      <c r="AF88" s="353" t="str">
        <f>GrpL!N$46</f>
        <v>-</v>
      </c>
      <c r="AG88" s="353" t="str">
        <f>GrpL!O$46</f>
        <v>-</v>
      </c>
      <c r="AH88" s="354">
        <f>AA88</f>
        <v>0</v>
      </c>
    </row>
    <row r="89" spans="1:34" ht="14.25" customHeight="1" x14ac:dyDescent="0.2">
      <c r="A89" s="444"/>
      <c r="B89" s="325" t="s">
        <v>110</v>
      </c>
      <c r="C89" s="326"/>
      <c r="D89" s="98" t="str">
        <f>IF(E89="Penalties",D87&amp;"P","")</f>
        <v/>
      </c>
      <c r="E89" s="375" t="str">
        <f>IF(AND(F88=H88,F88&lt;&gt;""),"Penalties","")</f>
        <v/>
      </c>
      <c r="F89" s="103"/>
      <c r="G89" s="374" t="str">
        <f>IF(E89="","","-")</f>
        <v/>
      </c>
      <c r="H89" s="103"/>
      <c r="I89" s="101"/>
      <c r="J89" s="101"/>
      <c r="K89" s="322"/>
      <c r="L89" s="323"/>
      <c r="M89" s="324"/>
      <c r="N89" s="366"/>
      <c r="O89" s="366"/>
      <c r="P89" s="366"/>
      <c r="R89" s="347">
        <v>3</v>
      </c>
      <c r="S89" s="348" t="str">
        <f>GrpL!B$47</f>
        <v>Panama</v>
      </c>
      <c r="T89" s="98">
        <f>GrpL!C$47</f>
        <v>0</v>
      </c>
      <c r="U89" s="98">
        <f>GrpL!D$47</f>
        <v>0</v>
      </c>
      <c r="V89" s="98">
        <f>GrpL!E$47</f>
        <v>0</v>
      </c>
      <c r="W89" s="98">
        <f>GrpL!F$47</f>
        <v>0</v>
      </c>
      <c r="X89" s="98">
        <f>GrpL!G$47</f>
        <v>0</v>
      </c>
      <c r="Y89" s="98">
        <f>GrpL!H$47</f>
        <v>0</v>
      </c>
      <c r="Z89" s="349">
        <f>GrpL!I$47</f>
        <v>0</v>
      </c>
      <c r="AA89" s="350">
        <f>GrpL!J$47</f>
        <v>0</v>
      </c>
      <c r="AC89" s="351" t="str">
        <f>GrpL!K$47</f>
        <v>Panama</v>
      </c>
      <c r="AD89" s="353" t="str">
        <f>GrpL!L$47</f>
        <v>-</v>
      </c>
      <c r="AE89" s="353" t="str">
        <f>GrpL!M$47</f>
        <v>-</v>
      </c>
      <c r="AF89" s="352"/>
      <c r="AG89" s="353" t="str">
        <f>GrpL!O$47</f>
        <v>-</v>
      </c>
      <c r="AH89" s="354">
        <f>AA89</f>
        <v>0</v>
      </c>
    </row>
    <row r="90" spans="1:34" ht="14.25" customHeight="1" x14ac:dyDescent="0.2">
      <c r="A90" s="444" t="str">
        <f>"1E3"&amp;ThirdPlace!G22</f>
        <v>1E3C</v>
      </c>
      <c r="B90" s="325">
        <v>46202</v>
      </c>
      <c r="C90" s="326">
        <v>0.89583333333333337</v>
      </c>
      <c r="D90" s="371" t="s">
        <v>1232</v>
      </c>
      <c r="E90" s="100" t="str">
        <f>IF(GrpE!C49=12,GrpE!B45,"Winner Group E")</f>
        <v>Winner Group E</v>
      </c>
      <c r="F90" s="140"/>
      <c r="G90" s="372" t="s">
        <v>536</v>
      </c>
      <c r="H90" s="141"/>
      <c r="I90" s="101" t="str">
        <f>IF(ThirdPlace!D15=36,ThirdPlace!H22,"Third Place ABCDF")</f>
        <v>Third Place ABCDF</v>
      </c>
      <c r="J90" s="101" t="str">
        <f>Stadium7</f>
        <v>Boston Stadium</v>
      </c>
      <c r="K90" s="322"/>
      <c r="L90" s="323" t="str">
        <f>IF(F90&lt;&gt;"",IF((F90+F91+F92)&gt;(H90+H91+H92),E90,IF((H90+H91+H92)&gt;(F90+F91+F92),I90,"Winner Match "&amp;D90)),"Winner Match "&amp;D90)</f>
        <v>Winner Match 74</v>
      </c>
      <c r="M90" s="324"/>
      <c r="N90" s="445" t="str">
        <f>VLOOKUP($D90,Lookup20,24,FALSE)</f>
        <v/>
      </c>
      <c r="O90" s="446" t="str">
        <f>VLOOKUP($D90,Lookup20,25,FALSE)</f>
        <v/>
      </c>
      <c r="P90" s="445" t="str">
        <f>VLOOKUP($D90,Lookup20,26,FALSE)</f>
        <v/>
      </c>
      <c r="R90" s="347">
        <v>4</v>
      </c>
      <c r="S90" s="355" t="str">
        <f>GrpL!B$48</f>
        <v>Ghana</v>
      </c>
      <c r="T90" s="356">
        <f>GrpL!C$48</f>
        <v>0</v>
      </c>
      <c r="U90" s="356">
        <f>GrpL!D$48</f>
        <v>0</v>
      </c>
      <c r="V90" s="356">
        <f>GrpL!E$48</f>
        <v>0</v>
      </c>
      <c r="W90" s="356">
        <f>GrpL!F$48</f>
        <v>0</v>
      </c>
      <c r="X90" s="356">
        <f>GrpL!G$48</f>
        <v>0</v>
      </c>
      <c r="Y90" s="356">
        <f>GrpL!H$48</f>
        <v>0</v>
      </c>
      <c r="Z90" s="357">
        <f>GrpL!I$48</f>
        <v>0</v>
      </c>
      <c r="AA90" s="358">
        <f>GrpL!J$48</f>
        <v>0</v>
      </c>
      <c r="AC90" s="359" t="str">
        <f>GrpL!K$48</f>
        <v>Ghana</v>
      </c>
      <c r="AD90" s="360" t="str">
        <f>GrpL!L$48</f>
        <v>-</v>
      </c>
      <c r="AE90" s="360" t="str">
        <f>GrpL!M$48</f>
        <v>-</v>
      </c>
      <c r="AF90" s="360" t="str">
        <f>GrpL!N$48</f>
        <v>-</v>
      </c>
      <c r="AG90" s="361"/>
      <c r="AH90" s="362">
        <f>AA90</f>
        <v>0</v>
      </c>
    </row>
    <row r="91" spans="1:34" ht="14.25" customHeight="1" x14ac:dyDescent="0.2">
      <c r="A91" s="444"/>
      <c r="B91" s="325" t="s">
        <v>110</v>
      </c>
      <c r="C91" s="326"/>
      <c r="D91" s="98" t="str">
        <f>IF(E91="AET",D90&amp;"E","")</f>
        <v/>
      </c>
      <c r="E91" s="373" t="str">
        <f>IF(AND(F90=H90,F90&lt;&gt;""),"AET","")</f>
        <v/>
      </c>
      <c r="F91" s="139"/>
      <c r="G91" s="374" t="str">
        <f>IF(E91="","","-")</f>
        <v/>
      </c>
      <c r="H91" s="139"/>
      <c r="I91" s="101"/>
      <c r="J91" s="101"/>
      <c r="K91" s="322"/>
      <c r="L91" s="323"/>
      <c r="M91" s="324"/>
      <c r="N91" s="366"/>
      <c r="O91" s="366"/>
      <c r="P91" s="366"/>
      <c r="T91" s="97"/>
      <c r="U91" s="97"/>
      <c r="V91" s="97"/>
      <c r="W91" s="97"/>
      <c r="X91" s="97"/>
      <c r="Y91" s="97"/>
      <c r="Z91" s="97"/>
      <c r="AA91" s="96"/>
    </row>
    <row r="92" spans="1:34" ht="14.25" customHeight="1" x14ac:dyDescent="0.25">
      <c r="A92" s="444"/>
      <c r="B92" s="325" t="s">
        <v>110</v>
      </c>
      <c r="C92" s="326"/>
      <c r="D92" s="98" t="str">
        <f>IF(E92="Penalties",D90&amp;"P","")</f>
        <v/>
      </c>
      <c r="E92" s="375" t="str">
        <f>IF(AND(F91=H91,F91&lt;&gt;""),"Penalties","")</f>
        <v/>
      </c>
      <c r="F92" s="142"/>
      <c r="G92" s="374" t="str">
        <f>IF(E92="","","-")</f>
        <v/>
      </c>
      <c r="H92" s="142"/>
      <c r="I92" s="101"/>
      <c r="J92" s="101"/>
      <c r="K92" s="322"/>
      <c r="L92" s="323"/>
      <c r="M92" s="324"/>
      <c r="N92" s="366"/>
      <c r="O92" s="366"/>
      <c r="P92" s="366"/>
      <c r="R92" s="376"/>
      <c r="S92" s="636" t="s">
        <v>535</v>
      </c>
      <c r="T92" s="637"/>
      <c r="U92" s="637"/>
      <c r="V92" s="637"/>
      <c r="W92" s="637"/>
      <c r="X92" s="637"/>
      <c r="Y92" s="637"/>
      <c r="Z92" s="637"/>
      <c r="AA92" s="637"/>
      <c r="AB92" s="637"/>
      <c r="AC92" s="637"/>
      <c r="AD92" s="637"/>
      <c r="AE92" s="637"/>
      <c r="AF92" s="638"/>
    </row>
    <row r="93" spans="1:34" ht="14.25" customHeight="1" x14ac:dyDescent="0.2">
      <c r="A93" s="444" t="s">
        <v>1208</v>
      </c>
      <c r="B93" s="325">
        <v>46203</v>
      </c>
      <c r="C93" s="326">
        <v>8.3333333333333329E-2</v>
      </c>
      <c r="D93" s="371" t="s">
        <v>1230</v>
      </c>
      <c r="E93" s="100" t="str">
        <f>IF(GrpF!C49=12,GrpF!B45,"Winner Group F")</f>
        <v>Winner Group F</v>
      </c>
      <c r="F93" s="140"/>
      <c r="G93" s="372" t="s">
        <v>536</v>
      </c>
      <c r="H93" s="141"/>
      <c r="I93" s="101" t="str">
        <f>IF(GrpC!C49=12,GrpC!B46,"Second in Group C")</f>
        <v>Second in Group C</v>
      </c>
      <c r="J93" s="101" t="str">
        <f>Stadium5</f>
        <v>Estadio Monterrey</v>
      </c>
      <c r="K93" s="322"/>
      <c r="L93" s="323" t="str">
        <f>IF(F93&lt;&gt;"",IF((F93+F94+F95)&gt;(H93+H94+H95),E93,IF((H93+H94+H95)&gt;(F93+F94+F95),I93,"Winner Match "&amp;D93)),"Winner Match "&amp;D93)</f>
        <v>Winner Match 75</v>
      </c>
      <c r="M93" s="324"/>
      <c r="N93" s="445" t="str">
        <f>VLOOKUP($D93,Lookup20,24,FALSE)</f>
        <v/>
      </c>
      <c r="O93" s="446" t="str">
        <f>VLOOKUP($D93,Lookup20,25,FALSE)</f>
        <v/>
      </c>
      <c r="P93" s="445" t="str">
        <f>VLOOKUP($D93,Lookup20,26,FALSE)</f>
        <v/>
      </c>
      <c r="R93" s="339" t="s">
        <v>325</v>
      </c>
      <c r="S93" s="377" t="s">
        <v>310</v>
      </c>
      <c r="T93" s="311" t="s">
        <v>311</v>
      </c>
      <c r="U93" s="311" t="s">
        <v>305</v>
      </c>
      <c r="V93" s="311" t="s">
        <v>15</v>
      </c>
      <c r="W93" s="311" t="s">
        <v>306</v>
      </c>
      <c r="X93" s="311" t="s">
        <v>307</v>
      </c>
      <c r="Y93" s="311" t="s">
        <v>16</v>
      </c>
      <c r="Z93" s="378" t="s">
        <v>308</v>
      </c>
      <c r="AA93" s="350" t="s">
        <v>566</v>
      </c>
      <c r="AC93" s="379" t="s">
        <v>310</v>
      </c>
      <c r="AD93" s="311" t="s">
        <v>1216</v>
      </c>
      <c r="AE93" s="311" t="s">
        <v>616</v>
      </c>
      <c r="AF93" s="380" t="s">
        <v>325</v>
      </c>
    </row>
    <row r="94" spans="1:34" ht="14.25" customHeight="1" x14ac:dyDescent="0.2">
      <c r="A94" s="444"/>
      <c r="B94" s="325" t="s">
        <v>110</v>
      </c>
      <c r="C94" s="326"/>
      <c r="D94" s="98" t="str">
        <f>IF(E94="AET",D93&amp;"E","")</f>
        <v/>
      </c>
      <c r="E94" s="373" t="str">
        <f>IF(AND(F93=H93,F93&lt;&gt;""),"AET","")</f>
        <v/>
      </c>
      <c r="F94" s="139"/>
      <c r="G94" s="374" t="str">
        <f>IF(E94="","","-")</f>
        <v/>
      </c>
      <c r="H94" s="139"/>
      <c r="I94" s="101"/>
      <c r="J94" s="101"/>
      <c r="K94" s="322"/>
      <c r="L94" s="323"/>
      <c r="M94" s="324"/>
      <c r="N94" s="366"/>
      <c r="O94" s="366"/>
      <c r="P94" s="366"/>
      <c r="R94" s="347">
        <v>1</v>
      </c>
      <c r="S94" s="381" t="str">
        <f t="shared" ref="S94:S105" si="14">VLOOKUP($R94,Lookup13,3,FALSE)</f>
        <v>Netherlands</v>
      </c>
      <c r="T94" s="382">
        <f t="shared" ref="T94:T105" si="15">VLOOKUP($R94,Lookup13,4,FALSE)</f>
        <v>1</v>
      </c>
      <c r="U94" s="382">
        <f t="shared" ref="U94:U105" si="16">VLOOKUP($R94,Lookup13,5,FALSE)</f>
        <v>0</v>
      </c>
      <c r="V94" s="382">
        <f t="shared" ref="V94:V105" si="17">VLOOKUP($R94,Lookup13,6,FALSE)</f>
        <v>1</v>
      </c>
      <c r="W94" s="382">
        <f t="shared" ref="W94:W105" si="18">VLOOKUP($R94,Lookup13,7,FALSE)</f>
        <v>0</v>
      </c>
      <c r="X94" s="382">
        <f t="shared" ref="X94:X105" si="19">VLOOKUP($R94,Lookup13,8,FALSE)</f>
        <v>2</v>
      </c>
      <c r="Y94" s="382">
        <f t="shared" ref="Y94:Y105" si="20">VLOOKUP($R94,Lookup13,9,FALSE)</f>
        <v>2</v>
      </c>
      <c r="Z94" s="383">
        <f t="shared" ref="Z94:Z105" si="21">VLOOKUP($R94,Lookup13,10,FALSE)</f>
        <v>0</v>
      </c>
      <c r="AA94" s="384">
        <f t="shared" ref="AA94:AA105" si="22">VLOOKUP($R94,Lookup13,11,FALSE)</f>
        <v>1</v>
      </c>
      <c r="AC94" s="385" t="str">
        <f>S94</f>
        <v>Netherlands</v>
      </c>
      <c r="AD94" s="382" t="str">
        <f t="shared" ref="AD94:AD105" si="23">VLOOKUP($AC94,Lookup11,4,FALSE)</f>
        <v>F</v>
      </c>
      <c r="AE94" s="382">
        <f t="shared" ref="AE94:AE105" si="24">VLOOKUP($AC94,Lookup11,3,FALSE)</f>
        <v>3</v>
      </c>
      <c r="AF94" s="386">
        <f t="shared" ref="AF94:AF105" si="25">VLOOKUP($AC94,Lookup11,2,FALSE)</f>
        <v>8</v>
      </c>
    </row>
    <row r="95" spans="1:34" ht="14.25" customHeight="1" x14ac:dyDescent="0.2">
      <c r="A95" s="444"/>
      <c r="B95" s="325" t="s">
        <v>110</v>
      </c>
      <c r="C95" s="326"/>
      <c r="D95" s="98" t="str">
        <f>IF(E95="Penalties",D93&amp;"P","")</f>
        <v/>
      </c>
      <c r="E95" s="375" t="str">
        <f>IF(AND(F94=H94,F94&lt;&gt;""),"Penalties","")</f>
        <v/>
      </c>
      <c r="F95" s="103"/>
      <c r="G95" s="374" t="str">
        <f>IF(E95="","","-")</f>
        <v/>
      </c>
      <c r="H95" s="103"/>
      <c r="I95" s="101"/>
      <c r="J95" s="101"/>
      <c r="K95" s="322"/>
      <c r="L95" s="323"/>
      <c r="M95" s="324"/>
      <c r="N95" s="366"/>
      <c r="O95" s="366"/>
      <c r="P95" s="366"/>
      <c r="R95" s="347">
        <v>2</v>
      </c>
      <c r="S95" s="381" t="str">
        <f t="shared" si="14"/>
        <v>Brazil</v>
      </c>
      <c r="T95" s="382">
        <f t="shared" si="15"/>
        <v>1</v>
      </c>
      <c r="U95" s="382">
        <f t="shared" si="16"/>
        <v>0</v>
      </c>
      <c r="V95" s="382">
        <f t="shared" si="17"/>
        <v>1</v>
      </c>
      <c r="W95" s="382">
        <f t="shared" si="18"/>
        <v>0</v>
      </c>
      <c r="X95" s="382">
        <f t="shared" si="19"/>
        <v>1</v>
      </c>
      <c r="Y95" s="382">
        <f t="shared" si="20"/>
        <v>1</v>
      </c>
      <c r="Z95" s="383">
        <f t="shared" si="21"/>
        <v>0</v>
      </c>
      <c r="AA95" s="384">
        <f t="shared" si="22"/>
        <v>1</v>
      </c>
      <c r="AC95" s="385" t="str">
        <f t="shared" ref="AC95:AC105" si="26">S95</f>
        <v>Brazil</v>
      </c>
      <c r="AD95" s="382" t="str">
        <f t="shared" si="23"/>
        <v>C</v>
      </c>
      <c r="AE95" s="382">
        <f t="shared" si="24"/>
        <v>2</v>
      </c>
      <c r="AF95" s="386">
        <f t="shared" si="25"/>
        <v>6</v>
      </c>
    </row>
    <row r="96" spans="1:34" ht="14.25" customHeight="1" x14ac:dyDescent="0.2">
      <c r="A96" s="444" t="s">
        <v>1209</v>
      </c>
      <c r="B96" s="325">
        <v>46203</v>
      </c>
      <c r="C96" s="326">
        <v>0.75</v>
      </c>
      <c r="D96" s="371" t="s">
        <v>1233</v>
      </c>
      <c r="E96" s="100" t="str">
        <f>IF(GrpE!C49=12,GrpE!B46,"Second in Group E")</f>
        <v>Second in Group E</v>
      </c>
      <c r="F96" s="140"/>
      <c r="G96" s="372" t="s">
        <v>536</v>
      </c>
      <c r="H96" s="141"/>
      <c r="I96" s="101" t="str">
        <f>IF(GrpI!C49=12,GrpI!B46,"Second in Group I")</f>
        <v>Second in Group I</v>
      </c>
      <c r="J96" s="101" t="str">
        <f>Stadium8</f>
        <v>Dallas Stadium</v>
      </c>
      <c r="K96" s="322"/>
      <c r="L96" s="323" t="str">
        <f>IF(F96&lt;&gt;"",IF((F96+F97+F98)&gt;(H96+H97+H98),E96,IF((H96+H97+H98)&gt;(F96+F97+F98),I96,"Winner Match "&amp;D96)),"Winner Match "&amp;D96)</f>
        <v>Winner Match 78</v>
      </c>
      <c r="M96" s="324"/>
      <c r="N96" s="445" t="str">
        <f>VLOOKUP($D96,Lookup20,24,FALSE)</f>
        <v/>
      </c>
      <c r="O96" s="446" t="str">
        <f>VLOOKUP($D96,Lookup20,25,FALSE)</f>
        <v/>
      </c>
      <c r="P96" s="445" t="str">
        <f>VLOOKUP($D96,Lookup20,26,FALSE)</f>
        <v/>
      </c>
      <c r="R96" s="347">
        <v>3</v>
      </c>
      <c r="S96" s="381" t="str">
        <f t="shared" si="14"/>
        <v>Belgium</v>
      </c>
      <c r="T96" s="382">
        <f t="shared" si="15"/>
        <v>1</v>
      </c>
      <c r="U96" s="382">
        <f t="shared" si="16"/>
        <v>0</v>
      </c>
      <c r="V96" s="382">
        <f t="shared" si="17"/>
        <v>1</v>
      </c>
      <c r="W96" s="382">
        <f t="shared" si="18"/>
        <v>0</v>
      </c>
      <c r="X96" s="382">
        <f t="shared" si="19"/>
        <v>1</v>
      </c>
      <c r="Y96" s="382">
        <f t="shared" si="20"/>
        <v>1</v>
      </c>
      <c r="Z96" s="383">
        <f t="shared" si="21"/>
        <v>0</v>
      </c>
      <c r="AA96" s="384">
        <f t="shared" si="22"/>
        <v>1</v>
      </c>
      <c r="AC96" s="385" t="str">
        <f t="shared" si="26"/>
        <v>Belgium</v>
      </c>
      <c r="AD96" s="382" t="str">
        <f t="shared" si="23"/>
        <v>G</v>
      </c>
      <c r="AE96" s="382">
        <f t="shared" si="24"/>
        <v>2</v>
      </c>
      <c r="AF96" s="386">
        <f t="shared" si="25"/>
        <v>9</v>
      </c>
    </row>
    <row r="97" spans="1:34" ht="14.25" customHeight="1" x14ac:dyDescent="0.2">
      <c r="A97" s="444"/>
      <c r="B97" s="325" t="s">
        <v>110</v>
      </c>
      <c r="C97" s="326"/>
      <c r="D97" s="98" t="str">
        <f>IF(E97="AET",D96&amp;"E","")</f>
        <v/>
      </c>
      <c r="E97" s="373" t="str">
        <f>IF(AND(F96=H96,F96&lt;&gt;""),"AET","")</f>
        <v/>
      </c>
      <c r="F97" s="139"/>
      <c r="G97" s="374" t="str">
        <f>IF(E97="","","-")</f>
        <v/>
      </c>
      <c r="H97" s="139"/>
      <c r="I97" s="101"/>
      <c r="J97" s="101"/>
      <c r="K97" s="322"/>
      <c r="L97" s="323"/>
      <c r="M97" s="324"/>
      <c r="N97" s="366"/>
      <c r="O97" s="366"/>
      <c r="P97" s="366"/>
      <c r="R97" s="347">
        <v>4</v>
      </c>
      <c r="S97" s="381" t="str">
        <f t="shared" si="14"/>
        <v>Qatar</v>
      </c>
      <c r="T97" s="382">
        <f t="shared" si="15"/>
        <v>1</v>
      </c>
      <c r="U97" s="382">
        <f t="shared" si="16"/>
        <v>0</v>
      </c>
      <c r="V97" s="382">
        <f t="shared" si="17"/>
        <v>1</v>
      </c>
      <c r="W97" s="382">
        <f t="shared" si="18"/>
        <v>0</v>
      </c>
      <c r="X97" s="382">
        <f t="shared" si="19"/>
        <v>1</v>
      </c>
      <c r="Y97" s="382">
        <f t="shared" si="20"/>
        <v>1</v>
      </c>
      <c r="Z97" s="383">
        <f t="shared" si="21"/>
        <v>0</v>
      </c>
      <c r="AA97" s="384">
        <f t="shared" si="22"/>
        <v>1</v>
      </c>
      <c r="AC97" s="385" t="str">
        <f t="shared" si="26"/>
        <v>Qatar</v>
      </c>
      <c r="AD97" s="382" t="str">
        <f t="shared" si="23"/>
        <v>B</v>
      </c>
      <c r="AE97" s="382">
        <f t="shared" si="24"/>
        <v>2</v>
      </c>
      <c r="AF97" s="386">
        <f t="shared" si="25"/>
        <v>38</v>
      </c>
    </row>
    <row r="98" spans="1:34" ht="14.25" customHeight="1" x14ac:dyDescent="0.2">
      <c r="A98" s="444"/>
      <c r="B98" s="325" t="s">
        <v>110</v>
      </c>
      <c r="C98" s="326"/>
      <c r="D98" s="98" t="str">
        <f>IF(E98="Penalties",D96&amp;"P","")</f>
        <v/>
      </c>
      <c r="E98" s="375" t="str">
        <f>IF(AND(F97=H97,F97&lt;&gt;""),"Penalties","")</f>
        <v/>
      </c>
      <c r="F98" s="103"/>
      <c r="G98" s="374" t="str">
        <f>IF(E98="","","-")</f>
        <v/>
      </c>
      <c r="H98" s="103"/>
      <c r="I98" s="101"/>
      <c r="J98" s="101"/>
      <c r="K98" s="322"/>
      <c r="L98" s="323"/>
      <c r="M98" s="324"/>
      <c r="N98" s="366"/>
      <c r="O98" s="366"/>
      <c r="P98" s="366"/>
      <c r="R98" s="347">
        <v>5</v>
      </c>
      <c r="S98" s="381" t="str">
        <f t="shared" si="14"/>
        <v>Spain</v>
      </c>
      <c r="T98" s="382">
        <f t="shared" si="15"/>
        <v>1</v>
      </c>
      <c r="U98" s="382">
        <f t="shared" si="16"/>
        <v>0</v>
      </c>
      <c r="V98" s="382">
        <f t="shared" si="17"/>
        <v>1</v>
      </c>
      <c r="W98" s="382">
        <f t="shared" si="18"/>
        <v>0</v>
      </c>
      <c r="X98" s="382">
        <f t="shared" si="19"/>
        <v>0</v>
      </c>
      <c r="Y98" s="382">
        <f t="shared" si="20"/>
        <v>0</v>
      </c>
      <c r="Z98" s="383">
        <f t="shared" si="21"/>
        <v>0</v>
      </c>
      <c r="AA98" s="384">
        <f t="shared" si="22"/>
        <v>1</v>
      </c>
      <c r="AC98" s="385" t="str">
        <f t="shared" si="26"/>
        <v>Spain</v>
      </c>
      <c r="AD98" s="382" t="str">
        <f t="shared" si="23"/>
        <v>H</v>
      </c>
      <c r="AE98" s="382">
        <f t="shared" si="24"/>
        <v>1</v>
      </c>
      <c r="AF98" s="386">
        <f t="shared" si="25"/>
        <v>2</v>
      </c>
    </row>
    <row r="99" spans="1:34" ht="14.25" customHeight="1" x14ac:dyDescent="0.2">
      <c r="A99" s="444" t="str">
        <f>"1I3"&amp;ThirdPlace!G24</f>
        <v>1I3F</v>
      </c>
      <c r="B99" s="325">
        <v>46203</v>
      </c>
      <c r="C99" s="326">
        <v>0.91666666666666663</v>
      </c>
      <c r="D99" s="371" t="s">
        <v>1234</v>
      </c>
      <c r="E99" s="100" t="str">
        <f>IF(GrpI!C49=12,GrpI!B45,"Winner Group I")</f>
        <v>Winner Group I</v>
      </c>
      <c r="F99" s="140"/>
      <c r="G99" s="372" t="s">
        <v>536</v>
      </c>
      <c r="H99" s="141"/>
      <c r="I99" s="101" t="str">
        <f>IF(ThirdPlace!D15=36,ThirdPlace!H24,"Third Place CDFGH")</f>
        <v>Third Place CDFGH</v>
      </c>
      <c r="J99" s="101" t="str">
        <f>Stadium13</f>
        <v>MetLife Stadium</v>
      </c>
      <c r="K99" s="322"/>
      <c r="L99" s="323" t="str">
        <f>IF(F99&lt;&gt;"",IF((F99+F100+F101)&gt;(H99+H100+H101),E99,IF((H99+H100+H101)&gt;(F99+F100+F101),I99,"Winner Match "&amp;D99)),"Winner Match "&amp;D99)</f>
        <v>Winner Match 77</v>
      </c>
      <c r="M99" s="324"/>
      <c r="N99" s="445" t="str">
        <f>VLOOKUP($D99,Lookup20,24,FALSE)</f>
        <v/>
      </c>
      <c r="O99" s="446" t="str">
        <f>VLOOKUP($D99,Lookup20,25,FALSE)</f>
        <v/>
      </c>
      <c r="P99" s="445" t="str">
        <f>VLOOKUP($D99,Lookup20,26,FALSE)</f>
        <v/>
      </c>
      <c r="R99" s="347">
        <v>6</v>
      </c>
      <c r="S99" s="381" t="str">
        <f t="shared" si="14"/>
        <v>Algeria</v>
      </c>
      <c r="T99" s="382">
        <f t="shared" si="15"/>
        <v>0</v>
      </c>
      <c r="U99" s="382">
        <f t="shared" si="16"/>
        <v>0</v>
      </c>
      <c r="V99" s="382">
        <f t="shared" si="17"/>
        <v>0</v>
      </c>
      <c r="W99" s="382">
        <f t="shared" si="18"/>
        <v>0</v>
      </c>
      <c r="X99" s="382">
        <f t="shared" si="19"/>
        <v>0</v>
      </c>
      <c r="Y99" s="382">
        <f t="shared" si="20"/>
        <v>0</v>
      </c>
      <c r="Z99" s="383">
        <f t="shared" si="21"/>
        <v>0</v>
      </c>
      <c r="AA99" s="384">
        <f t="shared" si="22"/>
        <v>0</v>
      </c>
      <c r="AC99" s="385" t="str">
        <f t="shared" si="26"/>
        <v>Algeria</v>
      </c>
      <c r="AD99" s="382" t="str">
        <f t="shared" si="23"/>
        <v>J</v>
      </c>
      <c r="AE99" s="382">
        <f t="shared" si="24"/>
        <v>0</v>
      </c>
      <c r="AF99" s="386">
        <f t="shared" si="25"/>
        <v>25</v>
      </c>
    </row>
    <row r="100" spans="1:34" ht="14.25" customHeight="1" x14ac:dyDescent="0.2">
      <c r="A100" s="444"/>
      <c r="B100" s="325" t="s">
        <v>110</v>
      </c>
      <c r="C100" s="326"/>
      <c r="D100" s="98" t="str">
        <f>IF(E100="AET",D99&amp;"E","")</f>
        <v/>
      </c>
      <c r="E100" s="373" t="str">
        <f>IF(AND(F99=H99,F99&lt;&gt;""),"AET","")</f>
        <v/>
      </c>
      <c r="F100" s="139"/>
      <c r="G100" s="374" t="str">
        <f>IF(E100="","","-")</f>
        <v/>
      </c>
      <c r="H100" s="139"/>
      <c r="I100" s="101"/>
      <c r="J100" s="101"/>
      <c r="K100" s="322"/>
      <c r="L100" s="323"/>
      <c r="M100" s="324"/>
      <c r="N100" s="366"/>
      <c r="O100" s="366"/>
      <c r="P100" s="366"/>
      <c r="R100" s="347">
        <v>7</v>
      </c>
      <c r="S100" s="381" t="str">
        <f t="shared" si="14"/>
        <v>Norway</v>
      </c>
      <c r="T100" s="382">
        <f t="shared" si="15"/>
        <v>0</v>
      </c>
      <c r="U100" s="382">
        <f t="shared" si="16"/>
        <v>0</v>
      </c>
      <c r="V100" s="382">
        <f t="shared" si="17"/>
        <v>0</v>
      </c>
      <c r="W100" s="382">
        <f t="shared" si="18"/>
        <v>0</v>
      </c>
      <c r="X100" s="382">
        <f t="shared" si="19"/>
        <v>0</v>
      </c>
      <c r="Y100" s="382">
        <f t="shared" si="20"/>
        <v>0</v>
      </c>
      <c r="Z100" s="383">
        <f t="shared" si="21"/>
        <v>0</v>
      </c>
      <c r="AA100" s="384">
        <f t="shared" si="22"/>
        <v>0</v>
      </c>
      <c r="AC100" s="385" t="str">
        <f t="shared" si="26"/>
        <v>Norway</v>
      </c>
      <c r="AD100" s="382" t="str">
        <f t="shared" si="23"/>
        <v>I</v>
      </c>
      <c r="AE100" s="382">
        <f t="shared" si="24"/>
        <v>0</v>
      </c>
      <c r="AF100" s="386">
        <f t="shared" si="25"/>
        <v>28</v>
      </c>
    </row>
    <row r="101" spans="1:34" ht="14.25" customHeight="1" x14ac:dyDescent="0.2">
      <c r="A101" s="444"/>
      <c r="B101" s="325" t="s">
        <v>110</v>
      </c>
      <c r="C101" s="326"/>
      <c r="D101" s="98" t="str">
        <f>IF(E101="Penalties",D99&amp;"P","")</f>
        <v/>
      </c>
      <c r="E101" s="375" t="str">
        <f>IF(AND(F100=H100,F100&lt;&gt;""),"Penalties","")</f>
        <v/>
      </c>
      <c r="F101" s="103"/>
      <c r="G101" s="374" t="str">
        <f>IF(E101="","","-")</f>
        <v/>
      </c>
      <c r="H101" s="103"/>
      <c r="I101" s="101"/>
      <c r="J101" s="101"/>
      <c r="K101" s="322"/>
      <c r="L101" s="323"/>
      <c r="M101" s="324"/>
      <c r="N101" s="366"/>
      <c r="O101" s="366"/>
      <c r="P101" s="366"/>
      <c r="R101" s="347">
        <v>8</v>
      </c>
      <c r="S101" s="381" t="str">
        <f t="shared" si="14"/>
        <v>Panama</v>
      </c>
      <c r="T101" s="382">
        <f t="shared" si="15"/>
        <v>0</v>
      </c>
      <c r="U101" s="382">
        <f t="shared" si="16"/>
        <v>0</v>
      </c>
      <c r="V101" s="382">
        <f t="shared" si="17"/>
        <v>0</v>
      </c>
      <c r="W101" s="382">
        <f t="shared" si="18"/>
        <v>0</v>
      </c>
      <c r="X101" s="382">
        <f t="shared" si="19"/>
        <v>0</v>
      </c>
      <c r="Y101" s="382">
        <f t="shared" si="20"/>
        <v>0</v>
      </c>
      <c r="Z101" s="383">
        <f t="shared" si="21"/>
        <v>0</v>
      </c>
      <c r="AA101" s="384">
        <f t="shared" si="22"/>
        <v>0</v>
      </c>
      <c r="AC101" s="385" t="str">
        <f t="shared" si="26"/>
        <v>Panama</v>
      </c>
      <c r="AD101" s="382" t="str">
        <f t="shared" si="23"/>
        <v>L</v>
      </c>
      <c r="AE101" s="382">
        <f t="shared" si="24"/>
        <v>0</v>
      </c>
      <c r="AF101" s="386">
        <f t="shared" si="25"/>
        <v>30</v>
      </c>
    </row>
    <row r="102" spans="1:34" ht="14.25" customHeight="1" x14ac:dyDescent="0.2">
      <c r="A102" s="444" t="str">
        <f>"1A3"&amp;ThirdPlace!G19</f>
        <v>1A3H</v>
      </c>
      <c r="B102" s="325">
        <v>46204</v>
      </c>
      <c r="C102" s="326">
        <v>8.3333333333333329E-2</v>
      </c>
      <c r="D102" s="371" t="s">
        <v>1235</v>
      </c>
      <c r="E102" s="100" t="str">
        <f>IF(GrpA!C49=12,GrpA!B45,"Winner Group A")</f>
        <v>Winner Group A</v>
      </c>
      <c r="F102" s="140"/>
      <c r="G102" s="372" t="s">
        <v>536</v>
      </c>
      <c r="H102" s="141"/>
      <c r="I102" s="101" t="str">
        <f>IF(ThirdPlace!D15=36,ThirdPlace!H19,"Third Place CEFHI")</f>
        <v>Third Place CEFHI</v>
      </c>
      <c r="J102" s="101" t="str">
        <f>Stadium3</f>
        <v>Mexico City Stadium</v>
      </c>
      <c r="K102" s="322"/>
      <c r="L102" s="323" t="str">
        <f>IF(F102&lt;&gt;"",IF((F102+F103+F104)&gt;(H102+H103+H104),E102,IF((H102+H103+H104)&gt;(F102+F103+F104),I102,"Winner Match "&amp;D102)),"Winner Match "&amp;D102)</f>
        <v>Winner Match 79</v>
      </c>
      <c r="M102" s="324"/>
      <c r="N102" s="445" t="str">
        <f>VLOOKUP($D102,Lookup20,24,FALSE)</f>
        <v/>
      </c>
      <c r="O102" s="446" t="str">
        <f>VLOOKUP($D102,Lookup20,25,FALSE)</f>
        <v/>
      </c>
      <c r="P102" s="445" t="str">
        <f>VLOOKUP($D102,Lookup20,26,FALSE)</f>
        <v/>
      </c>
      <c r="R102" s="347">
        <v>9</v>
      </c>
      <c r="S102" s="387" t="str">
        <f t="shared" si="14"/>
        <v>Congo DR</v>
      </c>
      <c r="T102" s="388">
        <f t="shared" si="15"/>
        <v>0</v>
      </c>
      <c r="U102" s="388">
        <f t="shared" si="16"/>
        <v>0</v>
      </c>
      <c r="V102" s="388">
        <f t="shared" si="17"/>
        <v>0</v>
      </c>
      <c r="W102" s="388">
        <f t="shared" si="18"/>
        <v>0</v>
      </c>
      <c r="X102" s="388">
        <f t="shared" si="19"/>
        <v>0</v>
      </c>
      <c r="Y102" s="388">
        <f t="shared" si="20"/>
        <v>0</v>
      </c>
      <c r="Z102" s="389">
        <f t="shared" si="21"/>
        <v>0</v>
      </c>
      <c r="AA102" s="390">
        <f t="shared" si="22"/>
        <v>0</v>
      </c>
      <c r="AC102" s="391" t="str">
        <f t="shared" si="26"/>
        <v>Congo DR</v>
      </c>
      <c r="AD102" s="388" t="str">
        <f t="shared" si="23"/>
        <v>K</v>
      </c>
      <c r="AE102" s="388">
        <f t="shared" si="24"/>
        <v>0</v>
      </c>
      <c r="AF102" s="392">
        <f t="shared" si="25"/>
        <v>36</v>
      </c>
    </row>
    <row r="103" spans="1:34" ht="14.25" customHeight="1" x14ac:dyDescent="0.2">
      <c r="A103" s="444"/>
      <c r="B103" s="325"/>
      <c r="C103" s="326"/>
      <c r="D103" s="98" t="str">
        <f>IF(E103="AET",D102&amp;"E","")</f>
        <v/>
      </c>
      <c r="E103" s="373" t="str">
        <f>IF(AND(F102=H102,F102&lt;&gt;""),"AET","")</f>
        <v/>
      </c>
      <c r="F103" s="139"/>
      <c r="G103" s="374" t="str">
        <f>IF(E103="","","-")</f>
        <v/>
      </c>
      <c r="H103" s="139"/>
      <c r="I103" s="101"/>
      <c r="J103" s="101"/>
      <c r="K103" s="322"/>
      <c r="L103" s="323"/>
      <c r="M103" s="324"/>
      <c r="N103" s="366"/>
      <c r="O103" s="366"/>
      <c r="P103" s="366"/>
      <c r="R103" s="347">
        <v>10</v>
      </c>
      <c r="S103" s="387" t="str">
        <f t="shared" si="14"/>
        <v>Czechia</v>
      </c>
      <c r="T103" s="388">
        <f t="shared" si="15"/>
        <v>1</v>
      </c>
      <c r="U103" s="388">
        <f t="shared" si="16"/>
        <v>0</v>
      </c>
      <c r="V103" s="388">
        <f t="shared" si="17"/>
        <v>0</v>
      </c>
      <c r="W103" s="388">
        <f t="shared" si="18"/>
        <v>1</v>
      </c>
      <c r="X103" s="388">
        <f t="shared" si="19"/>
        <v>1</v>
      </c>
      <c r="Y103" s="388">
        <f t="shared" si="20"/>
        <v>2</v>
      </c>
      <c r="Z103" s="389">
        <f t="shared" si="21"/>
        <v>-1</v>
      </c>
      <c r="AA103" s="390">
        <f t="shared" si="22"/>
        <v>0</v>
      </c>
      <c r="AB103" s="97" t="s">
        <v>331</v>
      </c>
      <c r="AC103" s="391" t="str">
        <f t="shared" si="26"/>
        <v>Czechia</v>
      </c>
      <c r="AD103" s="388" t="str">
        <f t="shared" si="23"/>
        <v>A</v>
      </c>
      <c r="AE103" s="388">
        <f t="shared" si="24"/>
        <v>0</v>
      </c>
      <c r="AF103" s="392">
        <f t="shared" si="25"/>
        <v>32</v>
      </c>
    </row>
    <row r="104" spans="1:34" ht="14.25" customHeight="1" x14ac:dyDescent="0.2">
      <c r="A104" s="444"/>
      <c r="B104" s="325"/>
      <c r="C104" s="326"/>
      <c r="D104" s="98" t="str">
        <f>IF(E104="Penalties",D102&amp;"P","")</f>
        <v/>
      </c>
      <c r="E104" s="375" t="str">
        <f>IF(AND(F103=H103,F103&lt;&gt;""),"Penalties","")</f>
        <v/>
      </c>
      <c r="F104" s="103"/>
      <c r="G104" s="374" t="str">
        <f>IF(E104="","","-")</f>
        <v/>
      </c>
      <c r="H104" s="103"/>
      <c r="I104" s="101"/>
      <c r="J104" s="101"/>
      <c r="K104" s="322"/>
      <c r="L104" s="323"/>
      <c r="M104" s="324"/>
      <c r="N104" s="366"/>
      <c r="O104" s="366"/>
      <c r="P104" s="366"/>
      <c r="R104" s="347">
        <v>11</v>
      </c>
      <c r="S104" s="387" t="str">
        <f t="shared" si="14"/>
        <v>Ecuador</v>
      </c>
      <c r="T104" s="388">
        <f t="shared" si="15"/>
        <v>1</v>
      </c>
      <c r="U104" s="388">
        <f t="shared" si="16"/>
        <v>0</v>
      </c>
      <c r="V104" s="388">
        <f t="shared" si="17"/>
        <v>0</v>
      </c>
      <c r="W104" s="388">
        <f t="shared" si="18"/>
        <v>1</v>
      </c>
      <c r="X104" s="388">
        <f t="shared" si="19"/>
        <v>0</v>
      </c>
      <c r="Y104" s="388">
        <f t="shared" si="20"/>
        <v>1</v>
      </c>
      <c r="Z104" s="389">
        <f t="shared" si="21"/>
        <v>-1</v>
      </c>
      <c r="AA104" s="390">
        <f t="shared" si="22"/>
        <v>0</v>
      </c>
      <c r="AC104" s="391" t="str">
        <f t="shared" si="26"/>
        <v>Ecuador</v>
      </c>
      <c r="AD104" s="388" t="str">
        <f t="shared" si="23"/>
        <v>E</v>
      </c>
      <c r="AE104" s="388">
        <f t="shared" si="24"/>
        <v>1</v>
      </c>
      <c r="AF104" s="392">
        <f t="shared" si="25"/>
        <v>21</v>
      </c>
    </row>
    <row r="105" spans="1:34" ht="14.25" customHeight="1" x14ac:dyDescent="0.2">
      <c r="A105" s="444" t="str">
        <f>"1L3"&amp;ThirdPlace!G26</f>
        <v>1L3I</v>
      </c>
      <c r="B105" s="325">
        <v>46204</v>
      </c>
      <c r="C105" s="326">
        <v>0.70833333333333337</v>
      </c>
      <c r="D105" s="371" t="s">
        <v>1236</v>
      </c>
      <c r="E105" s="100" t="str">
        <f>IF(GrpL!C49=12,GrpL!B45,"Winner Group L")</f>
        <v>Winner Group L</v>
      </c>
      <c r="F105" s="140"/>
      <c r="G105" s="372" t="s">
        <v>536</v>
      </c>
      <c r="H105" s="141"/>
      <c r="I105" s="101" t="str">
        <f>IF(ThirdPlace!D15=36,ThirdPlace!H26,"Third Place EHIJK")</f>
        <v>Third Place EHIJK</v>
      </c>
      <c r="J105" s="101" t="str">
        <f>Stadium6</f>
        <v>Atlanta Stadium</v>
      </c>
      <c r="K105" s="322"/>
      <c r="L105" s="323" t="str">
        <f>IF(F105&lt;&gt;"",IF((F105+F106+F107)&gt;(H105+H106+H107),E105,IF((H105+H106+H107)&gt;(F105+F106+F107),I105,"Winner Match "&amp;D105)),"Winner Match "&amp;D105)</f>
        <v>Winner Match 80</v>
      </c>
      <c r="M105" s="324"/>
      <c r="N105" s="445" t="str">
        <f>VLOOKUP($D105,Lookup20,24,FALSE)</f>
        <v/>
      </c>
      <c r="O105" s="446" t="str">
        <f>VLOOKUP($D105,Lookup20,25,FALSE)</f>
        <v/>
      </c>
      <c r="P105" s="445" t="str">
        <f>VLOOKUP($D105,Lookup20,26,FALSE)</f>
        <v/>
      </c>
      <c r="R105" s="347">
        <v>12</v>
      </c>
      <c r="S105" s="393" t="str">
        <f t="shared" si="14"/>
        <v>Turkiye</v>
      </c>
      <c r="T105" s="394">
        <f t="shared" si="15"/>
        <v>1</v>
      </c>
      <c r="U105" s="394">
        <f t="shared" si="16"/>
        <v>0</v>
      </c>
      <c r="V105" s="394">
        <f t="shared" si="17"/>
        <v>0</v>
      </c>
      <c r="W105" s="394">
        <f t="shared" si="18"/>
        <v>1</v>
      </c>
      <c r="X105" s="394">
        <f t="shared" si="19"/>
        <v>0</v>
      </c>
      <c r="Y105" s="394">
        <f t="shared" si="20"/>
        <v>2</v>
      </c>
      <c r="Z105" s="395">
        <f t="shared" si="21"/>
        <v>-2</v>
      </c>
      <c r="AA105" s="396">
        <f t="shared" si="22"/>
        <v>0</v>
      </c>
      <c r="AC105" s="397" t="str">
        <f t="shared" si="26"/>
        <v>Turkiye</v>
      </c>
      <c r="AD105" s="398" t="str">
        <f t="shared" si="23"/>
        <v>D</v>
      </c>
      <c r="AE105" s="398">
        <f t="shared" si="24"/>
        <v>1</v>
      </c>
      <c r="AF105" s="399">
        <f t="shared" si="25"/>
        <v>20</v>
      </c>
    </row>
    <row r="106" spans="1:34" ht="14.25" customHeight="1" x14ac:dyDescent="0.25">
      <c r="A106" s="444"/>
      <c r="D106" s="98" t="str">
        <f>IF(E106="AET",D105&amp;"E","")</f>
        <v/>
      </c>
      <c r="E106" s="373" t="str">
        <f>IF(AND(F105=H105,F105&lt;&gt;""),"AET","")</f>
        <v/>
      </c>
      <c r="F106" s="139"/>
      <c r="G106" s="374" t="str">
        <f>IF(E106="","","-")</f>
        <v/>
      </c>
      <c r="H106" s="139"/>
      <c r="K106" s="322"/>
      <c r="L106" s="323"/>
      <c r="M106" s="324"/>
      <c r="N106" s="366"/>
      <c r="O106" s="366"/>
      <c r="P106" s="366"/>
      <c r="R106" s="650"/>
      <c r="S106" s="651"/>
      <c r="T106" s="651"/>
      <c r="U106" s="651"/>
      <c r="V106" s="651"/>
      <c r="W106" s="651"/>
      <c r="X106" s="651"/>
      <c r="Y106" s="651"/>
      <c r="Z106" s="651"/>
      <c r="AA106" s="651"/>
      <c r="AB106" s="651"/>
      <c r="AC106" s="651"/>
      <c r="AD106" s="651"/>
      <c r="AE106" s="651"/>
      <c r="AF106" s="651"/>
      <c r="AG106" s="651"/>
      <c r="AH106" s="651"/>
    </row>
    <row r="107" spans="1:34" ht="14.25" customHeight="1" x14ac:dyDescent="0.2">
      <c r="A107" s="444"/>
      <c r="D107" s="98" t="str">
        <f>IF(E107="Penalties",D105&amp;"P","")</f>
        <v/>
      </c>
      <c r="E107" s="375" t="str">
        <f>IF(AND(F106=H106,F106&lt;&gt;""),"Penalties","")</f>
        <v/>
      </c>
      <c r="F107" s="103"/>
      <c r="G107" s="374" t="str">
        <f>IF(E107="","","-")</f>
        <v/>
      </c>
      <c r="H107" s="103"/>
      <c r="K107" s="322"/>
      <c r="L107" s="323"/>
      <c r="M107" s="324"/>
      <c r="N107" s="366"/>
      <c r="O107" s="366"/>
      <c r="P107" s="366"/>
      <c r="R107" s="655" t="s">
        <v>647</v>
      </c>
      <c r="S107" s="656"/>
      <c r="T107" s="656"/>
      <c r="U107" s="656"/>
      <c r="V107" s="656"/>
      <c r="W107" s="656"/>
      <c r="X107" s="656"/>
      <c r="Y107" s="656"/>
      <c r="Z107" s="656"/>
      <c r="AA107" s="656"/>
      <c r="AB107" s="656"/>
      <c r="AC107" s="656"/>
      <c r="AD107" s="656"/>
      <c r="AE107" s="656"/>
      <c r="AF107" s="656"/>
      <c r="AG107" s="656"/>
      <c r="AH107" s="657"/>
    </row>
    <row r="108" spans="1:34" ht="14.25" customHeight="1" x14ac:dyDescent="0.2">
      <c r="A108" s="444" t="str">
        <f>"1G3"&amp;ThirdPlace!G23</f>
        <v>1G3J</v>
      </c>
      <c r="B108" s="325">
        <v>46204</v>
      </c>
      <c r="C108" s="326">
        <v>0.875</v>
      </c>
      <c r="D108" s="371" t="s">
        <v>1237</v>
      </c>
      <c r="E108" s="100" t="str">
        <f>IF(GrpG!C49=12,GrpG!B45,"Winner Group G")</f>
        <v>Winner Group G</v>
      </c>
      <c r="F108" s="140"/>
      <c r="G108" s="372" t="s">
        <v>536</v>
      </c>
      <c r="H108" s="141"/>
      <c r="I108" s="101" t="str">
        <f>IF(ThirdPlace!D15=36,ThirdPlace!H23,"Third Place AEHIJ")</f>
        <v>Third Place AEHIJ</v>
      </c>
      <c r="J108" s="101" t="str">
        <f>Stadium16</f>
        <v>Seattle Stadium</v>
      </c>
      <c r="K108" s="322"/>
      <c r="L108" s="323" t="str">
        <f>IF(F108&lt;&gt;"",IF((F108+F109+F110)&gt;(H108+H109+H110),E108,IF((H108+H109+H110)&gt;(F108+F109+F110),I108,"Winner Match "&amp;D108)),"Winner Match "&amp;D108)</f>
        <v>Winner Match 82</v>
      </c>
      <c r="M108" s="324"/>
      <c r="N108" s="445" t="str">
        <f>VLOOKUP($D108,Lookup20,24,FALSE)</f>
        <v/>
      </c>
      <c r="O108" s="446" t="str">
        <f>VLOOKUP($D108,Lookup20,25,FALSE)</f>
        <v/>
      </c>
      <c r="P108" s="445" t="str">
        <f>VLOOKUP($D108,Lookup20,26,FALSE)</f>
        <v/>
      </c>
      <c r="R108" s="642" t="s">
        <v>656</v>
      </c>
      <c r="S108" s="652"/>
      <c r="T108" s="652"/>
      <c r="U108" s="652"/>
      <c r="V108" s="652"/>
      <c r="W108" s="652"/>
      <c r="X108" s="652"/>
      <c r="Y108" s="652"/>
      <c r="Z108" s="652"/>
      <c r="AA108" s="652"/>
      <c r="AB108" s="652"/>
      <c r="AC108" s="652"/>
      <c r="AD108" s="652"/>
      <c r="AE108" s="652"/>
      <c r="AF108" s="652"/>
      <c r="AG108" s="652"/>
      <c r="AH108" s="653"/>
    </row>
    <row r="109" spans="1:34" ht="14.25" customHeight="1" x14ac:dyDescent="0.2">
      <c r="A109" s="444"/>
      <c r="B109" s="325" t="s">
        <v>110</v>
      </c>
      <c r="C109" s="326"/>
      <c r="D109" s="98" t="str">
        <f>IF(E109="AET",D108&amp;"E","")</f>
        <v/>
      </c>
      <c r="E109" s="373" t="str">
        <f>IF(AND(F108=H108,F108&lt;&gt;""),"AET","")</f>
        <v/>
      </c>
      <c r="F109" s="139"/>
      <c r="G109" s="374" t="str">
        <f>IF(E109="","","-")</f>
        <v/>
      </c>
      <c r="H109" s="139"/>
      <c r="I109" s="101"/>
      <c r="J109" s="101"/>
      <c r="K109" s="322"/>
      <c r="L109" s="323"/>
      <c r="M109" s="324"/>
      <c r="N109" s="366"/>
      <c r="O109" s="366"/>
      <c r="P109" s="366"/>
      <c r="R109" s="654"/>
      <c r="S109" s="652"/>
      <c r="T109" s="652"/>
      <c r="U109" s="652"/>
      <c r="V109" s="652"/>
      <c r="W109" s="652"/>
      <c r="X109" s="652"/>
      <c r="Y109" s="652"/>
      <c r="Z109" s="652"/>
      <c r="AA109" s="652"/>
      <c r="AB109" s="652"/>
      <c r="AC109" s="652"/>
      <c r="AD109" s="652"/>
      <c r="AE109" s="652"/>
      <c r="AF109" s="652"/>
      <c r="AG109" s="652"/>
      <c r="AH109" s="653"/>
    </row>
    <row r="110" spans="1:34" ht="14.25" customHeight="1" x14ac:dyDescent="0.2">
      <c r="A110" s="444"/>
      <c r="B110" s="325" t="s">
        <v>110</v>
      </c>
      <c r="C110" s="326"/>
      <c r="D110" s="98" t="str">
        <f>IF(E110="Penalties",D108&amp;"P","")</f>
        <v/>
      </c>
      <c r="E110" s="375" t="str">
        <f>IF(AND(F109=H109,F109&lt;&gt;""),"Penalties","")</f>
        <v/>
      </c>
      <c r="F110" s="142"/>
      <c r="G110" s="374" t="str">
        <f>IF(E110="","","-")</f>
        <v/>
      </c>
      <c r="H110" s="142"/>
      <c r="I110" s="101"/>
      <c r="J110" s="101"/>
      <c r="K110" s="322"/>
      <c r="L110" s="323"/>
      <c r="M110" s="324"/>
      <c r="N110" s="366"/>
      <c r="O110" s="366"/>
      <c r="P110" s="366"/>
      <c r="R110" s="654"/>
      <c r="S110" s="652"/>
      <c r="T110" s="652"/>
      <c r="U110" s="652"/>
      <c r="V110" s="652"/>
      <c r="W110" s="652"/>
      <c r="X110" s="652"/>
      <c r="Y110" s="652"/>
      <c r="Z110" s="652"/>
      <c r="AA110" s="652"/>
      <c r="AB110" s="652"/>
      <c r="AC110" s="652"/>
      <c r="AD110" s="652"/>
      <c r="AE110" s="652"/>
      <c r="AF110" s="652"/>
      <c r="AG110" s="652"/>
      <c r="AH110" s="653"/>
    </row>
    <row r="111" spans="1:34" ht="14.25" customHeight="1" x14ac:dyDescent="0.2">
      <c r="A111" s="444" t="str">
        <f>"1D3"&amp;ThirdPlace!G21</f>
        <v>1D3B</v>
      </c>
      <c r="B111" s="325">
        <v>46205</v>
      </c>
      <c r="C111" s="326">
        <v>4.1666666666666664E-2</v>
      </c>
      <c r="D111" s="371" t="s">
        <v>1238</v>
      </c>
      <c r="E111" s="100" t="str">
        <f>IF(GrpD!C49=12,GrpD!B45,"Winner Group D")</f>
        <v>Winner Group D</v>
      </c>
      <c r="F111" s="140"/>
      <c r="G111" s="372" t="s">
        <v>536</v>
      </c>
      <c r="H111" s="141"/>
      <c r="I111" s="101" t="str">
        <f>IF(ThirdPlace!D15=36,ThirdPlace!H21,"Third Place BEFIJ")</f>
        <v>Third Place BEFIJ</v>
      </c>
      <c r="J111" s="101" t="str">
        <f>Stadium15</f>
        <v>San Franciso Bay Stadium</v>
      </c>
      <c r="K111" s="322"/>
      <c r="L111" s="323" t="str">
        <f>IF(F111&lt;&gt;"",IF((F111+F112+F113)&gt;(H111+H112+H113),E111,IF((H111+H112+H113)&gt;(F111+F112+F113),I111,"Winner Match "&amp;D111)),"Winner Match "&amp;D111)</f>
        <v>Winner Match 81</v>
      </c>
      <c r="M111" s="324"/>
      <c r="N111" s="445" t="str">
        <f>VLOOKUP($D111,Lookup20,24,FALSE)</f>
        <v/>
      </c>
      <c r="O111" s="446" t="str">
        <f>VLOOKUP($D111,Lookup20,25,FALSE)</f>
        <v/>
      </c>
      <c r="P111" s="445" t="str">
        <f>VLOOKUP($D111,Lookup20,26,FALSE)</f>
        <v/>
      </c>
      <c r="R111" s="658" t="s">
        <v>648</v>
      </c>
      <c r="S111" s="659"/>
      <c r="T111" s="659"/>
      <c r="U111" s="659"/>
      <c r="V111" s="659"/>
      <c r="W111" s="659"/>
      <c r="X111" s="659"/>
      <c r="Y111" s="659"/>
      <c r="Z111" s="659"/>
      <c r="AA111" s="659"/>
      <c r="AB111" s="659"/>
      <c r="AC111" s="659"/>
      <c r="AD111" s="659"/>
      <c r="AE111" s="659"/>
      <c r="AF111" s="659"/>
      <c r="AG111" s="659"/>
      <c r="AH111" s="660"/>
    </row>
    <row r="112" spans="1:34" ht="14.25" customHeight="1" x14ac:dyDescent="0.2">
      <c r="A112" s="444"/>
      <c r="B112" s="325" t="s">
        <v>110</v>
      </c>
      <c r="C112" s="326"/>
      <c r="D112" s="98" t="str">
        <f>IF(E112="AET",D111&amp;"E","")</f>
        <v/>
      </c>
      <c r="E112" s="373" t="str">
        <f>IF(AND(F111=H111,F111&lt;&gt;""),"AET","")</f>
        <v/>
      </c>
      <c r="F112" s="139"/>
      <c r="G112" s="374" t="str">
        <f>IF(E112="","","-")</f>
        <v/>
      </c>
      <c r="H112" s="139"/>
      <c r="I112" s="101"/>
      <c r="J112" s="101"/>
      <c r="K112" s="322"/>
      <c r="L112" s="323"/>
      <c r="M112" s="324"/>
      <c r="N112" s="366"/>
      <c r="O112" s="366"/>
      <c r="P112" s="366"/>
      <c r="R112" s="661" t="s">
        <v>657</v>
      </c>
      <c r="S112" s="659"/>
      <c r="T112" s="659"/>
      <c r="U112" s="659"/>
      <c r="V112" s="659"/>
      <c r="W112" s="659"/>
      <c r="X112" s="659"/>
      <c r="Y112" s="659"/>
      <c r="Z112" s="659"/>
      <c r="AA112" s="659"/>
      <c r="AB112" s="659"/>
      <c r="AC112" s="659"/>
      <c r="AD112" s="659"/>
      <c r="AE112" s="659"/>
      <c r="AF112" s="659"/>
      <c r="AG112" s="659"/>
      <c r="AH112" s="660"/>
    </row>
    <row r="113" spans="1:34" ht="14.25" customHeight="1" x14ac:dyDescent="0.2">
      <c r="A113" s="444"/>
      <c r="B113" s="325" t="s">
        <v>110</v>
      </c>
      <c r="C113" s="326"/>
      <c r="D113" s="98" t="str">
        <f>IF(E113="Penalties",D111&amp;"P","")</f>
        <v/>
      </c>
      <c r="E113" s="375" t="str">
        <f>IF(AND(F112=H112,F112&lt;&gt;""),"Penalties","")</f>
        <v/>
      </c>
      <c r="F113" s="103"/>
      <c r="G113" s="374" t="str">
        <f>IF(E113="","","-")</f>
        <v/>
      </c>
      <c r="H113" s="103"/>
      <c r="I113" s="101"/>
      <c r="J113" s="101"/>
      <c r="K113" s="322"/>
      <c r="L113" s="323"/>
      <c r="M113" s="324"/>
      <c r="N113" s="366"/>
      <c r="O113" s="366"/>
      <c r="P113" s="366"/>
      <c r="R113" s="448" t="s">
        <v>658</v>
      </c>
      <c r="S113" s="449"/>
      <c r="T113" s="449"/>
      <c r="U113" s="449"/>
      <c r="V113" s="449"/>
      <c r="W113" s="449"/>
      <c r="X113" s="449"/>
      <c r="Y113" s="449"/>
      <c r="Z113" s="449"/>
      <c r="AA113" s="449"/>
      <c r="AB113" s="449"/>
      <c r="AC113" s="449"/>
      <c r="AD113" s="449"/>
      <c r="AE113" s="449"/>
      <c r="AF113" s="449"/>
      <c r="AG113" s="449"/>
      <c r="AH113" s="450"/>
    </row>
    <row r="114" spans="1:34" ht="14.25" customHeight="1" x14ac:dyDescent="0.2">
      <c r="A114" s="444" t="s">
        <v>1217</v>
      </c>
      <c r="B114" s="325">
        <v>46205</v>
      </c>
      <c r="C114" s="326">
        <v>0.83333333333333337</v>
      </c>
      <c r="D114" s="371" t="s">
        <v>1239</v>
      </c>
      <c r="E114" s="100" t="str">
        <f>IF(GrpH!C49=12,GrpH!B45,"Winner Group H")</f>
        <v>Winner Group H</v>
      </c>
      <c r="F114" s="140"/>
      <c r="G114" s="372" t="s">
        <v>536</v>
      </c>
      <c r="H114" s="141"/>
      <c r="I114" s="101" t="str">
        <f>IF(GrpJ!C49=12,GrpJ!B46,"Second in Group J")</f>
        <v>Second in Group J</v>
      </c>
      <c r="J114" s="101" t="str">
        <f>Stadium11</f>
        <v>Los Angeles Stadium</v>
      </c>
      <c r="K114" s="322"/>
      <c r="L114" s="323" t="str">
        <f>IF(F114&lt;&gt;"",IF((F114+F115+F116)&gt;(H114+H115+H116),E114,IF((H114+H115+H116)&gt;(F114+F115+F116),I114,"Winner Match "&amp;D114)),"Winner Match "&amp;D114)</f>
        <v>Winner Match 84</v>
      </c>
      <c r="M114" s="324"/>
      <c r="N114" s="445" t="str">
        <f>VLOOKUP($D114,Lookup20,24,FALSE)</f>
        <v/>
      </c>
      <c r="O114" s="446" t="str">
        <f>VLOOKUP($D114,Lookup20,25,FALSE)</f>
        <v/>
      </c>
      <c r="P114" s="445" t="str">
        <f>VLOOKUP($D114,Lookup20,26,FALSE)</f>
        <v/>
      </c>
      <c r="R114" s="448" t="s">
        <v>659</v>
      </c>
      <c r="S114" s="451"/>
      <c r="T114" s="451"/>
      <c r="U114" s="451"/>
      <c r="V114" s="451"/>
      <c r="W114" s="451"/>
      <c r="X114" s="451"/>
      <c r="Y114" s="451"/>
      <c r="Z114" s="451"/>
      <c r="AA114" s="451"/>
      <c r="AB114" s="451"/>
      <c r="AC114" s="451"/>
      <c r="AD114" s="451"/>
      <c r="AE114" s="451"/>
      <c r="AF114" s="451"/>
      <c r="AG114" s="451"/>
      <c r="AH114" s="452"/>
    </row>
    <row r="115" spans="1:34" ht="14.25" customHeight="1" x14ac:dyDescent="0.2">
      <c r="A115" s="444"/>
      <c r="B115" s="325" t="s">
        <v>110</v>
      </c>
      <c r="C115" s="326"/>
      <c r="D115" s="98" t="str">
        <f>IF(E115="AET",D114&amp;"E","")</f>
        <v/>
      </c>
      <c r="E115" s="373" t="str">
        <f>IF(AND(F114=H114,F114&lt;&gt;""),"AET","")</f>
        <v/>
      </c>
      <c r="F115" s="139"/>
      <c r="G115" s="374" t="str">
        <f>IF(E115="","","-")</f>
        <v/>
      </c>
      <c r="H115" s="139"/>
      <c r="I115" s="101"/>
      <c r="J115" s="101"/>
      <c r="K115" s="322"/>
      <c r="L115" s="323"/>
      <c r="M115" s="324"/>
      <c r="N115" s="366"/>
      <c r="O115" s="366"/>
      <c r="P115" s="366"/>
      <c r="R115" s="448"/>
      <c r="S115" s="449"/>
      <c r="T115" s="449"/>
      <c r="U115" s="449"/>
      <c r="V115" s="449"/>
      <c r="W115" s="449"/>
      <c r="X115" s="449"/>
      <c r="Y115" s="449"/>
      <c r="Z115" s="449"/>
      <c r="AA115" s="449"/>
      <c r="AB115" s="449"/>
      <c r="AC115" s="449"/>
      <c r="AD115" s="449"/>
      <c r="AE115" s="449"/>
      <c r="AF115" s="449"/>
      <c r="AG115" s="449"/>
      <c r="AH115" s="450"/>
    </row>
    <row r="116" spans="1:34" ht="14.25" customHeight="1" x14ac:dyDescent="0.2">
      <c r="A116" s="444"/>
      <c r="B116" s="325" t="s">
        <v>110</v>
      </c>
      <c r="C116" s="326"/>
      <c r="D116" s="98" t="str">
        <f>IF(E116="Penalties",D114&amp;"P","")</f>
        <v/>
      </c>
      <c r="E116" s="375" t="str">
        <f>IF(AND(F115=H115,F115&lt;&gt;""),"Penalties","")</f>
        <v/>
      </c>
      <c r="F116" s="103"/>
      <c r="G116" s="374" t="str">
        <f>IF(E116="","","-")</f>
        <v/>
      </c>
      <c r="H116" s="103"/>
      <c r="I116" s="101"/>
      <c r="J116" s="101"/>
      <c r="K116" s="322"/>
      <c r="L116" s="323"/>
      <c r="M116" s="324"/>
      <c r="N116" s="366"/>
      <c r="O116" s="366"/>
      <c r="P116" s="366"/>
      <c r="R116" s="447" t="s">
        <v>649</v>
      </c>
      <c r="S116" s="449"/>
      <c r="T116" s="449"/>
      <c r="U116" s="449"/>
      <c r="V116" s="449"/>
      <c r="W116" s="449"/>
      <c r="X116" s="449"/>
      <c r="Y116" s="449"/>
      <c r="Z116" s="449"/>
      <c r="AA116" s="449"/>
      <c r="AB116" s="449"/>
      <c r="AC116" s="449"/>
      <c r="AD116" s="449"/>
      <c r="AE116" s="449"/>
      <c r="AF116" s="449"/>
      <c r="AG116" s="449"/>
      <c r="AH116" s="450"/>
    </row>
    <row r="117" spans="1:34" ht="14.25" customHeight="1" x14ac:dyDescent="0.2">
      <c r="A117" s="444" t="s">
        <v>1218</v>
      </c>
      <c r="B117" s="325">
        <v>46206</v>
      </c>
      <c r="C117" s="326">
        <v>0</v>
      </c>
      <c r="D117" s="371" t="s">
        <v>1240</v>
      </c>
      <c r="E117" s="100" t="str">
        <f>IF(GrpK!C49=12,GrpK!B46,"Second in Group K")</f>
        <v>Second in Group K</v>
      </c>
      <c r="F117" s="140"/>
      <c r="G117" s="372" t="s">
        <v>536</v>
      </c>
      <c r="H117" s="141"/>
      <c r="I117" s="101" t="str">
        <f>IF(GrpL!C49=12,GrpL!B46,"Second in Group L")</f>
        <v>Second in Group L</v>
      </c>
      <c r="J117" s="101" t="str">
        <f>Stadium1</f>
        <v>Toronto Stadium</v>
      </c>
      <c r="K117" s="322"/>
      <c r="L117" s="323" t="str">
        <f>IF(F117&lt;&gt;"",IF((F117+F118+F119)&gt;(H117+H118+H119),E117,IF((H117+H118+H119)&gt;(F117+F118+F119),I117,"Winner Match "&amp;D117)),"Winner Match "&amp;D117)</f>
        <v>Winner Match 83</v>
      </c>
      <c r="M117" s="324"/>
      <c r="N117" s="445" t="str">
        <f>VLOOKUP($D117,Lookup20,24,FALSE)</f>
        <v/>
      </c>
      <c r="O117" s="446" t="str">
        <f>VLOOKUP($D117,Lookup20,25,FALSE)</f>
        <v/>
      </c>
      <c r="P117" s="445" t="str">
        <f>VLOOKUP($D117,Lookup20,26,FALSE)</f>
        <v/>
      </c>
      <c r="R117" s="642" t="s">
        <v>660</v>
      </c>
      <c r="S117" s="647"/>
      <c r="T117" s="647"/>
      <c r="U117" s="647"/>
      <c r="V117" s="647"/>
      <c r="W117" s="647"/>
      <c r="X117" s="647"/>
      <c r="Y117" s="647"/>
      <c r="Z117" s="647"/>
      <c r="AA117" s="647"/>
      <c r="AB117" s="647"/>
      <c r="AC117" s="647"/>
      <c r="AD117" s="647"/>
      <c r="AE117" s="647"/>
      <c r="AF117" s="647"/>
      <c r="AG117" s="647"/>
      <c r="AH117" s="648"/>
    </row>
    <row r="118" spans="1:34" ht="14.25" customHeight="1" x14ac:dyDescent="0.2">
      <c r="A118" s="444"/>
      <c r="B118" s="325" t="s">
        <v>110</v>
      </c>
      <c r="C118" s="326"/>
      <c r="D118" s="98" t="str">
        <f>IF(E118="AET",D117&amp;"E","")</f>
        <v/>
      </c>
      <c r="E118" s="373" t="str">
        <f>IF(AND(F117=H117,F117&lt;&gt;""),"AET","")</f>
        <v/>
      </c>
      <c r="F118" s="139"/>
      <c r="G118" s="374" t="str">
        <f>IF(E118="","","-")</f>
        <v/>
      </c>
      <c r="H118" s="139"/>
      <c r="I118" s="101"/>
      <c r="J118" s="101"/>
      <c r="K118" s="322"/>
      <c r="L118" s="323"/>
      <c r="M118" s="324"/>
      <c r="N118" s="366"/>
      <c r="O118" s="366"/>
      <c r="P118" s="366"/>
      <c r="R118" s="649"/>
      <c r="S118" s="647"/>
      <c r="T118" s="647"/>
      <c r="U118" s="647"/>
      <c r="V118" s="647"/>
      <c r="W118" s="647"/>
      <c r="X118" s="647"/>
      <c r="Y118" s="647"/>
      <c r="Z118" s="647"/>
      <c r="AA118" s="647"/>
      <c r="AB118" s="647"/>
      <c r="AC118" s="647"/>
      <c r="AD118" s="647"/>
      <c r="AE118" s="647"/>
      <c r="AF118" s="647"/>
      <c r="AG118" s="647"/>
      <c r="AH118" s="648"/>
    </row>
    <row r="119" spans="1:34" ht="14.25" customHeight="1" x14ac:dyDescent="0.2">
      <c r="A119" s="444"/>
      <c r="B119" s="325" t="s">
        <v>110</v>
      </c>
      <c r="C119" s="326"/>
      <c r="D119" s="98" t="str">
        <f>IF(E119="Penalties",D117&amp;"P","")</f>
        <v/>
      </c>
      <c r="E119" s="375" t="str">
        <f>IF(AND(F118=H118,F118&lt;&gt;""),"Penalties","")</f>
        <v/>
      </c>
      <c r="F119" s="103"/>
      <c r="G119" s="374" t="str">
        <f>IF(E119="","","-")</f>
        <v/>
      </c>
      <c r="H119" s="103"/>
      <c r="I119" s="101"/>
      <c r="J119" s="101"/>
      <c r="K119" s="322"/>
      <c r="L119" s="323"/>
      <c r="M119" s="324"/>
      <c r="N119" s="366"/>
      <c r="O119" s="366"/>
      <c r="P119" s="366"/>
      <c r="R119" s="649"/>
      <c r="S119" s="647"/>
      <c r="T119" s="647"/>
      <c r="U119" s="647"/>
      <c r="V119" s="647"/>
      <c r="W119" s="647"/>
      <c r="X119" s="647"/>
      <c r="Y119" s="647"/>
      <c r="Z119" s="647"/>
      <c r="AA119" s="647"/>
      <c r="AB119" s="647"/>
      <c r="AC119" s="647"/>
      <c r="AD119" s="647"/>
      <c r="AE119" s="647"/>
      <c r="AF119" s="647"/>
      <c r="AG119" s="647"/>
      <c r="AH119" s="648"/>
    </row>
    <row r="120" spans="1:34" ht="14.25" customHeight="1" x14ac:dyDescent="0.2">
      <c r="A120" s="444" t="str">
        <f>"1B3"&amp;ThirdPlace!G20</f>
        <v>1B3G</v>
      </c>
      <c r="B120" s="325">
        <v>46206</v>
      </c>
      <c r="C120" s="326">
        <v>0.16666666666666666</v>
      </c>
      <c r="D120" s="371" t="s">
        <v>1241</v>
      </c>
      <c r="E120" s="100" t="str">
        <f>IF(GrpB!C49=12,GrpB!B45,"Winner Group B")</f>
        <v>Winner Group B</v>
      </c>
      <c r="F120" s="140"/>
      <c r="G120" s="372" t="s">
        <v>536</v>
      </c>
      <c r="H120" s="141"/>
      <c r="I120" s="101" t="str">
        <f>IF(ThirdPlace!D15=36,ThirdPlace!H20,"Third Place EFGIJ")</f>
        <v>Third Place EFGIJ</v>
      </c>
      <c r="J120" s="101" t="str">
        <f>Stadium2</f>
        <v>BC Place Vancouver</v>
      </c>
      <c r="K120" s="322"/>
      <c r="L120" s="323" t="str">
        <f>IF(F120&lt;&gt;"",IF((F120+F121+F122)&gt;(H120+H121+H122),E120,IF((H120+H121+H122)&gt;(F120+F121+F122),I120,"Winner Match "&amp;D120)),"Winner Match "&amp;D120)</f>
        <v>Winner Match 85</v>
      </c>
      <c r="M120" s="324"/>
      <c r="N120" s="445" t="str">
        <f>VLOOKUP($D120,Lookup20,24,FALSE)</f>
        <v/>
      </c>
      <c r="O120" s="446" t="str">
        <f>VLOOKUP($D120,Lookup20,25,FALSE)</f>
        <v/>
      </c>
      <c r="P120" s="445" t="str">
        <f>VLOOKUP($D120,Lookup20,26,FALSE)</f>
        <v/>
      </c>
      <c r="R120" s="649"/>
      <c r="S120" s="647"/>
      <c r="T120" s="647"/>
      <c r="U120" s="647"/>
      <c r="V120" s="647"/>
      <c r="W120" s="647"/>
      <c r="X120" s="647"/>
      <c r="Y120" s="647"/>
      <c r="Z120" s="647"/>
      <c r="AA120" s="647"/>
      <c r="AB120" s="647"/>
      <c r="AC120" s="647"/>
      <c r="AD120" s="647"/>
      <c r="AE120" s="647"/>
      <c r="AF120" s="647"/>
      <c r="AG120" s="647"/>
      <c r="AH120" s="648"/>
    </row>
    <row r="121" spans="1:34" ht="14.25" customHeight="1" x14ac:dyDescent="0.2">
      <c r="A121" s="444"/>
      <c r="B121" s="325" t="s">
        <v>110</v>
      </c>
      <c r="C121" s="326"/>
      <c r="D121" s="98" t="str">
        <f>IF(E121="AET",D120&amp;"E","")</f>
        <v/>
      </c>
      <c r="E121" s="373" t="str">
        <f>IF(AND(F120=H120,F120&lt;&gt;""),"AET","")</f>
        <v/>
      </c>
      <c r="F121" s="139"/>
      <c r="G121" s="374" t="str">
        <f>IF(E121="","","-")</f>
        <v/>
      </c>
      <c r="H121" s="139"/>
      <c r="I121" s="101"/>
      <c r="J121" s="101"/>
      <c r="K121" s="322"/>
      <c r="L121" s="323"/>
      <c r="M121" s="324"/>
      <c r="N121" s="366"/>
      <c r="O121" s="366"/>
      <c r="P121" s="366"/>
      <c r="R121" s="448" t="s">
        <v>650</v>
      </c>
      <c r="S121" s="449"/>
      <c r="T121" s="449"/>
      <c r="U121" s="449"/>
      <c r="V121" s="449"/>
      <c r="W121" s="449"/>
      <c r="X121" s="449"/>
      <c r="Y121" s="449"/>
      <c r="Z121" s="449"/>
      <c r="AA121" s="449"/>
      <c r="AB121" s="449"/>
      <c r="AC121" s="449"/>
      <c r="AD121" s="449"/>
      <c r="AE121" s="449"/>
      <c r="AF121" s="449"/>
      <c r="AG121" s="449"/>
      <c r="AH121" s="450"/>
    </row>
    <row r="122" spans="1:34" ht="14.25" customHeight="1" x14ac:dyDescent="0.2">
      <c r="A122" s="444"/>
      <c r="B122" s="325" t="s">
        <v>110</v>
      </c>
      <c r="C122" s="326"/>
      <c r="D122" s="98" t="str">
        <f>IF(E122="Penalties",D120&amp;"P","")</f>
        <v/>
      </c>
      <c r="E122" s="375" t="str">
        <f>IF(AND(F121=H121,F121&lt;&gt;""),"Penalties","")</f>
        <v/>
      </c>
      <c r="F122" s="103"/>
      <c r="G122" s="374" t="str">
        <f>IF(E122="","","-")</f>
        <v/>
      </c>
      <c r="H122" s="103"/>
      <c r="I122" s="101"/>
      <c r="J122" s="101"/>
      <c r="K122" s="322"/>
      <c r="L122" s="323"/>
      <c r="M122" s="324"/>
      <c r="N122" s="366"/>
      <c r="O122" s="366"/>
      <c r="P122" s="366"/>
      <c r="R122" s="448" t="s">
        <v>651</v>
      </c>
      <c r="S122" s="449"/>
      <c r="T122" s="449"/>
      <c r="U122" s="449"/>
      <c r="V122" s="449"/>
      <c r="W122" s="449"/>
      <c r="X122" s="449"/>
      <c r="Y122" s="449"/>
      <c r="Z122" s="449"/>
      <c r="AA122" s="449"/>
      <c r="AB122" s="449"/>
      <c r="AC122" s="449"/>
      <c r="AD122" s="449"/>
      <c r="AE122" s="449"/>
      <c r="AF122" s="449"/>
      <c r="AG122" s="449"/>
      <c r="AH122" s="450"/>
    </row>
    <row r="123" spans="1:34" ht="14.25" customHeight="1" x14ac:dyDescent="0.2">
      <c r="A123" s="444" t="s">
        <v>1219</v>
      </c>
      <c r="B123" s="325">
        <v>46206</v>
      </c>
      <c r="C123" s="326">
        <v>0.79166666666666663</v>
      </c>
      <c r="D123" s="371" t="s">
        <v>1242</v>
      </c>
      <c r="E123" s="100" t="str">
        <f>IF(GrpD!C49=12,GrpD!B46,"Second in Group D")</f>
        <v>Second in Group D</v>
      </c>
      <c r="F123" s="140"/>
      <c r="G123" s="372" t="s">
        <v>536</v>
      </c>
      <c r="H123" s="141"/>
      <c r="I123" s="101" t="str">
        <f>IF(GrpG!C49=12,GrpG!B46,"Second in Group G")</f>
        <v>Second in Group G</v>
      </c>
      <c r="J123" s="101" t="str">
        <f>Stadium8</f>
        <v>Dallas Stadium</v>
      </c>
      <c r="K123" s="322"/>
      <c r="L123" s="323" t="str">
        <f>IF(F123&lt;&gt;"",IF((F123+F124+F125)&gt;(H123+H124+H125),E123,IF((H123+H124+H125)&gt;(F123+F124+F125),I123,"Winner Match "&amp;D123)),"Winner Match "&amp;D123)</f>
        <v>Winner Match 88</v>
      </c>
      <c r="M123" s="324"/>
      <c r="N123" s="445" t="str">
        <f>VLOOKUP($D123,Lookup20,24,FALSE)</f>
        <v/>
      </c>
      <c r="O123" s="446" t="str">
        <f>VLOOKUP($D123,Lookup20,25,FALSE)</f>
        <v/>
      </c>
      <c r="P123" s="445" t="str">
        <f>VLOOKUP($D123,Lookup20,26,FALSE)</f>
        <v/>
      </c>
      <c r="R123" s="448" t="s">
        <v>1210</v>
      </c>
      <c r="S123" s="449"/>
      <c r="T123" s="449"/>
      <c r="U123" s="449"/>
      <c r="V123" s="449"/>
      <c r="W123" s="449"/>
      <c r="X123" s="449"/>
      <c r="Y123" s="449"/>
      <c r="Z123" s="449"/>
      <c r="AA123" s="449"/>
      <c r="AB123" s="449"/>
      <c r="AC123" s="449"/>
      <c r="AD123" s="449"/>
      <c r="AE123" s="449"/>
      <c r="AF123" s="449"/>
      <c r="AG123" s="449"/>
      <c r="AH123" s="450"/>
    </row>
    <row r="124" spans="1:34" ht="14.25" customHeight="1" x14ac:dyDescent="0.2">
      <c r="A124" s="444"/>
      <c r="B124" s="325" t="s">
        <v>110</v>
      </c>
      <c r="C124" s="326"/>
      <c r="D124" s="98" t="str">
        <f>IF(E124="AET",D123&amp;"E","")</f>
        <v/>
      </c>
      <c r="E124" s="373" t="str">
        <f>IF(AND(F123=H123,F123&lt;&gt;""),"AET","")</f>
        <v/>
      </c>
      <c r="F124" s="139"/>
      <c r="G124" s="374" t="str">
        <f>IF(E124="","","-")</f>
        <v/>
      </c>
      <c r="H124" s="139"/>
      <c r="I124" s="101"/>
      <c r="J124" s="101"/>
      <c r="K124" s="322"/>
      <c r="L124" s="323"/>
      <c r="M124" s="324"/>
      <c r="N124" s="366"/>
      <c r="O124" s="366"/>
      <c r="P124" s="366"/>
      <c r="R124" s="642" t="s">
        <v>662</v>
      </c>
      <c r="S124" s="647"/>
      <c r="T124" s="647"/>
      <c r="U124" s="647"/>
      <c r="V124" s="647"/>
      <c r="W124" s="647"/>
      <c r="X124" s="647"/>
      <c r="Y124" s="647"/>
      <c r="Z124" s="647"/>
      <c r="AA124" s="647"/>
      <c r="AB124" s="647"/>
      <c r="AC124" s="647"/>
      <c r="AD124" s="647"/>
      <c r="AE124" s="647"/>
      <c r="AF124" s="647"/>
      <c r="AG124" s="647"/>
      <c r="AH124" s="648"/>
    </row>
    <row r="125" spans="1:34" ht="14.25" customHeight="1" x14ac:dyDescent="0.2">
      <c r="A125" s="444"/>
      <c r="B125" s="325" t="s">
        <v>110</v>
      </c>
      <c r="C125" s="326"/>
      <c r="D125" s="98" t="str">
        <f>IF(E125="Penalties",D123&amp;"P","")</f>
        <v/>
      </c>
      <c r="E125" s="375" t="str">
        <f>IF(AND(F124=H124,F124&lt;&gt;""),"Penalties","")</f>
        <v/>
      </c>
      <c r="F125" s="103"/>
      <c r="G125" s="374" t="str">
        <f>IF(E125="","","-")</f>
        <v/>
      </c>
      <c r="H125" s="103"/>
      <c r="I125" s="101"/>
      <c r="J125" s="101"/>
      <c r="K125" s="322"/>
      <c r="L125" s="323"/>
      <c r="M125" s="324"/>
      <c r="N125" s="366"/>
      <c r="O125" s="366"/>
      <c r="P125" s="366"/>
      <c r="R125" s="649"/>
      <c r="S125" s="647"/>
      <c r="T125" s="647"/>
      <c r="U125" s="647"/>
      <c r="V125" s="647"/>
      <c r="W125" s="647"/>
      <c r="X125" s="647"/>
      <c r="Y125" s="647"/>
      <c r="Z125" s="647"/>
      <c r="AA125" s="647"/>
      <c r="AB125" s="647"/>
      <c r="AC125" s="647"/>
      <c r="AD125" s="647"/>
      <c r="AE125" s="647"/>
      <c r="AF125" s="647"/>
      <c r="AG125" s="647"/>
      <c r="AH125" s="648"/>
    </row>
    <row r="126" spans="1:34" ht="14.25" customHeight="1" x14ac:dyDescent="0.2">
      <c r="A126" s="444" t="s">
        <v>1220</v>
      </c>
      <c r="B126" s="325">
        <v>46206</v>
      </c>
      <c r="C126" s="326">
        <v>0.95833333333333337</v>
      </c>
      <c r="D126" s="371" t="s">
        <v>1243</v>
      </c>
      <c r="E126" s="100" t="str">
        <f>IF(GrpJ!C49=12,GrpJ!B45,"Winner Group J")</f>
        <v>Winner Group J</v>
      </c>
      <c r="F126" s="140"/>
      <c r="G126" s="372" t="s">
        <v>536</v>
      </c>
      <c r="H126" s="141"/>
      <c r="I126" s="101" t="str">
        <f>IF(GrpH!C49=12,GrpH!B46,"Second in Group H")</f>
        <v>Second in Group H</v>
      </c>
      <c r="J126" s="101" t="str">
        <f>Stadium12</f>
        <v>Miami Stadium</v>
      </c>
      <c r="K126" s="322"/>
      <c r="L126" s="323" t="str">
        <f>IF(F126&lt;&gt;"",IF((F126+F127+F128)&gt;(H126+H127+H128),E126,IF((H126+H127+H128)&gt;(F126+F127+F128),I126,"Winner Match "&amp;D126)),"Winner Match "&amp;D126)</f>
        <v>Winner Match 86</v>
      </c>
      <c r="M126" s="324"/>
      <c r="N126" s="445" t="str">
        <f>VLOOKUP($D126,Lookup20,24,FALSE)</f>
        <v/>
      </c>
      <c r="O126" s="446" t="str">
        <f>VLOOKUP($D126,Lookup20,25,FALSE)</f>
        <v/>
      </c>
      <c r="P126" s="445" t="str">
        <f>VLOOKUP($D126,Lookup20,26,FALSE)</f>
        <v/>
      </c>
      <c r="R126" s="649"/>
      <c r="S126" s="647"/>
      <c r="T126" s="647"/>
      <c r="U126" s="647"/>
      <c r="V126" s="647"/>
      <c r="W126" s="647"/>
      <c r="X126" s="647"/>
      <c r="Y126" s="647"/>
      <c r="Z126" s="647"/>
      <c r="AA126" s="647"/>
      <c r="AB126" s="647"/>
      <c r="AC126" s="647"/>
      <c r="AD126" s="647"/>
      <c r="AE126" s="647"/>
      <c r="AF126" s="647"/>
      <c r="AG126" s="647"/>
      <c r="AH126" s="648"/>
    </row>
    <row r="127" spans="1:34" ht="14.25" customHeight="1" x14ac:dyDescent="0.2">
      <c r="A127" s="444"/>
      <c r="B127" s="325"/>
      <c r="C127" s="326"/>
      <c r="D127" s="98" t="str">
        <f>IF(E127="AET",D126&amp;"E","")</f>
        <v/>
      </c>
      <c r="E127" s="373" t="str">
        <f>IF(AND(F126=H126,F126&lt;&gt;""),"AET","")</f>
        <v/>
      </c>
      <c r="F127" s="139"/>
      <c r="G127" s="374" t="str">
        <f>IF(E127="","","-")</f>
        <v/>
      </c>
      <c r="H127" s="139"/>
      <c r="I127" s="101"/>
      <c r="J127" s="101"/>
      <c r="K127" s="322"/>
      <c r="L127" s="323"/>
      <c r="M127" s="324"/>
      <c r="N127" s="366"/>
      <c r="O127" s="366"/>
      <c r="P127" s="366"/>
      <c r="R127" s="649"/>
      <c r="S127" s="647"/>
      <c r="T127" s="647"/>
      <c r="U127" s="647"/>
      <c r="V127" s="647"/>
      <c r="W127" s="647"/>
      <c r="X127" s="647"/>
      <c r="Y127" s="647"/>
      <c r="Z127" s="647"/>
      <c r="AA127" s="647"/>
      <c r="AB127" s="647"/>
      <c r="AC127" s="647"/>
      <c r="AD127" s="647"/>
      <c r="AE127" s="647"/>
      <c r="AF127" s="647"/>
      <c r="AG127" s="647"/>
      <c r="AH127" s="648"/>
    </row>
    <row r="128" spans="1:34" ht="14.25" customHeight="1" x14ac:dyDescent="0.2">
      <c r="A128" s="444"/>
      <c r="B128" s="325"/>
      <c r="C128" s="326"/>
      <c r="D128" s="98" t="str">
        <f>IF(E128="Penalties",D126&amp;"P","")</f>
        <v/>
      </c>
      <c r="E128" s="375" t="str">
        <f>IF(AND(F127=H127,F127&lt;&gt;""),"Penalties","")</f>
        <v/>
      </c>
      <c r="F128" s="103"/>
      <c r="G128" s="374" t="str">
        <f>IF(E128="","","-")</f>
        <v/>
      </c>
      <c r="H128" s="103"/>
      <c r="I128" s="101"/>
      <c r="J128" s="101"/>
      <c r="K128" s="322"/>
      <c r="L128" s="323"/>
      <c r="M128" s="324"/>
      <c r="N128" s="366"/>
      <c r="O128" s="366"/>
      <c r="P128" s="366"/>
      <c r="R128" s="649"/>
      <c r="S128" s="647"/>
      <c r="T128" s="647"/>
      <c r="U128" s="647"/>
      <c r="V128" s="647"/>
      <c r="W128" s="647"/>
      <c r="X128" s="647"/>
      <c r="Y128" s="647"/>
      <c r="Z128" s="647"/>
      <c r="AA128" s="647"/>
      <c r="AB128" s="647"/>
      <c r="AC128" s="647"/>
      <c r="AD128" s="647"/>
      <c r="AE128" s="647"/>
      <c r="AF128" s="647"/>
      <c r="AG128" s="647"/>
      <c r="AH128" s="648"/>
    </row>
    <row r="129" spans="1:34" ht="14.25" customHeight="1" x14ac:dyDescent="0.2">
      <c r="A129" s="444" t="str">
        <f>"1K3"&amp;ThirdPlace!G25</f>
        <v>1K3L</v>
      </c>
      <c r="B129" s="325">
        <v>46207</v>
      </c>
      <c r="C129" s="326">
        <v>0.10416666666666667</v>
      </c>
      <c r="D129" s="371" t="s">
        <v>1244</v>
      </c>
      <c r="E129" s="100" t="str">
        <f>IF(GrpK!C49=12,GrpK!B45,"Winner Group K")</f>
        <v>Winner Group K</v>
      </c>
      <c r="F129" s="140"/>
      <c r="G129" s="372" t="s">
        <v>536</v>
      </c>
      <c r="H129" s="141"/>
      <c r="I129" s="101" t="str">
        <f>IF(ThirdPlace!D15=36,ThirdPlace!H25,"Third Place DEIJL")</f>
        <v>Third Place DEIJL</v>
      </c>
      <c r="J129" s="101" t="str">
        <f>Stadium10</f>
        <v>Kansas City Stadium</v>
      </c>
      <c r="K129" s="322"/>
      <c r="L129" s="323" t="str">
        <f>IF(F129&lt;&gt;"",IF((F129+F130+F131)&gt;(H129+H130+H131),E129,IF((H129+H130+H131)&gt;(F129+F130+F131),I129,"Winner Match "&amp;D129)),"Winner Match "&amp;D129)</f>
        <v>Winner Match 87</v>
      </c>
      <c r="M129" s="324"/>
      <c r="N129" s="445" t="str">
        <f>VLOOKUP($D129,Lookup20,24,FALSE)</f>
        <v/>
      </c>
      <c r="O129" s="446" t="str">
        <f>VLOOKUP($D129,Lookup20,25,FALSE)</f>
        <v/>
      </c>
      <c r="P129" s="445" t="str">
        <f>VLOOKUP($D129,Lookup20,26,FALSE)</f>
        <v/>
      </c>
      <c r="R129" s="649"/>
      <c r="S129" s="647"/>
      <c r="T129" s="647"/>
      <c r="U129" s="647"/>
      <c r="V129" s="647"/>
      <c r="W129" s="647"/>
      <c r="X129" s="647"/>
      <c r="Y129" s="647"/>
      <c r="Z129" s="647"/>
      <c r="AA129" s="647"/>
      <c r="AB129" s="647"/>
      <c r="AC129" s="647"/>
      <c r="AD129" s="647"/>
      <c r="AE129" s="647"/>
      <c r="AF129" s="647"/>
      <c r="AG129" s="647"/>
      <c r="AH129" s="648"/>
    </row>
    <row r="130" spans="1:34" ht="14.25" customHeight="1" x14ac:dyDescent="0.2">
      <c r="A130" s="444"/>
      <c r="D130" s="98" t="str">
        <f>IF(E130="AET",D129&amp;"E","")</f>
        <v/>
      </c>
      <c r="E130" s="373" t="str">
        <f>IF(AND(F129=H129,F129&lt;&gt;""),"AET","")</f>
        <v/>
      </c>
      <c r="F130" s="139"/>
      <c r="G130" s="374" t="str">
        <f>IF(E130="","","-")</f>
        <v/>
      </c>
      <c r="H130" s="139"/>
      <c r="K130" s="322"/>
      <c r="L130" s="323"/>
      <c r="M130" s="324"/>
      <c r="N130" s="366"/>
      <c r="O130" s="366"/>
      <c r="P130" s="366"/>
      <c r="R130" s="447" t="s">
        <v>652</v>
      </c>
      <c r="S130" s="449"/>
      <c r="T130" s="449"/>
      <c r="U130" s="449"/>
      <c r="V130" s="449"/>
      <c r="W130" s="449"/>
      <c r="X130" s="449"/>
      <c r="Y130" s="449"/>
      <c r="Z130" s="449"/>
      <c r="AA130" s="449"/>
      <c r="AB130" s="449"/>
      <c r="AC130" s="449"/>
      <c r="AD130" s="449"/>
      <c r="AE130" s="449"/>
      <c r="AF130" s="449"/>
      <c r="AG130" s="449"/>
      <c r="AH130" s="450"/>
    </row>
    <row r="131" spans="1:34" ht="15" customHeight="1" x14ac:dyDescent="0.2">
      <c r="A131" s="444"/>
      <c r="D131" s="98" t="str">
        <f>IF(E131="Penalties",D129&amp;"P","")</f>
        <v/>
      </c>
      <c r="E131" s="375" t="str">
        <f>IF(AND(F130=H130,F130&lt;&gt;""),"Penalties","")</f>
        <v/>
      </c>
      <c r="F131" s="103"/>
      <c r="G131" s="374" t="str">
        <f>IF(E131="","","-")</f>
        <v/>
      </c>
      <c r="H131" s="103"/>
      <c r="K131" s="322"/>
      <c r="L131" s="323"/>
      <c r="M131" s="324"/>
      <c r="N131" s="366"/>
      <c r="O131" s="366"/>
      <c r="P131" s="366"/>
      <c r="R131" s="448" t="s">
        <v>663</v>
      </c>
      <c r="S131" s="449"/>
      <c r="T131" s="449"/>
      <c r="U131" s="449"/>
      <c r="V131" s="449"/>
      <c r="W131" s="449"/>
      <c r="X131" s="449"/>
      <c r="Y131" s="449"/>
      <c r="Z131" s="449"/>
      <c r="AA131" s="449"/>
      <c r="AB131" s="449"/>
      <c r="AC131" s="449"/>
      <c r="AD131" s="449"/>
      <c r="AE131" s="449"/>
      <c r="AF131" s="449"/>
      <c r="AG131" s="449"/>
      <c r="AH131" s="450"/>
    </row>
    <row r="132" spans="1:34" ht="14.25" customHeight="1" x14ac:dyDescent="0.2">
      <c r="A132" s="444"/>
      <c r="B132" s="312"/>
      <c r="C132" s="312"/>
      <c r="D132" s="313"/>
      <c r="E132" s="666" t="s">
        <v>531</v>
      </c>
      <c r="F132" s="666"/>
      <c r="G132" s="666"/>
      <c r="H132" s="666"/>
      <c r="I132" s="666"/>
      <c r="J132" s="312"/>
      <c r="K132" s="367"/>
      <c r="L132" s="323"/>
      <c r="M132" s="324"/>
      <c r="N132" s="667" t="s">
        <v>386</v>
      </c>
      <c r="O132" s="667"/>
      <c r="P132" s="667"/>
      <c r="R132" s="642" t="s">
        <v>664</v>
      </c>
      <c r="S132" s="643"/>
      <c r="T132" s="643"/>
      <c r="U132" s="643"/>
      <c r="V132" s="643"/>
      <c r="W132" s="643"/>
      <c r="X132" s="643"/>
      <c r="Y132" s="643"/>
      <c r="Z132" s="643"/>
      <c r="AA132" s="643"/>
      <c r="AB132" s="643"/>
      <c r="AC132" s="643"/>
      <c r="AD132" s="643"/>
      <c r="AE132" s="643"/>
      <c r="AF132" s="643"/>
      <c r="AG132" s="643"/>
      <c r="AH132" s="644"/>
    </row>
    <row r="133" spans="1:34" ht="14.25" customHeight="1" x14ac:dyDescent="0.2">
      <c r="A133" s="444"/>
      <c r="B133" s="400" t="s">
        <v>111</v>
      </c>
      <c r="C133" s="315" t="s">
        <v>319</v>
      </c>
      <c r="D133" s="316" t="s">
        <v>618</v>
      </c>
      <c r="E133" s="401"/>
      <c r="F133" s="402" t="s">
        <v>337</v>
      </c>
      <c r="G133" s="401"/>
      <c r="H133" s="401"/>
      <c r="I133" s="401"/>
      <c r="J133" s="403" t="s">
        <v>321</v>
      </c>
      <c r="K133" s="369"/>
      <c r="L133" s="323"/>
      <c r="M133" s="324"/>
      <c r="N133" s="370" t="s">
        <v>1</v>
      </c>
      <c r="O133" s="370" t="s">
        <v>25</v>
      </c>
      <c r="P133" s="370" t="s">
        <v>0</v>
      </c>
      <c r="R133" s="645"/>
      <c r="S133" s="643"/>
      <c r="T133" s="643"/>
      <c r="U133" s="643"/>
      <c r="V133" s="643"/>
      <c r="W133" s="643"/>
      <c r="X133" s="643"/>
      <c r="Y133" s="643"/>
      <c r="Z133" s="643"/>
      <c r="AA133" s="643"/>
      <c r="AB133" s="643"/>
      <c r="AC133" s="643"/>
      <c r="AD133" s="643"/>
      <c r="AE133" s="643"/>
      <c r="AF133" s="643"/>
      <c r="AG133" s="643"/>
      <c r="AH133" s="644"/>
    </row>
    <row r="134" spans="1:34" ht="14.25" customHeight="1" x14ac:dyDescent="0.2">
      <c r="A134" s="444"/>
      <c r="F134" s="98"/>
      <c r="G134" s="98"/>
      <c r="H134" s="98"/>
      <c r="K134" s="322"/>
      <c r="L134" s="323"/>
      <c r="M134" s="324"/>
      <c r="N134" s="366"/>
      <c r="O134" s="366"/>
      <c r="P134" s="366"/>
      <c r="R134" s="630" t="s">
        <v>1213</v>
      </c>
      <c r="S134" s="631"/>
      <c r="T134" s="631"/>
      <c r="U134" s="631"/>
      <c r="V134" s="631"/>
      <c r="W134" s="631"/>
      <c r="X134" s="631"/>
      <c r="Y134" s="631"/>
      <c r="Z134" s="631"/>
      <c r="AA134" s="631"/>
      <c r="AB134" s="631"/>
      <c r="AC134" s="631"/>
      <c r="AD134" s="631"/>
      <c r="AE134" s="631"/>
      <c r="AF134" s="631"/>
      <c r="AG134" s="631"/>
      <c r="AH134" s="632"/>
    </row>
    <row r="135" spans="1:34" ht="14.25" customHeight="1" x14ac:dyDescent="0.2">
      <c r="A135" s="455" t="s">
        <v>1221</v>
      </c>
      <c r="B135" s="325">
        <v>46207</v>
      </c>
      <c r="C135" s="326">
        <v>0.75</v>
      </c>
      <c r="D135" s="371" t="s">
        <v>1246</v>
      </c>
      <c r="E135" s="100" t="str">
        <f>VLOOKUP(LEFT($A135,2),Lookup14,9,FALSE)</f>
        <v>Winner Match 73</v>
      </c>
      <c r="F135" s="140"/>
      <c r="G135" s="372" t="s">
        <v>536</v>
      </c>
      <c r="H135" s="141"/>
      <c r="I135" s="101" t="str">
        <f>VLOOKUP(RIGHT($A135,2),Lookup14,9,FALSE)</f>
        <v>Winner Match 75</v>
      </c>
      <c r="J135" s="101" t="str">
        <f>Stadium9</f>
        <v>Houston Stadium</v>
      </c>
      <c r="K135" s="322"/>
      <c r="L135" s="323" t="str">
        <f>IF(F135&lt;&gt;"",IF((F135+F136+F137)&gt;(H135+H136+H137),E135,IF((H135+H136+H137)&gt;(F135+F136+F137),I135,"Winner Match "&amp;D135)),"Winner Match "&amp;D135)</f>
        <v>Winner Match 90</v>
      </c>
      <c r="M135" s="324"/>
      <c r="N135" s="445" t="str">
        <f>VLOOKUP($D135,Lookup20,24,FALSE)</f>
        <v/>
      </c>
      <c r="O135" s="446" t="str">
        <f>VLOOKUP($D135,Lookup20,25,FALSE)</f>
        <v/>
      </c>
      <c r="P135" s="445" t="str">
        <f>VLOOKUP($D135,Lookup20,26,FALSE)</f>
        <v/>
      </c>
      <c r="R135" s="646"/>
      <c r="S135" s="631"/>
      <c r="T135" s="631"/>
      <c r="U135" s="631"/>
      <c r="V135" s="631"/>
      <c r="W135" s="631"/>
      <c r="X135" s="631"/>
      <c r="Y135" s="631"/>
      <c r="Z135" s="631"/>
      <c r="AA135" s="631"/>
      <c r="AB135" s="631"/>
      <c r="AC135" s="631"/>
      <c r="AD135" s="631"/>
      <c r="AE135" s="631"/>
      <c r="AF135" s="631"/>
      <c r="AG135" s="631"/>
      <c r="AH135" s="632"/>
    </row>
    <row r="136" spans="1:34" ht="14.25" customHeight="1" x14ac:dyDescent="0.2">
      <c r="A136" s="444"/>
      <c r="B136" s="325" t="s">
        <v>110</v>
      </c>
      <c r="C136" s="326"/>
      <c r="D136" s="98" t="str">
        <f>IF(E136="AET",D135&amp;"E","")</f>
        <v/>
      </c>
      <c r="E136" s="373" t="str">
        <f>IF(AND(F135=H135,F135&lt;&gt;""),"AET","")</f>
        <v/>
      </c>
      <c r="F136" s="139"/>
      <c r="G136" s="374" t="str">
        <f>IF(E136="","","-")</f>
        <v/>
      </c>
      <c r="H136" s="139"/>
      <c r="I136" s="101"/>
      <c r="J136" s="101"/>
      <c r="K136" s="322"/>
      <c r="L136" s="323"/>
      <c r="M136" s="324"/>
      <c r="N136" s="366"/>
      <c r="O136" s="366"/>
      <c r="P136" s="366"/>
      <c r="R136" s="646"/>
      <c r="S136" s="631"/>
      <c r="T136" s="631"/>
      <c r="U136" s="631"/>
      <c r="V136" s="631"/>
      <c r="W136" s="631"/>
      <c r="X136" s="631"/>
      <c r="Y136" s="631"/>
      <c r="Z136" s="631"/>
      <c r="AA136" s="631"/>
      <c r="AB136" s="631"/>
      <c r="AC136" s="631"/>
      <c r="AD136" s="631"/>
      <c r="AE136" s="631"/>
      <c r="AF136" s="631"/>
      <c r="AG136" s="631"/>
      <c r="AH136" s="632"/>
    </row>
    <row r="137" spans="1:34" ht="14.25" customHeight="1" x14ac:dyDescent="0.2">
      <c r="A137" s="444"/>
      <c r="B137" s="325" t="s">
        <v>110</v>
      </c>
      <c r="C137" s="326"/>
      <c r="D137" s="98" t="str">
        <f>IF(E137="Penalties",D135&amp;"P","")</f>
        <v/>
      </c>
      <c r="E137" s="375" t="str">
        <f>IF(AND(F136=H136,F136&lt;&gt;""),"Penalties","")</f>
        <v/>
      </c>
      <c r="F137" s="142"/>
      <c r="G137" s="374" t="str">
        <f>IF(E137="","","-")</f>
        <v/>
      </c>
      <c r="H137" s="142"/>
      <c r="I137" s="101"/>
      <c r="J137" s="101"/>
      <c r="K137" s="322"/>
      <c r="L137" s="323"/>
      <c r="M137" s="324"/>
      <c r="N137" s="366"/>
      <c r="O137" s="366"/>
      <c r="P137" s="366"/>
      <c r="R137" s="645"/>
      <c r="S137" s="643"/>
      <c r="T137" s="643"/>
      <c r="U137" s="643"/>
      <c r="V137" s="643"/>
      <c r="W137" s="643"/>
      <c r="X137" s="643"/>
      <c r="Y137" s="643"/>
      <c r="Z137" s="643"/>
      <c r="AA137" s="643"/>
      <c r="AB137" s="643"/>
      <c r="AC137" s="643"/>
      <c r="AD137" s="643"/>
      <c r="AE137" s="643"/>
      <c r="AF137" s="643"/>
      <c r="AG137" s="643"/>
      <c r="AH137" s="644"/>
    </row>
    <row r="138" spans="1:34" ht="14.25" customHeight="1" x14ac:dyDescent="0.2">
      <c r="A138" s="455" t="s">
        <v>1222</v>
      </c>
      <c r="B138" s="325">
        <v>46207</v>
      </c>
      <c r="C138" s="326">
        <v>0.91666666666666663</v>
      </c>
      <c r="D138" s="371" t="s">
        <v>1245</v>
      </c>
      <c r="E138" s="100" t="str">
        <f>VLOOKUP(LEFT($A138,2),Lookup14,9,FALSE)</f>
        <v>Winner Match 74</v>
      </c>
      <c r="F138" s="140"/>
      <c r="G138" s="372" t="s">
        <v>536</v>
      </c>
      <c r="H138" s="141"/>
      <c r="I138" s="101" t="str">
        <f>VLOOKUP(RIGHT($A138,2),Lookup14,9,FALSE)</f>
        <v>Winner Match 77</v>
      </c>
      <c r="J138" s="101" t="str">
        <f>Stadium14</f>
        <v>Philadelphia Stadium</v>
      </c>
      <c r="K138" s="322"/>
      <c r="L138" s="323" t="str">
        <f>IF(F138&lt;&gt;"",IF((F138+F139+F140)&gt;(H138+H139+H140),E138,IF((H138+H139+H140)&gt;(F138+F139+F140),I138,"Winner Match "&amp;D138)),"Winner Match "&amp;D138)</f>
        <v>Winner Match 89</v>
      </c>
      <c r="M138" s="324"/>
      <c r="N138" s="445" t="str">
        <f>VLOOKUP($D138,Lookup20,24,FALSE)</f>
        <v/>
      </c>
      <c r="O138" s="446" t="str">
        <f>VLOOKUP($D138,Lookup20,25,FALSE)</f>
        <v/>
      </c>
      <c r="P138" s="445" t="str">
        <f>VLOOKUP($D138,Lookup20,26,FALSE)</f>
        <v/>
      </c>
      <c r="R138" s="447" t="s">
        <v>665</v>
      </c>
      <c r="S138" s="453"/>
      <c r="T138" s="453"/>
      <c r="U138" s="453"/>
      <c r="V138" s="453"/>
      <c r="W138" s="453"/>
      <c r="X138" s="453"/>
      <c r="Y138" s="453"/>
      <c r="Z138" s="453"/>
      <c r="AA138" s="453"/>
      <c r="AB138" s="453"/>
      <c r="AC138" s="453"/>
      <c r="AD138" s="453"/>
      <c r="AE138" s="453"/>
      <c r="AF138" s="453"/>
      <c r="AG138" s="453"/>
      <c r="AH138" s="454"/>
    </row>
    <row r="139" spans="1:34" ht="14.25" customHeight="1" x14ac:dyDescent="0.2">
      <c r="A139" s="444"/>
      <c r="B139" s="325" t="s">
        <v>110</v>
      </c>
      <c r="C139" s="326"/>
      <c r="D139" s="98" t="str">
        <f>IF(E139="AET",D138&amp;"E","")</f>
        <v/>
      </c>
      <c r="E139" s="373" t="str">
        <f>IF(AND(F138=H138,F138&lt;&gt;""),"AET","")</f>
        <v/>
      </c>
      <c r="F139" s="139"/>
      <c r="G139" s="374" t="str">
        <f>IF(E139="","","-")</f>
        <v/>
      </c>
      <c r="H139" s="139"/>
      <c r="I139" s="101"/>
      <c r="J139" s="101"/>
      <c r="K139" s="322"/>
      <c r="L139" s="323"/>
      <c r="M139" s="324"/>
      <c r="N139" s="366"/>
      <c r="O139" s="366"/>
      <c r="P139" s="366"/>
      <c r="R139" s="642" t="s">
        <v>666</v>
      </c>
      <c r="S139" s="659"/>
      <c r="T139" s="659"/>
      <c r="U139" s="659"/>
      <c r="V139" s="659"/>
      <c r="W139" s="659"/>
      <c r="X139" s="659"/>
      <c r="Y139" s="659"/>
      <c r="Z139" s="659"/>
      <c r="AA139" s="659"/>
      <c r="AB139" s="659"/>
      <c r="AC139" s="659"/>
      <c r="AD139" s="659"/>
      <c r="AE139" s="659"/>
      <c r="AF139" s="659"/>
      <c r="AG139" s="659"/>
      <c r="AH139" s="660"/>
    </row>
    <row r="140" spans="1:34" ht="14.25" customHeight="1" x14ac:dyDescent="0.2">
      <c r="A140" s="444"/>
      <c r="B140" s="325" t="s">
        <v>110</v>
      </c>
      <c r="C140" s="326"/>
      <c r="D140" s="98" t="str">
        <f>IF(E140="Penalties",D138&amp;"P","")</f>
        <v/>
      </c>
      <c r="E140" s="375" t="str">
        <f>IF(AND(F139=H139,F139&lt;&gt;""),"Penalties","")</f>
        <v/>
      </c>
      <c r="F140" s="103"/>
      <c r="G140" s="374" t="str">
        <f>IF(E140="","","-")</f>
        <v/>
      </c>
      <c r="H140" s="103"/>
      <c r="I140" s="101"/>
      <c r="J140" s="101"/>
      <c r="K140" s="322"/>
      <c r="L140" s="323"/>
      <c r="M140" s="324"/>
      <c r="N140" s="366"/>
      <c r="O140" s="366"/>
      <c r="P140" s="366"/>
      <c r="R140" s="662"/>
      <c r="S140" s="659"/>
      <c r="T140" s="659"/>
      <c r="U140" s="659"/>
      <c r="V140" s="659"/>
      <c r="W140" s="659"/>
      <c r="X140" s="659"/>
      <c r="Y140" s="659"/>
      <c r="Z140" s="659"/>
      <c r="AA140" s="659"/>
      <c r="AB140" s="659"/>
      <c r="AC140" s="659"/>
      <c r="AD140" s="659"/>
      <c r="AE140" s="659"/>
      <c r="AF140" s="659"/>
      <c r="AG140" s="659"/>
      <c r="AH140" s="660"/>
    </row>
    <row r="141" spans="1:34" ht="14.25" customHeight="1" x14ac:dyDescent="0.2">
      <c r="A141" s="455" t="s">
        <v>1223</v>
      </c>
      <c r="B141" s="325">
        <v>46208</v>
      </c>
      <c r="C141" s="326">
        <v>0.875</v>
      </c>
      <c r="D141" s="371" t="s">
        <v>1251</v>
      </c>
      <c r="E141" s="100" t="str">
        <f>VLOOKUP(LEFT($A141,2),Lookup14,9,FALSE)</f>
        <v>Winner Match 76</v>
      </c>
      <c r="F141" s="140"/>
      <c r="G141" s="372" t="s">
        <v>536</v>
      </c>
      <c r="H141" s="141"/>
      <c r="I141" s="101" t="str">
        <f>VLOOKUP(RIGHT($A141,2),Lookup14,9,FALSE)</f>
        <v>Winner Match 78</v>
      </c>
      <c r="J141" s="101" t="str">
        <f>Stadium13</f>
        <v>MetLife Stadium</v>
      </c>
      <c r="K141" s="322"/>
      <c r="L141" s="323" t="str">
        <f>IF(F141&lt;&gt;"",IF((F141+F142+F143)&gt;(H141+H142+H143),E141,IF((H141+H142+H143)&gt;(F141+F142+F143),I141,"Winner Match "&amp;D141)),"Winner Match "&amp;D141)</f>
        <v>Winner Match 91</v>
      </c>
      <c r="M141" s="324"/>
      <c r="N141" s="445" t="str">
        <f>VLOOKUP($D141,Lookup20,24,FALSE)</f>
        <v/>
      </c>
      <c r="O141" s="446" t="str">
        <f>VLOOKUP($D141,Lookup20,25,FALSE)</f>
        <v/>
      </c>
      <c r="P141" s="445" t="str">
        <f>VLOOKUP($D141,Lookup20,26,FALSE)</f>
        <v/>
      </c>
      <c r="R141" s="448" t="s">
        <v>653</v>
      </c>
      <c r="S141" s="449"/>
      <c r="T141" s="449"/>
      <c r="U141" s="449"/>
      <c r="V141" s="449"/>
      <c r="W141" s="449"/>
      <c r="X141" s="449"/>
      <c r="Y141" s="449"/>
      <c r="Z141" s="449"/>
      <c r="AA141" s="449"/>
      <c r="AB141" s="449"/>
      <c r="AC141" s="449"/>
      <c r="AD141" s="449"/>
      <c r="AE141" s="449"/>
      <c r="AF141" s="449"/>
      <c r="AG141" s="449"/>
      <c r="AH141" s="450"/>
    </row>
    <row r="142" spans="1:34" ht="14.25" customHeight="1" x14ac:dyDescent="0.2">
      <c r="A142" s="444"/>
      <c r="B142" s="325" t="s">
        <v>110</v>
      </c>
      <c r="C142" s="326"/>
      <c r="D142" s="98" t="str">
        <f>IF(E142="AET",D141&amp;"E","")</f>
        <v/>
      </c>
      <c r="E142" s="373" t="str">
        <f>IF(AND(F141=H141,F141&lt;&gt;""),"AET","")</f>
        <v/>
      </c>
      <c r="F142" s="139"/>
      <c r="G142" s="374" t="str">
        <f>IF(E142="","","-")</f>
        <v/>
      </c>
      <c r="H142" s="139"/>
      <c r="I142" s="101"/>
      <c r="J142" s="101"/>
      <c r="K142" s="322"/>
      <c r="L142" s="323"/>
      <c r="M142" s="324"/>
      <c r="N142" s="366"/>
      <c r="O142" s="366"/>
      <c r="P142" s="366"/>
      <c r="R142" s="448" t="s">
        <v>654</v>
      </c>
      <c r="S142" s="449"/>
      <c r="T142" s="449"/>
      <c r="U142" s="449"/>
      <c r="V142" s="449"/>
      <c r="W142" s="449"/>
      <c r="X142" s="449"/>
      <c r="Y142" s="449"/>
      <c r="Z142" s="449"/>
      <c r="AA142" s="449"/>
      <c r="AB142" s="449"/>
      <c r="AC142" s="449"/>
      <c r="AD142" s="449"/>
      <c r="AE142" s="449"/>
      <c r="AF142" s="449"/>
      <c r="AG142" s="449"/>
      <c r="AH142" s="450"/>
    </row>
    <row r="143" spans="1:34" ht="14.25" customHeight="1" x14ac:dyDescent="0.2">
      <c r="A143" s="444"/>
      <c r="B143" s="325" t="s">
        <v>110</v>
      </c>
      <c r="C143" s="326"/>
      <c r="D143" s="98" t="str">
        <f>IF(E143="Penalties",D141&amp;"P","")</f>
        <v/>
      </c>
      <c r="E143" s="375" t="str">
        <f>IF(AND(F142=H142,F142&lt;&gt;""),"Penalties","")</f>
        <v/>
      </c>
      <c r="F143" s="103"/>
      <c r="G143" s="374" t="str">
        <f>IF(E143="","","-")</f>
        <v/>
      </c>
      <c r="H143" s="103"/>
      <c r="I143" s="101"/>
      <c r="J143" s="101"/>
      <c r="K143" s="322"/>
      <c r="L143" s="323"/>
      <c r="M143" s="324"/>
      <c r="N143" s="366"/>
      <c r="O143" s="366"/>
      <c r="P143" s="366"/>
      <c r="R143" s="448" t="s">
        <v>655</v>
      </c>
      <c r="S143" s="453"/>
      <c r="T143" s="453"/>
      <c r="U143" s="453"/>
      <c r="V143" s="453"/>
      <c r="W143" s="453"/>
      <c r="X143" s="453"/>
      <c r="Y143" s="453"/>
      <c r="Z143" s="453"/>
      <c r="AA143" s="453"/>
      <c r="AB143" s="453"/>
      <c r="AC143" s="453"/>
      <c r="AD143" s="453"/>
      <c r="AE143" s="453"/>
      <c r="AF143" s="453"/>
      <c r="AG143" s="453"/>
      <c r="AH143" s="454"/>
    </row>
    <row r="144" spans="1:34" ht="14.25" customHeight="1" x14ac:dyDescent="0.2">
      <c r="A144" s="455" t="s">
        <v>1224</v>
      </c>
      <c r="B144" s="325">
        <v>46209</v>
      </c>
      <c r="C144" s="326">
        <v>4.1666666666666664E-2</v>
      </c>
      <c r="D144" s="371" t="s">
        <v>1252</v>
      </c>
      <c r="E144" s="100" t="str">
        <f>VLOOKUP(LEFT($A144,2),Lookup14,9,FALSE)</f>
        <v>Winner Match 79</v>
      </c>
      <c r="F144" s="140"/>
      <c r="G144" s="372" t="s">
        <v>536</v>
      </c>
      <c r="H144" s="141"/>
      <c r="I144" s="101" t="str">
        <f>VLOOKUP(RIGHT($A144,2),Lookup14,9,FALSE)</f>
        <v>Winner Match 80</v>
      </c>
      <c r="J144" s="101" t="str">
        <f>Stadium3</f>
        <v>Mexico City Stadium</v>
      </c>
      <c r="K144" s="322"/>
      <c r="L144" s="323" t="str">
        <f>IF(F144&lt;&gt;"",IF((F144+F145+F146)&gt;(H144+H145+H146),E144,IF((H144+H145+H146)&gt;(F144+F145+F146),I144,"Winner Match "&amp;D144)),"Winner Match "&amp;D144)</f>
        <v>Winner Match 92</v>
      </c>
      <c r="M144" s="324"/>
      <c r="N144" s="445" t="str">
        <f>VLOOKUP($D144,Lookup20,24,FALSE)</f>
        <v/>
      </c>
      <c r="O144" s="446" t="str">
        <f>VLOOKUP($D144,Lookup20,25,FALSE)</f>
        <v/>
      </c>
      <c r="P144" s="445" t="str">
        <f>VLOOKUP($D144,Lookup20,26,FALSE)</f>
        <v/>
      </c>
      <c r="R144" s="642" t="s">
        <v>667</v>
      </c>
      <c r="S144" s="643"/>
      <c r="T144" s="643"/>
      <c r="U144" s="643"/>
      <c r="V144" s="643"/>
      <c r="W144" s="643"/>
      <c r="X144" s="643"/>
      <c r="Y144" s="643"/>
      <c r="Z144" s="643"/>
      <c r="AA144" s="643"/>
      <c r="AB144" s="643"/>
      <c r="AC144" s="643"/>
      <c r="AD144" s="643"/>
      <c r="AE144" s="643"/>
      <c r="AF144" s="643"/>
      <c r="AG144" s="643"/>
      <c r="AH144" s="644"/>
    </row>
    <row r="145" spans="1:34" ht="14.25" customHeight="1" x14ac:dyDescent="0.2">
      <c r="A145" s="444"/>
      <c r="B145" s="325" t="s">
        <v>110</v>
      </c>
      <c r="C145" s="326"/>
      <c r="D145" s="98" t="str">
        <f>IF(E145="AET",D144&amp;"E","")</f>
        <v/>
      </c>
      <c r="E145" s="373" t="str">
        <f>IF(AND(F144=H144,F144&lt;&gt;""),"AET","")</f>
        <v/>
      </c>
      <c r="F145" s="139"/>
      <c r="G145" s="374" t="str">
        <f>IF(E145="","","-")</f>
        <v/>
      </c>
      <c r="H145" s="139"/>
      <c r="I145" s="101"/>
      <c r="J145" s="101"/>
      <c r="K145" s="322"/>
      <c r="L145" s="323"/>
      <c r="M145" s="324"/>
      <c r="N145" s="366"/>
      <c r="O145" s="366"/>
      <c r="P145" s="366"/>
      <c r="R145" s="645"/>
      <c r="S145" s="643"/>
      <c r="T145" s="643"/>
      <c r="U145" s="643"/>
      <c r="V145" s="643"/>
      <c r="W145" s="643"/>
      <c r="X145" s="643"/>
      <c r="Y145" s="643"/>
      <c r="Z145" s="643"/>
      <c r="AA145" s="643"/>
      <c r="AB145" s="643"/>
      <c r="AC145" s="643"/>
      <c r="AD145" s="643"/>
      <c r="AE145" s="643"/>
      <c r="AF145" s="643"/>
      <c r="AG145" s="643"/>
      <c r="AH145" s="644"/>
    </row>
    <row r="146" spans="1:34" ht="14.25" customHeight="1" x14ac:dyDescent="0.2">
      <c r="A146" s="444"/>
      <c r="B146" s="325" t="s">
        <v>110</v>
      </c>
      <c r="C146" s="326"/>
      <c r="D146" s="98" t="str">
        <f>IF(E146="Penalties",D144&amp;"P","")</f>
        <v/>
      </c>
      <c r="E146" s="375" t="str">
        <f>IF(AND(F145=H145,F145&lt;&gt;""),"Penalties","")</f>
        <v/>
      </c>
      <c r="F146" s="103"/>
      <c r="G146" s="374" t="str">
        <f>IF(E146="","","-")</f>
        <v/>
      </c>
      <c r="H146" s="103"/>
      <c r="I146" s="101"/>
      <c r="J146" s="101"/>
      <c r="K146" s="322"/>
      <c r="L146" s="323"/>
      <c r="M146" s="324"/>
      <c r="N146" s="366"/>
      <c r="O146" s="366"/>
      <c r="P146" s="366"/>
      <c r="R146" s="630" t="s">
        <v>1211</v>
      </c>
      <c r="S146" s="631"/>
      <c r="T146" s="631"/>
      <c r="U146" s="631"/>
      <c r="V146" s="631"/>
      <c r="W146" s="631"/>
      <c r="X146" s="631"/>
      <c r="Y146" s="631"/>
      <c r="Z146" s="631"/>
      <c r="AA146" s="631"/>
      <c r="AB146" s="631"/>
      <c r="AC146" s="631"/>
      <c r="AD146" s="631"/>
      <c r="AE146" s="631"/>
      <c r="AF146" s="631"/>
      <c r="AG146" s="631"/>
      <c r="AH146" s="632"/>
    </row>
    <row r="147" spans="1:34" ht="14.25" customHeight="1" x14ac:dyDescent="0.2">
      <c r="A147" s="455" t="s">
        <v>1225</v>
      </c>
      <c r="B147" s="325">
        <v>46209</v>
      </c>
      <c r="C147" s="326">
        <v>0.83333333333333337</v>
      </c>
      <c r="D147" s="371" t="s">
        <v>1253</v>
      </c>
      <c r="E147" s="100" t="str">
        <f>VLOOKUP(LEFT($A147,2),Lookup14,9,FALSE)</f>
        <v>Winner Match 83</v>
      </c>
      <c r="F147" s="140"/>
      <c r="G147" s="372" t="s">
        <v>536</v>
      </c>
      <c r="H147" s="141"/>
      <c r="I147" s="101" t="str">
        <f>VLOOKUP(RIGHT($A147,2),Lookup14,9,FALSE)</f>
        <v>Winner Match 84</v>
      </c>
      <c r="J147" s="101" t="str">
        <f>Stadium8</f>
        <v>Dallas Stadium</v>
      </c>
      <c r="K147" s="322"/>
      <c r="L147" s="323" t="str">
        <f>IF(F147&lt;&gt;"",IF((F147+F148+F149)&gt;(H147+H148+H149),E147,IF((H147+H148+H149)&gt;(F147+F148+F149),I147,"Winner Match "&amp;D147)),"Winner Match "&amp;D147)</f>
        <v>Winner Match 93</v>
      </c>
      <c r="M147" s="324"/>
      <c r="N147" s="445" t="str">
        <f>VLOOKUP($D147,Lookup20,24,FALSE)</f>
        <v/>
      </c>
      <c r="O147" s="446" t="str">
        <f>VLOOKUP($D147,Lookup20,25,FALSE)</f>
        <v/>
      </c>
      <c r="P147" s="445" t="str">
        <f>VLOOKUP($D147,Lookup20,26,FALSE)</f>
        <v/>
      </c>
      <c r="R147" s="646"/>
      <c r="S147" s="631"/>
      <c r="T147" s="631"/>
      <c r="U147" s="631"/>
      <c r="V147" s="631"/>
      <c r="W147" s="631"/>
      <c r="X147" s="631"/>
      <c r="Y147" s="631"/>
      <c r="Z147" s="631"/>
      <c r="AA147" s="631"/>
      <c r="AB147" s="631"/>
      <c r="AC147" s="631"/>
      <c r="AD147" s="631"/>
      <c r="AE147" s="631"/>
      <c r="AF147" s="631"/>
      <c r="AG147" s="631"/>
      <c r="AH147" s="632"/>
    </row>
    <row r="148" spans="1:34" ht="14.25" customHeight="1" x14ac:dyDescent="0.2">
      <c r="A148" s="444"/>
      <c r="B148" s="325" t="s">
        <v>110</v>
      </c>
      <c r="C148" s="326"/>
      <c r="D148" s="98" t="str">
        <f>IF(E148="AET",D147&amp;"E","")</f>
        <v/>
      </c>
      <c r="E148" s="373" t="str">
        <f>IF(AND(F147=H147,F147&lt;&gt;""),"AET","")</f>
        <v/>
      </c>
      <c r="F148" s="139"/>
      <c r="G148" s="374" t="str">
        <f>IF(E148="","","-")</f>
        <v/>
      </c>
      <c r="H148" s="139"/>
      <c r="I148" s="101"/>
      <c r="J148" s="101"/>
      <c r="K148" s="322"/>
      <c r="L148" s="323"/>
      <c r="M148" s="324"/>
      <c r="N148" s="366"/>
      <c r="O148" s="366"/>
      <c r="P148" s="366"/>
      <c r="R148" s="630" t="s">
        <v>1212</v>
      </c>
      <c r="S148" s="631"/>
      <c r="T148" s="631"/>
      <c r="U148" s="631"/>
      <c r="V148" s="631"/>
      <c r="W148" s="631"/>
      <c r="X148" s="631"/>
      <c r="Y148" s="631"/>
      <c r="Z148" s="631"/>
      <c r="AA148" s="631"/>
      <c r="AB148" s="631"/>
      <c r="AC148" s="631"/>
      <c r="AD148" s="631"/>
      <c r="AE148" s="631"/>
      <c r="AF148" s="631"/>
      <c r="AG148" s="631"/>
      <c r="AH148" s="632"/>
    </row>
    <row r="149" spans="1:34" ht="14.25" customHeight="1" x14ac:dyDescent="0.2">
      <c r="A149" s="444"/>
      <c r="B149" s="325" t="s">
        <v>110</v>
      </c>
      <c r="C149" s="326"/>
      <c r="D149" s="98" t="str">
        <f>IF(E149="Penalties",D147&amp;"P","")</f>
        <v/>
      </c>
      <c r="E149" s="375" t="str">
        <f>IF(AND(F148=H148,F148&lt;&gt;""),"Penalties","")</f>
        <v/>
      </c>
      <c r="F149" s="103"/>
      <c r="G149" s="374" t="str">
        <f>IF(E149="","","-")</f>
        <v/>
      </c>
      <c r="H149" s="103"/>
      <c r="I149" s="101"/>
      <c r="J149" s="101"/>
      <c r="K149" s="322"/>
      <c r="L149" s="323"/>
      <c r="M149" s="324"/>
      <c r="N149" s="366"/>
      <c r="O149" s="366"/>
      <c r="P149" s="366"/>
      <c r="R149" s="633"/>
      <c r="S149" s="634"/>
      <c r="T149" s="634"/>
      <c r="U149" s="634"/>
      <c r="V149" s="634"/>
      <c r="W149" s="634"/>
      <c r="X149" s="634"/>
      <c r="Y149" s="634"/>
      <c r="Z149" s="634"/>
      <c r="AA149" s="634"/>
      <c r="AB149" s="634"/>
      <c r="AC149" s="634"/>
      <c r="AD149" s="634"/>
      <c r="AE149" s="634"/>
      <c r="AF149" s="634"/>
      <c r="AG149" s="634"/>
      <c r="AH149" s="635"/>
    </row>
    <row r="150" spans="1:34" ht="14.25" customHeight="1" x14ac:dyDescent="0.2">
      <c r="A150" s="455" t="s">
        <v>1226</v>
      </c>
      <c r="B150" s="325">
        <v>46210</v>
      </c>
      <c r="C150" s="326">
        <v>4.1666666666666664E-2</v>
      </c>
      <c r="D150" s="371" t="s">
        <v>1254</v>
      </c>
      <c r="E150" s="100" t="str">
        <f>VLOOKUP(LEFT($A150,2),Lookup14,9,FALSE)</f>
        <v>Winner Match 81</v>
      </c>
      <c r="F150" s="140"/>
      <c r="G150" s="372" t="s">
        <v>536</v>
      </c>
      <c r="H150" s="141"/>
      <c r="I150" s="101" t="str">
        <f>VLOOKUP(RIGHT($A150,2),Lookup14,9,FALSE)</f>
        <v>Winner Match 82</v>
      </c>
      <c r="J150" s="101" t="str">
        <f>Stadium16</f>
        <v>Seattle Stadium</v>
      </c>
      <c r="K150" s="322"/>
      <c r="L150" s="323" t="str">
        <f>IF(F150&lt;&gt;"",IF((F150+F151+F152)&gt;(H150+H151+H152),E150,IF((H150+H151+H152)&gt;(F150+F151+F152),I150,"Winner Match "&amp;D150)),"Winner Match "&amp;D150)</f>
        <v>Winner Match 94</v>
      </c>
      <c r="M150" s="324"/>
      <c r="N150" s="445" t="str">
        <f>VLOOKUP($D150,Lookup20,24,FALSE)</f>
        <v/>
      </c>
      <c r="O150" s="446" t="str">
        <f>VLOOKUP($D150,Lookup20,25,FALSE)</f>
        <v/>
      </c>
      <c r="P150" s="445" t="str">
        <f>VLOOKUP($D150,Lookup20,26,FALSE)</f>
        <v/>
      </c>
      <c r="R150" s="456"/>
      <c r="S150" s="456"/>
      <c r="T150" s="456"/>
      <c r="U150" s="456"/>
      <c r="V150" s="456"/>
      <c r="W150" s="456"/>
      <c r="X150" s="456"/>
      <c r="Y150" s="456"/>
      <c r="Z150" s="456"/>
      <c r="AA150" s="456"/>
      <c r="AB150" s="456"/>
      <c r="AC150" s="456"/>
      <c r="AD150" s="456"/>
      <c r="AE150" s="456"/>
      <c r="AF150" s="456"/>
      <c r="AG150" s="456"/>
      <c r="AH150" s="456"/>
    </row>
    <row r="151" spans="1:34" ht="14.25" customHeight="1" x14ac:dyDescent="0.2">
      <c r="A151" s="444"/>
      <c r="B151" s="325" t="s">
        <v>110</v>
      </c>
      <c r="C151" s="326"/>
      <c r="D151" s="98" t="str">
        <f>IF(E151="AET",D150&amp;"E","")</f>
        <v/>
      </c>
      <c r="E151" s="373" t="str">
        <f>IF(AND(F150=H150,F150&lt;&gt;""),"AET","")</f>
        <v/>
      </c>
      <c r="F151" s="139"/>
      <c r="G151" s="374" t="str">
        <f>IF(E151="","","-")</f>
        <v/>
      </c>
      <c r="H151" s="139"/>
      <c r="I151" s="101"/>
      <c r="J151" s="101"/>
      <c r="K151" s="322"/>
      <c r="L151" s="323"/>
      <c r="M151" s="324"/>
      <c r="N151" s="366"/>
      <c r="O151" s="366"/>
      <c r="P151" s="366"/>
      <c r="R151" s="639"/>
      <c r="S151" s="640"/>
      <c r="T151" s="640"/>
      <c r="U151" s="640"/>
      <c r="V151" s="640"/>
      <c r="W151" s="640"/>
      <c r="X151" s="640"/>
      <c r="Y151" s="640"/>
      <c r="Z151" s="640"/>
      <c r="AA151" s="640"/>
      <c r="AB151" s="640"/>
      <c r="AC151" s="640"/>
      <c r="AD151" s="640"/>
      <c r="AE151" s="640"/>
      <c r="AF151" s="640"/>
      <c r="AG151" s="640"/>
      <c r="AH151" s="640"/>
    </row>
    <row r="152" spans="1:34" ht="14.25" customHeight="1" x14ac:dyDescent="0.2">
      <c r="A152" s="444"/>
      <c r="B152" s="325" t="s">
        <v>110</v>
      </c>
      <c r="C152" s="326"/>
      <c r="D152" s="98" t="str">
        <f>IF(E152="Penalties",D150&amp;"P","")</f>
        <v/>
      </c>
      <c r="E152" s="375" t="str">
        <f>IF(AND(F151=H151,F151&lt;&gt;""),"Penalties","")</f>
        <v/>
      </c>
      <c r="F152" s="103"/>
      <c r="G152" s="374" t="str">
        <f>IF(E152="","","-")</f>
        <v/>
      </c>
      <c r="H152" s="103"/>
      <c r="I152" s="101"/>
      <c r="J152" s="101"/>
      <c r="K152" s="322"/>
      <c r="L152" s="323"/>
      <c r="M152" s="324"/>
      <c r="N152" s="366"/>
      <c r="O152" s="366"/>
      <c r="P152" s="366"/>
      <c r="R152" s="640"/>
      <c r="S152" s="640"/>
      <c r="T152" s="640"/>
      <c r="U152" s="640"/>
      <c r="V152" s="640"/>
      <c r="W152" s="640"/>
      <c r="X152" s="640"/>
      <c r="Y152" s="640"/>
      <c r="Z152" s="640"/>
      <c r="AA152" s="640"/>
      <c r="AB152" s="640"/>
      <c r="AC152" s="640"/>
      <c r="AD152" s="640"/>
      <c r="AE152" s="640"/>
      <c r="AF152" s="640"/>
      <c r="AG152" s="640"/>
      <c r="AH152" s="640"/>
    </row>
    <row r="153" spans="1:34" ht="14.25" customHeight="1" x14ac:dyDescent="0.2">
      <c r="A153" s="455" t="s">
        <v>1227</v>
      </c>
      <c r="B153" s="325">
        <v>46210</v>
      </c>
      <c r="C153" s="326">
        <v>0.70833333333333337</v>
      </c>
      <c r="D153" s="371" t="s">
        <v>1255</v>
      </c>
      <c r="E153" s="100" t="str">
        <f>VLOOKUP(LEFT($A153,2),Lookup14,9,FALSE)</f>
        <v>Winner Match 86</v>
      </c>
      <c r="F153" s="140"/>
      <c r="G153" s="372" t="s">
        <v>536</v>
      </c>
      <c r="H153" s="141"/>
      <c r="I153" s="101" t="str">
        <f>VLOOKUP(RIGHT($A153,2),Lookup14,9,FALSE)</f>
        <v>Winner Match 88</v>
      </c>
      <c r="J153" s="101" t="str">
        <f>Stadium6</f>
        <v>Atlanta Stadium</v>
      </c>
      <c r="K153" s="322"/>
      <c r="L153" s="323" t="str">
        <f>IF(F153&lt;&gt;"",IF((F153+F154+F155)&gt;(H153+H154+H155),E153,IF((H153+H154+H155)&gt;(F153+F154+F155),I153,"Winner Match "&amp;D153)),"Winner Match "&amp;D153)</f>
        <v>Winner Match 95</v>
      </c>
      <c r="M153" s="324"/>
      <c r="N153" s="445" t="str">
        <f>VLOOKUP($D153,Lookup20,24,FALSE)</f>
        <v/>
      </c>
      <c r="O153" s="446" t="str">
        <f>VLOOKUP($D153,Lookup20,25,FALSE)</f>
        <v/>
      </c>
      <c r="P153" s="445" t="str">
        <f>VLOOKUP($D153,Lookup20,26,FALSE)</f>
        <v/>
      </c>
      <c r="R153" s="640"/>
      <c r="S153" s="640"/>
      <c r="T153" s="640"/>
      <c r="U153" s="640"/>
      <c r="V153" s="640"/>
      <c r="W153" s="640"/>
      <c r="X153" s="640"/>
      <c r="Y153" s="640"/>
      <c r="Z153" s="640"/>
      <c r="AA153" s="640"/>
      <c r="AB153" s="640"/>
      <c r="AC153" s="640"/>
      <c r="AD153" s="640"/>
      <c r="AE153" s="640"/>
      <c r="AF153" s="640"/>
      <c r="AG153" s="640"/>
      <c r="AH153" s="640"/>
    </row>
    <row r="154" spans="1:34" ht="14.25" customHeight="1" x14ac:dyDescent="0.2">
      <c r="A154" s="444"/>
      <c r="B154" s="325"/>
      <c r="C154" s="326"/>
      <c r="D154" s="98" t="str">
        <f>IF(E154="AET",D153&amp;"E","")</f>
        <v/>
      </c>
      <c r="E154" s="373" t="str">
        <f>IF(AND(F153=H153,F153&lt;&gt;""),"AET","")</f>
        <v/>
      </c>
      <c r="F154" s="139"/>
      <c r="G154" s="374" t="str">
        <f>IF(E154="","","-")</f>
        <v/>
      </c>
      <c r="H154" s="139"/>
      <c r="I154" s="101"/>
      <c r="J154" s="101"/>
      <c r="K154" s="322"/>
      <c r="L154" s="323"/>
      <c r="M154" s="324"/>
      <c r="N154" s="366"/>
      <c r="O154" s="366"/>
      <c r="P154" s="366"/>
      <c r="R154" s="640"/>
      <c r="S154" s="640"/>
      <c r="T154" s="640"/>
      <c r="U154" s="640"/>
      <c r="V154" s="640"/>
      <c r="W154" s="640"/>
      <c r="X154" s="640"/>
      <c r="Y154" s="640"/>
      <c r="Z154" s="640"/>
      <c r="AA154" s="640"/>
      <c r="AB154" s="640"/>
      <c r="AC154" s="640"/>
      <c r="AD154" s="640"/>
      <c r="AE154" s="640"/>
      <c r="AF154" s="640"/>
      <c r="AG154" s="640"/>
      <c r="AH154" s="640"/>
    </row>
    <row r="155" spans="1:34" ht="14.25" customHeight="1" x14ac:dyDescent="0.2">
      <c r="A155" s="444"/>
      <c r="B155" s="325"/>
      <c r="C155" s="326"/>
      <c r="D155" s="98" t="str">
        <f>IF(E155="Penalties",D153&amp;"P","")</f>
        <v/>
      </c>
      <c r="E155" s="375" t="str">
        <f>IF(AND(F154=H154,F154&lt;&gt;""),"Penalties","")</f>
        <v/>
      </c>
      <c r="F155" s="103"/>
      <c r="G155" s="374" t="str">
        <f>IF(E155="","","-")</f>
        <v/>
      </c>
      <c r="H155" s="103"/>
      <c r="I155" s="101"/>
      <c r="J155" s="101"/>
      <c r="K155" s="322"/>
      <c r="L155" s="323"/>
      <c r="M155" s="324"/>
      <c r="N155" s="366"/>
      <c r="O155" s="366"/>
      <c r="P155" s="366"/>
      <c r="R155" s="640"/>
      <c r="S155" s="640"/>
      <c r="T155" s="640"/>
      <c r="U155" s="640"/>
      <c r="V155" s="640"/>
      <c r="W155" s="640"/>
      <c r="X155" s="640"/>
      <c r="Y155" s="640"/>
      <c r="Z155" s="640"/>
      <c r="AA155" s="640"/>
      <c r="AB155" s="640"/>
      <c r="AC155" s="640"/>
      <c r="AD155" s="640"/>
      <c r="AE155" s="640"/>
      <c r="AF155" s="640"/>
      <c r="AG155" s="640"/>
      <c r="AH155" s="640"/>
    </row>
    <row r="156" spans="1:34" ht="14.25" customHeight="1" x14ac:dyDescent="0.2">
      <c r="A156" s="455" t="s">
        <v>1228</v>
      </c>
      <c r="B156" s="325">
        <v>46210</v>
      </c>
      <c r="C156" s="326">
        <v>0.875</v>
      </c>
      <c r="D156" s="371" t="s">
        <v>1256</v>
      </c>
      <c r="E156" s="100" t="str">
        <f>VLOOKUP(LEFT($A156,2),Lookup14,9,FALSE)</f>
        <v>Winner Match 85</v>
      </c>
      <c r="F156" s="140"/>
      <c r="G156" s="372" t="s">
        <v>536</v>
      </c>
      <c r="H156" s="141"/>
      <c r="I156" s="101" t="str">
        <f>VLOOKUP(RIGHT($A156,2),Lookup14,9,FALSE)</f>
        <v>Winner Match 87</v>
      </c>
      <c r="J156" s="101" t="str">
        <f>Stadium2</f>
        <v>BC Place Vancouver</v>
      </c>
      <c r="K156" s="322"/>
      <c r="L156" s="323" t="str">
        <f>IF(F156&lt;&gt;"",IF((F156+F157+F158)&gt;(H156+H157+H158),E156,IF((H156+H157+H158)&gt;(F156+F157+F158),I156,"Winner Match "&amp;D156)),"Winner Match "&amp;D156)</f>
        <v>Winner Match 96</v>
      </c>
      <c r="M156" s="324"/>
      <c r="N156" s="445" t="str">
        <f>VLOOKUP($D156,Lookup20,24,FALSE)</f>
        <v/>
      </c>
      <c r="O156" s="446" t="str">
        <f>VLOOKUP($D156,Lookup20,25,FALSE)</f>
        <v/>
      </c>
      <c r="P156" s="445" t="str">
        <f>VLOOKUP($D156,Lookup20,26,FALSE)</f>
        <v/>
      </c>
      <c r="R156" s="640"/>
      <c r="S156" s="640"/>
      <c r="T156" s="640"/>
      <c r="U156" s="640"/>
      <c r="V156" s="640"/>
      <c r="W156" s="640"/>
      <c r="X156" s="640"/>
      <c r="Y156" s="640"/>
      <c r="Z156" s="640"/>
      <c r="AA156" s="640"/>
      <c r="AB156" s="640"/>
      <c r="AC156" s="640"/>
      <c r="AD156" s="640"/>
      <c r="AE156" s="640"/>
      <c r="AF156" s="640"/>
      <c r="AG156" s="640"/>
      <c r="AH156" s="640"/>
    </row>
    <row r="157" spans="1:34" ht="14.25" customHeight="1" x14ac:dyDescent="0.2">
      <c r="A157" s="444"/>
      <c r="D157" s="98" t="str">
        <f>IF(E157="AET",D156&amp;"E","")</f>
        <v/>
      </c>
      <c r="E157" s="373" t="str">
        <f>IF(AND(F156=H156,F156&lt;&gt;""),"AET","")</f>
        <v/>
      </c>
      <c r="F157" s="139"/>
      <c r="G157" s="374" t="str">
        <f>IF(E157="","","-")</f>
        <v/>
      </c>
      <c r="H157" s="139"/>
      <c r="K157" s="322"/>
      <c r="L157" s="323"/>
      <c r="M157" s="324"/>
      <c r="N157" s="366"/>
      <c r="O157" s="366"/>
      <c r="P157" s="366"/>
      <c r="R157" s="640"/>
      <c r="S157" s="640"/>
      <c r="T157" s="640"/>
      <c r="U157" s="640"/>
      <c r="V157" s="640"/>
      <c r="W157" s="640"/>
      <c r="X157" s="640"/>
      <c r="Y157" s="640"/>
      <c r="Z157" s="640"/>
      <c r="AA157" s="640"/>
      <c r="AB157" s="640"/>
      <c r="AC157" s="640"/>
      <c r="AD157" s="640"/>
      <c r="AE157" s="640"/>
      <c r="AF157" s="640"/>
      <c r="AG157" s="640"/>
      <c r="AH157" s="640"/>
    </row>
    <row r="158" spans="1:34" ht="14.25" customHeight="1" x14ac:dyDescent="0.2">
      <c r="A158" s="444"/>
      <c r="D158" s="98" t="str">
        <f>IF(E158="Penalties",D156&amp;"P","")</f>
        <v/>
      </c>
      <c r="E158" s="375" t="str">
        <f>IF(AND(F157=H157,F157&lt;&gt;""),"Penalties","")</f>
        <v/>
      </c>
      <c r="F158" s="103"/>
      <c r="G158" s="374" t="str">
        <f>IF(E158="","","-")</f>
        <v/>
      </c>
      <c r="H158" s="103"/>
      <c r="K158" s="322"/>
      <c r="L158" s="323"/>
      <c r="M158" s="324"/>
      <c r="N158" s="366"/>
      <c r="O158" s="366"/>
      <c r="P158" s="366"/>
      <c r="R158" s="640"/>
      <c r="S158" s="640"/>
      <c r="T158" s="640"/>
      <c r="U158" s="640"/>
      <c r="V158" s="640"/>
      <c r="W158" s="640"/>
      <c r="X158" s="640"/>
      <c r="Y158" s="640"/>
      <c r="Z158" s="640"/>
      <c r="AA158" s="640"/>
      <c r="AB158" s="640"/>
      <c r="AC158" s="640"/>
      <c r="AD158" s="640"/>
      <c r="AE158" s="640"/>
      <c r="AF158" s="640"/>
      <c r="AG158" s="640"/>
      <c r="AH158" s="640"/>
    </row>
    <row r="159" spans="1:34" ht="14.25" customHeight="1" x14ac:dyDescent="0.2">
      <c r="A159" s="444"/>
      <c r="B159" s="312"/>
      <c r="C159" s="312"/>
      <c r="D159" s="313"/>
      <c r="E159" s="666" t="s">
        <v>395</v>
      </c>
      <c r="F159" s="666"/>
      <c r="G159" s="666"/>
      <c r="H159" s="666"/>
      <c r="I159" s="666"/>
      <c r="J159" s="312"/>
      <c r="K159" s="367"/>
      <c r="L159" s="323"/>
      <c r="M159" s="324"/>
      <c r="N159" s="667" t="s">
        <v>386</v>
      </c>
      <c r="O159" s="667"/>
      <c r="P159" s="667"/>
      <c r="R159" s="640"/>
      <c r="S159" s="640"/>
      <c r="T159" s="640"/>
      <c r="U159" s="640"/>
      <c r="V159" s="640"/>
      <c r="W159" s="640"/>
      <c r="X159" s="640"/>
      <c r="Y159" s="640"/>
      <c r="Z159" s="640"/>
      <c r="AA159" s="640"/>
      <c r="AB159" s="640"/>
      <c r="AC159" s="640"/>
      <c r="AD159" s="640"/>
      <c r="AE159" s="640"/>
      <c r="AF159" s="640"/>
      <c r="AG159" s="640"/>
      <c r="AH159" s="640"/>
    </row>
    <row r="160" spans="1:34" ht="14.25" customHeight="1" x14ac:dyDescent="0.2">
      <c r="A160" s="444"/>
      <c r="B160" s="404" t="s">
        <v>111</v>
      </c>
      <c r="C160" s="315" t="s">
        <v>319</v>
      </c>
      <c r="D160" s="316" t="s">
        <v>618</v>
      </c>
      <c r="E160" s="405"/>
      <c r="F160" s="402" t="s">
        <v>337</v>
      </c>
      <c r="G160" s="405"/>
      <c r="H160" s="405"/>
      <c r="I160" s="405"/>
      <c r="J160" s="406" t="s">
        <v>321</v>
      </c>
      <c r="K160" s="369"/>
      <c r="L160" s="323"/>
      <c r="M160" s="324"/>
      <c r="N160" s="370" t="s">
        <v>1</v>
      </c>
      <c r="O160" s="370" t="s">
        <v>25</v>
      </c>
      <c r="P160" s="370" t="s">
        <v>0</v>
      </c>
      <c r="R160" s="640"/>
      <c r="S160" s="640"/>
      <c r="T160" s="640"/>
      <c r="U160" s="640"/>
      <c r="V160" s="640"/>
      <c r="W160" s="640"/>
      <c r="X160" s="640"/>
      <c r="Y160" s="640"/>
      <c r="Z160" s="640"/>
      <c r="AA160" s="640"/>
      <c r="AB160" s="640"/>
      <c r="AC160" s="640"/>
      <c r="AD160" s="640"/>
      <c r="AE160" s="640"/>
      <c r="AF160" s="640"/>
      <c r="AG160" s="640"/>
      <c r="AH160" s="640"/>
    </row>
    <row r="161" spans="1:34" ht="14.25" customHeight="1" x14ac:dyDescent="0.2">
      <c r="A161" s="444"/>
      <c r="F161" s="98"/>
      <c r="G161" s="98"/>
      <c r="H161" s="98"/>
      <c r="J161" s="101"/>
      <c r="K161" s="322"/>
      <c r="L161" s="323"/>
      <c r="M161" s="324"/>
      <c r="N161" s="366"/>
      <c r="O161" s="366"/>
      <c r="P161" s="366"/>
      <c r="R161" s="640"/>
      <c r="S161" s="640"/>
      <c r="T161" s="640"/>
      <c r="U161" s="640"/>
      <c r="V161" s="640"/>
      <c r="W161" s="640"/>
      <c r="X161" s="640"/>
      <c r="Y161" s="640"/>
      <c r="Z161" s="640"/>
      <c r="AA161" s="640"/>
      <c r="AB161" s="640"/>
      <c r="AC161" s="640"/>
      <c r="AD161" s="640"/>
      <c r="AE161" s="640"/>
      <c r="AF161" s="640"/>
      <c r="AG161" s="640"/>
      <c r="AH161" s="640"/>
    </row>
    <row r="162" spans="1:34" ht="14.25" customHeight="1" x14ac:dyDescent="0.2">
      <c r="A162" s="455" t="s">
        <v>1247</v>
      </c>
      <c r="B162" s="325">
        <v>46212</v>
      </c>
      <c r="C162" s="326">
        <v>0.875</v>
      </c>
      <c r="D162" s="371" t="s">
        <v>1262</v>
      </c>
      <c r="E162" s="100" t="str">
        <f>VLOOKUP(LEFT($A162,2),Lookup14,9,FALSE)</f>
        <v>Winner Match 89</v>
      </c>
      <c r="F162" s="140"/>
      <c r="G162" s="372" t="s">
        <v>536</v>
      </c>
      <c r="H162" s="141"/>
      <c r="I162" s="101" t="str">
        <f>VLOOKUP(RIGHT($A162,2),Lookup14,9,FALSE)</f>
        <v>Winner Match 90</v>
      </c>
      <c r="J162" s="101" t="str">
        <f>Stadium7</f>
        <v>Boston Stadium</v>
      </c>
      <c r="K162" s="322"/>
      <c r="L162" s="323" t="str">
        <f>IF(F162&lt;&gt;"",IF((F162+F163+F164)&gt;(H162+H163+H164),E162,IF((H162+H163+H164)&gt;(F162+F163+F164),I162,"Winner Match "&amp;D162)),"Winner Match "&amp;D162)</f>
        <v>Winner Match 97</v>
      </c>
      <c r="M162" s="324"/>
      <c r="N162" s="445" t="str">
        <f>VLOOKUP($D162,Lookup20,24,FALSE)</f>
        <v/>
      </c>
      <c r="O162" s="446" t="str">
        <f>VLOOKUP($D162,Lookup20,25,FALSE)</f>
        <v/>
      </c>
      <c r="P162" s="445" t="str">
        <f>VLOOKUP($D162,Lookup20,26,FALSE)</f>
        <v/>
      </c>
      <c r="R162" s="640"/>
      <c r="S162" s="640"/>
      <c r="T162" s="640"/>
      <c r="U162" s="640"/>
      <c r="V162" s="640"/>
      <c r="W162" s="640"/>
      <c r="X162" s="640"/>
      <c r="Y162" s="640"/>
      <c r="Z162" s="640"/>
      <c r="AA162" s="640"/>
      <c r="AB162" s="640"/>
      <c r="AC162" s="640"/>
      <c r="AD162" s="640"/>
      <c r="AE162" s="640"/>
      <c r="AF162" s="640"/>
      <c r="AG162" s="640"/>
      <c r="AH162" s="640"/>
    </row>
    <row r="163" spans="1:34" ht="14.25" customHeight="1" x14ac:dyDescent="0.2">
      <c r="A163" s="444"/>
      <c r="B163" s="325" t="s">
        <v>110</v>
      </c>
      <c r="C163" s="326"/>
      <c r="D163" s="98" t="str">
        <f>IF(E163="AET",D162&amp;"E","")</f>
        <v/>
      </c>
      <c r="E163" s="373" t="str">
        <f>IF(AND(F162=H162,F162&lt;&gt;""),"AET","")</f>
        <v/>
      </c>
      <c r="F163" s="139"/>
      <c r="G163" s="374" t="str">
        <f>IF(E163="","","-")</f>
        <v/>
      </c>
      <c r="H163" s="139"/>
      <c r="I163" s="101"/>
      <c r="J163" s="101"/>
      <c r="K163" s="322"/>
      <c r="L163" s="323"/>
      <c r="M163" s="324"/>
      <c r="N163" s="366"/>
      <c r="O163" s="366"/>
      <c r="P163" s="366"/>
      <c r="R163" s="640"/>
      <c r="S163" s="640"/>
      <c r="T163" s="640"/>
      <c r="U163" s="640"/>
      <c r="V163" s="640"/>
      <c r="W163" s="640"/>
      <c r="X163" s="640"/>
      <c r="Y163" s="640"/>
      <c r="Z163" s="640"/>
      <c r="AA163" s="640"/>
      <c r="AB163" s="640"/>
      <c r="AC163" s="640"/>
      <c r="AD163" s="640"/>
      <c r="AE163" s="640"/>
      <c r="AF163" s="640"/>
      <c r="AG163" s="640"/>
      <c r="AH163" s="640"/>
    </row>
    <row r="164" spans="1:34" ht="14.25" customHeight="1" x14ac:dyDescent="0.2">
      <c r="A164" s="444"/>
      <c r="B164" s="325" t="s">
        <v>110</v>
      </c>
      <c r="C164" s="326"/>
      <c r="D164" s="98" t="str">
        <f>IF(E164="Penalties",D162&amp;"P","")</f>
        <v/>
      </c>
      <c r="E164" s="375" t="str">
        <f>IF(AND(F163=H163,F163&lt;&gt;""),"Penalties","")</f>
        <v/>
      </c>
      <c r="F164" s="142"/>
      <c r="G164" s="374" t="str">
        <f>IF(E164="","","-")</f>
        <v/>
      </c>
      <c r="H164" s="142"/>
      <c r="I164" s="101"/>
      <c r="J164" s="101"/>
      <c r="K164" s="322"/>
      <c r="L164" s="323"/>
      <c r="M164" s="324"/>
      <c r="N164" s="366"/>
      <c r="O164" s="366"/>
      <c r="P164" s="366"/>
      <c r="R164" s="640"/>
      <c r="S164" s="640"/>
      <c r="T164" s="640"/>
      <c r="U164" s="640"/>
      <c r="V164" s="640"/>
      <c r="W164" s="640"/>
      <c r="X164" s="640"/>
      <c r="Y164" s="640"/>
      <c r="Z164" s="640"/>
      <c r="AA164" s="640"/>
      <c r="AB164" s="640"/>
      <c r="AC164" s="640"/>
      <c r="AD164" s="640"/>
      <c r="AE164" s="640"/>
      <c r="AF164" s="640"/>
      <c r="AG164" s="640"/>
      <c r="AH164" s="640"/>
    </row>
    <row r="165" spans="1:34" ht="14.25" customHeight="1" x14ac:dyDescent="0.2">
      <c r="A165" s="455" t="s">
        <v>1248</v>
      </c>
      <c r="B165" s="325">
        <v>46213</v>
      </c>
      <c r="C165" s="326">
        <v>0.83333333333333337</v>
      </c>
      <c r="D165" s="371" t="s">
        <v>1263</v>
      </c>
      <c r="E165" s="100" t="str">
        <f>VLOOKUP(LEFT($A165,2),Lookup14,9,FALSE)</f>
        <v>Winner Match 93</v>
      </c>
      <c r="F165" s="140"/>
      <c r="G165" s="372" t="s">
        <v>536</v>
      </c>
      <c r="H165" s="141"/>
      <c r="I165" s="101" t="str">
        <f>VLOOKUP(RIGHT($A165,2),Lookup14,9,FALSE)</f>
        <v>Winner Match 94</v>
      </c>
      <c r="J165" s="101" t="str">
        <f>Stadium11</f>
        <v>Los Angeles Stadium</v>
      </c>
      <c r="K165" s="322"/>
      <c r="L165" s="323" t="str">
        <f>IF(F165&lt;&gt;"",IF((F165+F166+F167)&gt;(H165+H166+H167),E165,IF((H165+H166+H167)&gt;(F165+F166+F167),I165,"Winner Match "&amp;D165)),"Winner Match "&amp;D165)</f>
        <v>Winner Match 98</v>
      </c>
      <c r="M165" s="324"/>
      <c r="N165" s="445" t="str">
        <f>VLOOKUP($D165,Lookup20,24,FALSE)</f>
        <v/>
      </c>
      <c r="O165" s="446" t="str">
        <f>VLOOKUP($D165,Lookup20,25,FALSE)</f>
        <v/>
      </c>
      <c r="P165" s="445" t="str">
        <f>VLOOKUP($D165,Lookup20,26,FALSE)</f>
        <v/>
      </c>
      <c r="R165" s="640"/>
      <c r="S165" s="640"/>
      <c r="T165" s="640"/>
      <c r="U165" s="640"/>
      <c r="V165" s="640"/>
      <c r="W165" s="640"/>
      <c r="X165" s="640"/>
      <c r="Y165" s="640"/>
      <c r="Z165" s="640"/>
      <c r="AA165" s="640"/>
      <c r="AB165" s="640"/>
      <c r="AC165" s="640"/>
      <c r="AD165" s="640"/>
      <c r="AE165" s="640"/>
      <c r="AF165" s="640"/>
      <c r="AG165" s="640"/>
      <c r="AH165" s="640"/>
    </row>
    <row r="166" spans="1:34" ht="14.25" customHeight="1" x14ac:dyDescent="0.2">
      <c r="A166" s="444"/>
      <c r="B166" s="325" t="s">
        <v>110</v>
      </c>
      <c r="C166" s="326"/>
      <c r="D166" s="98" t="str">
        <f>IF(E166="AET",D165&amp;"E","")</f>
        <v/>
      </c>
      <c r="E166" s="373" t="str">
        <f>IF(AND(F165=H165,F165&lt;&gt;""),"AET","")</f>
        <v/>
      </c>
      <c r="F166" s="139"/>
      <c r="G166" s="374" t="str">
        <f>IF(E166="","","-")</f>
        <v/>
      </c>
      <c r="H166" s="139"/>
      <c r="I166" s="101"/>
      <c r="J166" s="101"/>
      <c r="K166" s="322"/>
      <c r="L166" s="323"/>
      <c r="M166" s="324"/>
      <c r="N166" s="366"/>
      <c r="O166" s="366"/>
      <c r="P166" s="366"/>
      <c r="R166" s="640"/>
      <c r="S166" s="640"/>
      <c r="T166" s="640"/>
      <c r="U166" s="640"/>
      <c r="V166" s="640"/>
      <c r="W166" s="640"/>
      <c r="X166" s="640"/>
      <c r="Y166" s="640"/>
      <c r="Z166" s="640"/>
      <c r="AA166" s="640"/>
      <c r="AB166" s="640"/>
      <c r="AC166" s="640"/>
      <c r="AD166" s="640"/>
      <c r="AE166" s="640"/>
      <c r="AF166" s="640"/>
      <c r="AG166" s="640"/>
      <c r="AH166" s="640"/>
    </row>
    <row r="167" spans="1:34" ht="14.25" customHeight="1" x14ac:dyDescent="0.2">
      <c r="A167" s="444"/>
      <c r="B167" s="325" t="s">
        <v>110</v>
      </c>
      <c r="C167" s="326"/>
      <c r="D167" s="98" t="str">
        <f>IF(E167="Penalties",D165&amp;"P","")</f>
        <v/>
      </c>
      <c r="E167" s="375" t="str">
        <f>IF(AND(F166=H166,F166&lt;&gt;""),"Penalties","")</f>
        <v/>
      </c>
      <c r="F167" s="103"/>
      <c r="G167" s="374" t="str">
        <f>IF(E167="","","-")</f>
        <v/>
      </c>
      <c r="H167" s="103"/>
      <c r="I167" s="101"/>
      <c r="J167" s="101"/>
      <c r="K167" s="322"/>
      <c r="L167" s="323"/>
      <c r="M167" s="324"/>
      <c r="N167" s="366"/>
      <c r="O167" s="366"/>
      <c r="P167" s="366"/>
      <c r="R167" s="640"/>
      <c r="S167" s="640"/>
      <c r="T167" s="640"/>
      <c r="U167" s="640"/>
      <c r="V167" s="640"/>
      <c r="W167" s="640"/>
      <c r="X167" s="640"/>
      <c r="Y167" s="640"/>
      <c r="Z167" s="640"/>
      <c r="AA167" s="640"/>
      <c r="AB167" s="640"/>
      <c r="AC167" s="640"/>
      <c r="AD167" s="640"/>
      <c r="AE167" s="640"/>
      <c r="AF167" s="640"/>
      <c r="AG167" s="640"/>
      <c r="AH167" s="640"/>
    </row>
    <row r="168" spans="1:34" ht="14.25" customHeight="1" x14ac:dyDescent="0.2">
      <c r="A168" s="455" t="s">
        <v>1249</v>
      </c>
      <c r="B168" s="325">
        <v>46214</v>
      </c>
      <c r="C168" s="326">
        <v>0.91666666666666663</v>
      </c>
      <c r="D168" s="371" t="s">
        <v>1264</v>
      </c>
      <c r="E168" s="100" t="str">
        <f>VLOOKUP(LEFT($A168,2),Lookup14,9,FALSE)</f>
        <v>Winner Match 91</v>
      </c>
      <c r="F168" s="140"/>
      <c r="G168" s="372" t="s">
        <v>536</v>
      </c>
      <c r="H168" s="141"/>
      <c r="I168" s="101" t="str">
        <f>VLOOKUP(RIGHT($A168,2),Lookup14,9,FALSE)</f>
        <v>Winner Match 92</v>
      </c>
      <c r="J168" s="101" t="str">
        <f>Stadium12</f>
        <v>Miami Stadium</v>
      </c>
      <c r="K168" s="322"/>
      <c r="L168" s="323" t="str">
        <f>IF(F168&lt;&gt;"",IF((F168+F169+F170)&gt;(H168+H169+H170),E168,IF((H168+H169+H170)&gt;(F168+F169+F170),I168,"Winner Match "&amp;D168)),"Winner Match "&amp;D168)</f>
        <v>Winner Match 99</v>
      </c>
      <c r="M168" s="324"/>
      <c r="N168" s="445" t="str">
        <f>VLOOKUP($D168,Lookup20,24,FALSE)</f>
        <v/>
      </c>
      <c r="O168" s="446" t="str">
        <f>VLOOKUP($D168,Lookup20,25,FALSE)</f>
        <v/>
      </c>
      <c r="P168" s="445" t="str">
        <f>VLOOKUP($D168,Lookup20,26,FALSE)</f>
        <v/>
      </c>
      <c r="R168" s="640"/>
      <c r="S168" s="640"/>
      <c r="T168" s="640"/>
      <c r="U168" s="640"/>
      <c r="V168" s="640"/>
      <c r="W168" s="640"/>
      <c r="X168" s="640"/>
      <c r="Y168" s="640"/>
      <c r="Z168" s="640"/>
      <c r="AA168" s="640"/>
      <c r="AB168" s="640"/>
      <c r="AC168" s="640"/>
      <c r="AD168" s="640"/>
      <c r="AE168" s="640"/>
      <c r="AF168" s="640"/>
      <c r="AG168" s="640"/>
      <c r="AH168" s="640"/>
    </row>
    <row r="169" spans="1:34" ht="14.25" customHeight="1" x14ac:dyDescent="0.2">
      <c r="A169" s="444"/>
      <c r="B169" s="325"/>
      <c r="C169" s="326"/>
      <c r="D169" s="98" t="str">
        <f>IF(E169="AET",D168&amp;"E","")</f>
        <v/>
      </c>
      <c r="E169" s="373" t="str">
        <f>IF(AND(F168=H168,F168&lt;&gt;""),"AET","")</f>
        <v/>
      </c>
      <c r="F169" s="139"/>
      <c r="G169" s="374" t="str">
        <f>IF(E169="","","-")</f>
        <v/>
      </c>
      <c r="H169" s="139"/>
      <c r="I169" s="101"/>
      <c r="J169" s="101"/>
      <c r="K169" s="322"/>
      <c r="L169" s="323"/>
      <c r="M169" s="324"/>
      <c r="N169" s="366"/>
      <c r="O169" s="366"/>
      <c r="P169" s="366"/>
      <c r="R169" s="640"/>
      <c r="S169" s="640"/>
      <c r="T169" s="640"/>
      <c r="U169" s="640"/>
      <c r="V169" s="640"/>
      <c r="W169" s="640"/>
      <c r="X169" s="640"/>
      <c r="Y169" s="640"/>
      <c r="Z169" s="640"/>
      <c r="AA169" s="640"/>
      <c r="AB169" s="640"/>
      <c r="AC169" s="640"/>
      <c r="AD169" s="640"/>
      <c r="AE169" s="640"/>
      <c r="AF169" s="640"/>
      <c r="AG169" s="640"/>
      <c r="AH169" s="640"/>
    </row>
    <row r="170" spans="1:34" ht="14.25" customHeight="1" x14ac:dyDescent="0.2">
      <c r="A170" s="444"/>
      <c r="B170" s="407"/>
      <c r="C170" s="326"/>
      <c r="D170" s="98" t="str">
        <f>IF(E170="Penalties",D168&amp;"P","")</f>
        <v/>
      </c>
      <c r="E170" s="375" t="str">
        <f>IF(AND(F169=H169,F169&lt;&gt;""),"Penalties","")</f>
        <v/>
      </c>
      <c r="F170" s="103"/>
      <c r="G170" s="374" t="str">
        <f>IF(E170="","","-")</f>
        <v/>
      </c>
      <c r="H170" s="103"/>
      <c r="I170" s="101"/>
      <c r="K170" s="322"/>
      <c r="L170" s="323"/>
      <c r="M170" s="324"/>
      <c r="N170" s="366"/>
      <c r="O170" s="366"/>
      <c r="P170" s="366"/>
      <c r="R170" s="640"/>
      <c r="S170" s="640"/>
      <c r="T170" s="640"/>
      <c r="U170" s="640"/>
      <c r="V170" s="640"/>
      <c r="W170" s="640"/>
      <c r="X170" s="640"/>
      <c r="Y170" s="640"/>
      <c r="Z170" s="640"/>
      <c r="AA170" s="640"/>
      <c r="AB170" s="640"/>
      <c r="AC170" s="640"/>
      <c r="AD170" s="640"/>
      <c r="AE170" s="640"/>
      <c r="AF170" s="640"/>
      <c r="AG170" s="640"/>
      <c r="AH170" s="640"/>
    </row>
    <row r="171" spans="1:34" ht="14.25" customHeight="1" x14ac:dyDescent="0.2">
      <c r="A171" s="455" t="s">
        <v>1250</v>
      </c>
      <c r="B171" s="325">
        <v>46215</v>
      </c>
      <c r="C171" s="326">
        <v>8.3333333333333329E-2</v>
      </c>
      <c r="D171" s="371" t="s">
        <v>1265</v>
      </c>
      <c r="E171" s="100" t="str">
        <f>VLOOKUP(LEFT($A171,2),Lookup14,9,FALSE)</f>
        <v>Winner Match 95</v>
      </c>
      <c r="F171" s="140"/>
      <c r="G171" s="372" t="s">
        <v>536</v>
      </c>
      <c r="H171" s="141"/>
      <c r="I171" s="101" t="str">
        <f>VLOOKUP(RIGHT($A171,2),Lookup14,9,FALSE)</f>
        <v>Winner Match 96</v>
      </c>
      <c r="J171" s="101" t="str">
        <f>Stadium10</f>
        <v>Kansas City Stadium</v>
      </c>
      <c r="K171" s="322"/>
      <c r="L171" s="323" t="str">
        <f>IF(F171&lt;&gt;"",IF((F171+F172+F173)&gt;(H171+H172+H173),E171,IF((H171+H172+H173)&gt;(F171+F172+F173),I171,"Winner Match "&amp;D171)),"Winner Match "&amp;D171)</f>
        <v>Winner Match 100</v>
      </c>
      <c r="M171" s="324"/>
      <c r="N171" s="445" t="str">
        <f>VLOOKUP($D171,Lookup20,24,FALSE)</f>
        <v/>
      </c>
      <c r="O171" s="446" t="str">
        <f>VLOOKUP($D171,Lookup20,25,FALSE)</f>
        <v/>
      </c>
      <c r="P171" s="445" t="str">
        <f>VLOOKUP($D171,Lookup20,26,FALSE)</f>
        <v/>
      </c>
      <c r="R171" s="640"/>
      <c r="S171" s="640"/>
      <c r="T171" s="640"/>
      <c r="U171" s="640"/>
      <c r="V171" s="640"/>
      <c r="W171" s="640"/>
      <c r="X171" s="640"/>
      <c r="Y171" s="640"/>
      <c r="Z171" s="640"/>
      <c r="AA171" s="640"/>
      <c r="AB171" s="640"/>
      <c r="AC171" s="640"/>
      <c r="AD171" s="640"/>
      <c r="AE171" s="640"/>
      <c r="AF171" s="640"/>
      <c r="AG171" s="640"/>
      <c r="AH171" s="640"/>
    </row>
    <row r="172" spans="1:34" ht="14.25" customHeight="1" x14ac:dyDescent="0.2">
      <c r="A172" s="444"/>
      <c r="B172" s="325" t="s">
        <v>110</v>
      </c>
      <c r="C172" s="326"/>
      <c r="D172" s="98" t="str">
        <f>IF(E172="AET",D171&amp;"E","")</f>
        <v/>
      </c>
      <c r="E172" s="373" t="str">
        <f>IF(AND(F171=H171,F171&lt;&gt;""),"AET","")</f>
        <v/>
      </c>
      <c r="F172" s="139"/>
      <c r="G172" s="374" t="str">
        <f>IF(E172="","","-")</f>
        <v/>
      </c>
      <c r="H172" s="139"/>
      <c r="I172" s="101"/>
      <c r="J172" s="101"/>
      <c r="K172" s="322"/>
      <c r="L172" s="323"/>
      <c r="M172" s="324"/>
      <c r="N172" s="366"/>
      <c r="O172" s="366"/>
      <c r="P172" s="366"/>
      <c r="R172" s="640"/>
      <c r="S172" s="640"/>
      <c r="T172" s="640"/>
      <c r="U172" s="640"/>
      <c r="V172" s="640"/>
      <c r="W172" s="640"/>
      <c r="X172" s="640"/>
      <c r="Y172" s="640"/>
      <c r="Z172" s="640"/>
      <c r="AA172" s="640"/>
      <c r="AB172" s="640"/>
      <c r="AC172" s="640"/>
      <c r="AD172" s="640"/>
      <c r="AE172" s="640"/>
      <c r="AF172" s="640"/>
      <c r="AG172" s="640"/>
      <c r="AH172" s="640"/>
    </row>
    <row r="173" spans="1:34" ht="14.25" customHeight="1" x14ac:dyDescent="0.2">
      <c r="A173" s="444"/>
      <c r="B173" s="325" t="s">
        <v>110</v>
      </c>
      <c r="C173" s="326"/>
      <c r="D173" s="98" t="str">
        <f>IF(E173="Penalties",D171&amp;"P","")</f>
        <v/>
      </c>
      <c r="E173" s="375" t="str">
        <f>IF(AND(F172=H172,F172&lt;&gt;""),"Penalties","")</f>
        <v/>
      </c>
      <c r="F173" s="103"/>
      <c r="G173" s="374" t="str">
        <f>IF(E173="","","-")</f>
        <v/>
      </c>
      <c r="H173" s="103"/>
      <c r="I173" s="101"/>
      <c r="J173" s="101"/>
      <c r="K173" s="322"/>
      <c r="L173" s="323"/>
      <c r="M173" s="324"/>
      <c r="N173" s="366"/>
      <c r="O173" s="366"/>
      <c r="P173" s="366"/>
      <c r="R173" s="640"/>
      <c r="S173" s="640"/>
      <c r="T173" s="640"/>
      <c r="U173" s="640"/>
      <c r="V173" s="640"/>
      <c r="W173" s="640"/>
      <c r="X173" s="640"/>
      <c r="Y173" s="640"/>
      <c r="Z173" s="640"/>
      <c r="AA173" s="640"/>
      <c r="AB173" s="640"/>
      <c r="AC173" s="640"/>
      <c r="AD173" s="640"/>
      <c r="AE173" s="640"/>
      <c r="AF173" s="640"/>
      <c r="AG173" s="640"/>
      <c r="AH173" s="640"/>
    </row>
    <row r="174" spans="1:34" ht="14.25" customHeight="1" x14ac:dyDescent="0.2">
      <c r="A174" s="444"/>
      <c r="B174" s="312"/>
      <c r="C174" s="312"/>
      <c r="D174" s="313"/>
      <c r="E174" s="666" t="s">
        <v>394</v>
      </c>
      <c r="F174" s="666"/>
      <c r="G174" s="666"/>
      <c r="H174" s="666"/>
      <c r="I174" s="666"/>
      <c r="J174" s="312"/>
      <c r="K174" s="367"/>
      <c r="L174" s="323"/>
      <c r="M174" s="324"/>
      <c r="N174" s="667" t="s">
        <v>386</v>
      </c>
      <c r="O174" s="667"/>
      <c r="P174" s="667"/>
      <c r="R174" s="640"/>
      <c r="S174" s="640"/>
      <c r="T174" s="640"/>
      <c r="U174" s="640"/>
      <c r="V174" s="640"/>
      <c r="W174" s="640"/>
      <c r="X174" s="640"/>
      <c r="Y174" s="640"/>
      <c r="Z174" s="640"/>
      <c r="AA174" s="640"/>
      <c r="AB174" s="640"/>
      <c r="AC174" s="640"/>
      <c r="AD174" s="640"/>
      <c r="AE174" s="640"/>
      <c r="AF174" s="640"/>
      <c r="AG174" s="640"/>
      <c r="AH174" s="640"/>
    </row>
    <row r="175" spans="1:34" ht="14.25" customHeight="1" x14ac:dyDescent="0.2">
      <c r="A175" s="444"/>
      <c r="B175" s="404" t="s">
        <v>111</v>
      </c>
      <c r="C175" s="315" t="s">
        <v>319</v>
      </c>
      <c r="D175" s="316" t="s">
        <v>618</v>
      </c>
      <c r="E175" s="405"/>
      <c r="F175" s="402" t="s">
        <v>337</v>
      </c>
      <c r="G175" s="405"/>
      <c r="H175" s="405"/>
      <c r="I175" s="405"/>
      <c r="J175" s="406" t="s">
        <v>321</v>
      </c>
      <c r="K175" s="369"/>
      <c r="L175" s="323"/>
      <c r="M175" s="324"/>
      <c r="N175" s="370"/>
      <c r="O175" s="370"/>
      <c r="P175" s="370"/>
      <c r="R175" s="640"/>
      <c r="S175" s="640"/>
      <c r="T175" s="640"/>
      <c r="U175" s="640"/>
      <c r="V175" s="640"/>
      <c r="W175" s="640"/>
      <c r="X175" s="640"/>
      <c r="Y175" s="640"/>
      <c r="Z175" s="640"/>
      <c r="AA175" s="640"/>
      <c r="AB175" s="640"/>
      <c r="AC175" s="640"/>
      <c r="AD175" s="640"/>
      <c r="AE175" s="640"/>
      <c r="AF175" s="640"/>
      <c r="AG175" s="640"/>
      <c r="AH175" s="640"/>
    </row>
    <row r="176" spans="1:34" ht="14.25" customHeight="1" x14ac:dyDescent="0.2">
      <c r="A176" s="444"/>
      <c r="F176" s="98"/>
      <c r="G176" s="98"/>
      <c r="H176" s="98"/>
      <c r="J176" s="101"/>
      <c r="K176" s="322"/>
      <c r="L176" s="323"/>
      <c r="M176" s="324"/>
      <c r="N176" s="366"/>
      <c r="O176" s="366"/>
      <c r="P176" s="366"/>
      <c r="R176" s="640"/>
      <c r="S176" s="640"/>
      <c r="T176" s="640"/>
      <c r="U176" s="640"/>
      <c r="V176" s="640"/>
      <c r="W176" s="640"/>
      <c r="X176" s="640"/>
      <c r="Y176" s="640"/>
      <c r="Z176" s="640"/>
      <c r="AA176" s="640"/>
      <c r="AB176" s="640"/>
      <c r="AC176" s="640"/>
      <c r="AD176" s="640"/>
      <c r="AE176" s="640"/>
      <c r="AF176" s="640"/>
      <c r="AG176" s="640"/>
      <c r="AH176" s="640"/>
    </row>
    <row r="177" spans="1:34" ht="14.25" customHeight="1" x14ac:dyDescent="0.2">
      <c r="A177" s="455" t="s">
        <v>1261</v>
      </c>
      <c r="B177" s="325">
        <v>46217</v>
      </c>
      <c r="C177" s="326">
        <v>0.83333333333333337</v>
      </c>
      <c r="D177" s="371" t="s">
        <v>1257</v>
      </c>
      <c r="E177" s="100" t="str">
        <f>VLOOKUP(LEFT($A177,2),Lookup14,9,FALSE)</f>
        <v>Winner Match 97</v>
      </c>
      <c r="F177" s="140"/>
      <c r="G177" s="372" t="s">
        <v>536</v>
      </c>
      <c r="H177" s="141"/>
      <c r="I177" s="101" t="str">
        <f>VLOOKUP(RIGHT($A177,2),Lookup14,9,FALSE)</f>
        <v>Winner Match 98</v>
      </c>
      <c r="J177" s="101" t="str">
        <f>Stadium8</f>
        <v>Dallas Stadium</v>
      </c>
      <c r="K177" s="322"/>
      <c r="L177" s="323" t="str">
        <f>IF(F177&lt;&gt;"",IF((F177+F178+F179)&gt;(H177+H178+H179),E177,IF((H177+H178+H179)&gt;(F177+F178+F179),I177,"Winner Match "&amp;D177)),"Winner Match "&amp;D177)</f>
        <v>Winner Match 101</v>
      </c>
      <c r="M177" s="324" t="str">
        <f>IF(F177&lt;&gt;"",IF((F177+F178+F179)&lt;(H177+H178+H179),E177,IF((H177+H178+H179)&lt;(F177+F178+F179),I177,"Loser Match "&amp;D177)),"Loser Match "&amp;D177)</f>
        <v>Loser Match 101</v>
      </c>
      <c r="N177" s="445" t="str">
        <f>VLOOKUP($D177,Lookup20,24,FALSE)</f>
        <v/>
      </c>
      <c r="O177" s="446" t="str">
        <f>VLOOKUP($D177,Lookup20,25,FALSE)</f>
        <v/>
      </c>
      <c r="P177" s="445" t="str">
        <f>VLOOKUP($D177,Lookup20,26,FALSE)</f>
        <v/>
      </c>
      <c r="R177" s="640"/>
      <c r="S177" s="640"/>
      <c r="T177" s="640"/>
      <c r="U177" s="640"/>
      <c r="V177" s="640"/>
      <c r="W177" s="640"/>
      <c r="X177" s="640"/>
      <c r="Y177" s="640"/>
      <c r="Z177" s="640"/>
      <c r="AA177" s="640"/>
      <c r="AB177" s="640"/>
      <c r="AC177" s="640"/>
      <c r="AD177" s="640"/>
      <c r="AE177" s="640"/>
      <c r="AF177" s="640"/>
      <c r="AG177" s="640"/>
      <c r="AH177" s="640"/>
    </row>
    <row r="178" spans="1:34" ht="14.25" customHeight="1" x14ac:dyDescent="0.2">
      <c r="A178" s="444"/>
      <c r="B178" s="325" t="s">
        <v>110</v>
      </c>
      <c r="C178" s="326"/>
      <c r="D178" s="98" t="str">
        <f>IF(E178="AET",D177&amp;"E","")</f>
        <v/>
      </c>
      <c r="E178" s="373" t="str">
        <f>IF(AND(F177=H177,F177&lt;&gt;""),"AET","")</f>
        <v/>
      </c>
      <c r="F178" s="139"/>
      <c r="G178" s="374" t="str">
        <f>IF(E178="","","-")</f>
        <v/>
      </c>
      <c r="H178" s="139"/>
      <c r="I178" s="101"/>
      <c r="J178" s="101"/>
      <c r="K178" s="322"/>
      <c r="L178" s="323"/>
      <c r="M178" s="324"/>
      <c r="N178" s="366"/>
      <c r="O178" s="366"/>
      <c r="P178" s="366"/>
      <c r="R178" s="640"/>
      <c r="S178" s="640"/>
      <c r="T178" s="640"/>
      <c r="U178" s="640"/>
      <c r="V178" s="640"/>
      <c r="W178" s="640"/>
      <c r="X178" s="640"/>
      <c r="Y178" s="640"/>
      <c r="Z178" s="640"/>
      <c r="AA178" s="640"/>
      <c r="AB178" s="640"/>
      <c r="AC178" s="640"/>
      <c r="AD178" s="640"/>
      <c r="AE178" s="640"/>
      <c r="AF178" s="640"/>
      <c r="AG178" s="640"/>
      <c r="AH178" s="640"/>
    </row>
    <row r="179" spans="1:34" ht="14.25" customHeight="1" x14ac:dyDescent="0.2">
      <c r="A179" s="444"/>
      <c r="B179" s="325" t="s">
        <v>110</v>
      </c>
      <c r="C179" s="326"/>
      <c r="D179" s="98" t="str">
        <f>IF(E179="Penalties",D177&amp;"P","")</f>
        <v/>
      </c>
      <c r="E179" s="375" t="str">
        <f>IF(AND(F178=H178,F178&lt;&gt;""),"Penalties","")</f>
        <v/>
      </c>
      <c r="F179" s="142"/>
      <c r="G179" s="374" t="str">
        <f>IF(E179="","","-")</f>
        <v/>
      </c>
      <c r="H179" s="142"/>
      <c r="I179" s="101"/>
      <c r="J179" s="101"/>
      <c r="K179" s="322"/>
      <c r="L179" s="323"/>
      <c r="M179" s="324"/>
      <c r="N179" s="366"/>
      <c r="O179" s="366"/>
      <c r="P179" s="366"/>
      <c r="R179" s="457"/>
      <c r="S179" s="457"/>
      <c r="T179" s="457"/>
      <c r="U179" s="457"/>
      <c r="V179" s="457"/>
      <c r="W179" s="457"/>
      <c r="X179" s="457"/>
      <c r="Y179" s="457"/>
      <c r="Z179" s="457"/>
      <c r="AA179" s="457"/>
      <c r="AB179" s="457"/>
      <c r="AC179" s="457"/>
      <c r="AD179" s="457"/>
      <c r="AE179" s="457"/>
      <c r="AF179" s="457"/>
      <c r="AG179" s="457"/>
      <c r="AH179" s="457"/>
    </row>
    <row r="180" spans="1:34" ht="14.25" customHeight="1" x14ac:dyDescent="0.2">
      <c r="A180" s="455" t="s">
        <v>1266</v>
      </c>
      <c r="B180" s="325">
        <v>46218</v>
      </c>
      <c r="C180" s="326">
        <v>0.83333333333333337</v>
      </c>
      <c r="D180" s="371" t="s">
        <v>1258</v>
      </c>
      <c r="E180" s="100" t="str">
        <f>VLOOKUP(LEFT($A180,2),Lookup14,9,FALSE)</f>
        <v>Winner Match 99</v>
      </c>
      <c r="F180" s="140"/>
      <c r="G180" s="372" t="s">
        <v>536</v>
      </c>
      <c r="H180" s="141"/>
      <c r="I180" s="101" t="str">
        <f>VLOOKUP(RIGHT($A180,3),Lookup14,9,FALSE)</f>
        <v>Winner Match 100</v>
      </c>
      <c r="J180" s="101" t="str">
        <f>Stadium6</f>
        <v>Atlanta Stadium</v>
      </c>
      <c r="K180" s="322"/>
      <c r="L180" s="323" t="str">
        <f>IF(F180&lt;&gt;"",IF((F180+F181+F182)&gt;(H180+H181+H182),E180,IF((H180+H181+H182)&gt;(F180+F181+F182),I180,"Winner Match "&amp;D180)),"Winner Match "&amp;D180)</f>
        <v>Winner Match 102</v>
      </c>
      <c r="M180" s="324" t="str">
        <f>IF(F180&lt;&gt;"",IF((F180+F181+F182)&lt;(H180+H181+H182),E180,IF((H180+H181+H182)&lt;(F180+F181+F182),I180,"Loser Match "&amp;D180)),"Loser Match "&amp;D180)</f>
        <v>Loser Match 102</v>
      </c>
      <c r="N180" s="445" t="str">
        <f>VLOOKUP($D180,Lookup20,24,FALSE)</f>
        <v/>
      </c>
      <c r="O180" s="446" t="str">
        <f>VLOOKUP($D180,Lookup20,25,FALSE)</f>
        <v/>
      </c>
      <c r="P180" s="445" t="str">
        <f>VLOOKUP($D180,Lookup20,26,FALSE)</f>
        <v/>
      </c>
      <c r="R180" s="641"/>
      <c r="S180" s="641"/>
      <c r="T180" s="641"/>
      <c r="U180" s="641"/>
      <c r="V180" s="641"/>
      <c r="W180" s="641"/>
      <c r="X180" s="641"/>
      <c r="Y180" s="641"/>
      <c r="Z180" s="641"/>
      <c r="AA180" s="641"/>
      <c r="AB180" s="641"/>
      <c r="AC180" s="641"/>
      <c r="AD180" s="641"/>
      <c r="AE180" s="641"/>
      <c r="AF180" s="641"/>
      <c r="AG180" s="641"/>
      <c r="AH180" s="641"/>
    </row>
    <row r="181" spans="1:34" ht="14.25" customHeight="1" x14ac:dyDescent="0.2">
      <c r="A181" s="444"/>
      <c r="B181" s="325"/>
      <c r="C181" s="326"/>
      <c r="D181" s="98" t="str">
        <f>IF(E181="AET",D180&amp;"E","")</f>
        <v/>
      </c>
      <c r="E181" s="373" t="str">
        <f>IF(AND(F180=H180,F180&lt;&gt;""),"AET","")</f>
        <v/>
      </c>
      <c r="F181" s="139"/>
      <c r="G181" s="374" t="str">
        <f>IF(E181="","","-")</f>
        <v/>
      </c>
      <c r="H181" s="139"/>
      <c r="I181" s="101"/>
      <c r="J181" s="101"/>
      <c r="K181" s="322"/>
      <c r="L181" s="323"/>
      <c r="M181" s="324"/>
      <c r="N181" s="366"/>
      <c r="O181" s="366"/>
      <c r="P181" s="366"/>
      <c r="R181" s="641"/>
      <c r="S181" s="641"/>
      <c r="T181" s="641"/>
      <c r="U181" s="641"/>
      <c r="V181" s="641"/>
      <c r="W181" s="641"/>
      <c r="X181" s="641"/>
      <c r="Y181" s="641"/>
      <c r="Z181" s="641"/>
      <c r="AA181" s="641"/>
      <c r="AB181" s="641"/>
      <c r="AC181" s="641"/>
      <c r="AD181" s="641"/>
      <c r="AE181" s="641"/>
      <c r="AF181" s="641"/>
      <c r="AG181" s="641"/>
      <c r="AH181" s="641"/>
    </row>
    <row r="182" spans="1:34" ht="14.25" customHeight="1" x14ac:dyDescent="0.2">
      <c r="A182" s="444"/>
      <c r="D182" s="98" t="str">
        <f>IF(E182="Penalties",D180&amp;"P","")</f>
        <v/>
      </c>
      <c r="E182" s="375" t="str">
        <f>IF(AND(F181=H181,F181&lt;&gt;""),"Penalties","")</f>
        <v/>
      </c>
      <c r="F182" s="103"/>
      <c r="G182" s="374" t="str">
        <f>IF(E182="","","-")</f>
        <v/>
      </c>
      <c r="H182" s="103"/>
      <c r="I182" s="101"/>
      <c r="K182" s="322"/>
      <c r="L182" s="323"/>
      <c r="M182" s="324"/>
      <c r="N182" s="366"/>
      <c r="O182" s="366"/>
      <c r="P182" s="366"/>
      <c r="R182" s="641"/>
      <c r="S182" s="641"/>
      <c r="T182" s="641"/>
      <c r="U182" s="641"/>
      <c r="V182" s="641"/>
      <c r="W182" s="641"/>
      <c r="X182" s="641"/>
      <c r="Y182" s="641"/>
      <c r="Z182" s="641"/>
      <c r="AA182" s="641"/>
      <c r="AB182" s="641"/>
      <c r="AC182" s="641"/>
      <c r="AD182" s="641"/>
      <c r="AE182" s="641"/>
      <c r="AF182" s="641"/>
      <c r="AG182" s="641"/>
      <c r="AH182" s="641"/>
    </row>
    <row r="183" spans="1:34" ht="14.25" customHeight="1" x14ac:dyDescent="0.2">
      <c r="A183" s="444"/>
      <c r="B183" s="312"/>
      <c r="C183" s="312"/>
      <c r="D183" s="313"/>
      <c r="E183" s="666" t="s">
        <v>388</v>
      </c>
      <c r="F183" s="666"/>
      <c r="G183" s="666"/>
      <c r="H183" s="666"/>
      <c r="I183" s="666"/>
      <c r="J183" s="312"/>
      <c r="K183" s="367"/>
      <c r="L183" s="323"/>
      <c r="M183" s="324"/>
      <c r="N183" s="667" t="s">
        <v>386</v>
      </c>
      <c r="O183" s="667"/>
      <c r="P183" s="667"/>
      <c r="R183" s="641"/>
      <c r="S183" s="641"/>
      <c r="T183" s="641"/>
      <c r="U183" s="641"/>
      <c r="V183" s="641"/>
      <c r="W183" s="641"/>
      <c r="X183" s="641"/>
      <c r="Y183" s="641"/>
      <c r="Z183" s="641"/>
      <c r="AA183" s="641"/>
      <c r="AB183" s="641"/>
      <c r="AC183" s="641"/>
      <c r="AD183" s="641"/>
      <c r="AE183" s="641"/>
      <c r="AF183" s="641"/>
      <c r="AG183" s="641"/>
      <c r="AH183" s="641"/>
    </row>
    <row r="184" spans="1:34" ht="14.25" customHeight="1" x14ac:dyDescent="0.2">
      <c r="A184" s="444"/>
      <c r="B184" s="404" t="s">
        <v>111</v>
      </c>
      <c r="C184" s="315" t="s">
        <v>319</v>
      </c>
      <c r="D184" s="316" t="s">
        <v>618</v>
      </c>
      <c r="E184" s="405"/>
      <c r="F184" s="402" t="s">
        <v>337</v>
      </c>
      <c r="G184" s="405"/>
      <c r="H184" s="405"/>
      <c r="I184" s="405"/>
      <c r="J184" s="406" t="s">
        <v>321</v>
      </c>
      <c r="K184" s="369"/>
      <c r="L184" s="323"/>
      <c r="M184" s="324"/>
      <c r="N184" s="370" t="s">
        <v>1</v>
      </c>
      <c r="O184" s="370" t="s">
        <v>25</v>
      </c>
      <c r="P184" s="370" t="s">
        <v>0</v>
      </c>
      <c r="R184" s="641"/>
      <c r="S184" s="641"/>
      <c r="T184" s="641"/>
      <c r="U184" s="641"/>
      <c r="V184" s="641"/>
      <c r="W184" s="641"/>
      <c r="X184" s="641"/>
      <c r="Y184" s="641"/>
      <c r="Z184" s="641"/>
      <c r="AA184" s="641"/>
      <c r="AB184" s="641"/>
      <c r="AC184" s="641"/>
      <c r="AD184" s="641"/>
      <c r="AE184" s="641"/>
      <c r="AF184" s="641"/>
      <c r="AG184" s="641"/>
      <c r="AH184" s="641"/>
    </row>
    <row r="185" spans="1:34" ht="14.25" customHeight="1" x14ac:dyDescent="0.2">
      <c r="A185" s="444"/>
      <c r="F185" s="98"/>
      <c r="G185" s="98"/>
      <c r="H185" s="98"/>
      <c r="J185" s="101"/>
      <c r="K185" s="322"/>
      <c r="L185" s="323"/>
      <c r="M185" s="324"/>
      <c r="N185" s="366"/>
      <c r="O185" s="366"/>
      <c r="P185" s="366"/>
      <c r="R185" s="641"/>
      <c r="S185" s="641"/>
      <c r="T185" s="641"/>
      <c r="U185" s="641"/>
      <c r="V185" s="641"/>
      <c r="W185" s="641"/>
      <c r="X185" s="641"/>
      <c r="Y185" s="641"/>
      <c r="Z185" s="641"/>
      <c r="AA185" s="641"/>
      <c r="AB185" s="641"/>
      <c r="AC185" s="641"/>
      <c r="AD185" s="641"/>
      <c r="AE185" s="641"/>
      <c r="AF185" s="641"/>
      <c r="AG185" s="641"/>
      <c r="AH185" s="641"/>
    </row>
    <row r="186" spans="1:34" ht="14.25" customHeight="1" x14ac:dyDescent="0.2">
      <c r="A186" s="444">
        <v>103</v>
      </c>
      <c r="B186" s="325">
        <v>44912.625</v>
      </c>
      <c r="C186" s="326">
        <f>B186</f>
        <v>44912.625</v>
      </c>
      <c r="D186" s="371" t="s">
        <v>1259</v>
      </c>
      <c r="E186" s="100" t="str">
        <f>M177</f>
        <v>Loser Match 101</v>
      </c>
      <c r="F186" s="140"/>
      <c r="G186" s="372" t="s">
        <v>536</v>
      </c>
      <c r="H186" s="141"/>
      <c r="I186" s="101" t="str">
        <f>M180</f>
        <v>Loser Match 102</v>
      </c>
      <c r="J186" s="101" t="str">
        <f>Stadium12</f>
        <v>Miami Stadium</v>
      </c>
      <c r="K186" s="322"/>
      <c r="L186" s="323" t="str">
        <f>IF(F186&lt;&gt;"",IF((F186+F187+F188)&gt;(H186+H187+H188),E186,IF((H186+H187+H188)&gt;(F186+F187+F188),I186,"3rd Place")),"3rd Place")</f>
        <v>3rd Place</v>
      </c>
      <c r="M186" s="324" t="str">
        <f>IF(F186&lt;&gt;"",IF((F186+F187+F188)&lt;(H186+H187+H188),E186,IF((H186+H187+H188)&lt;(F186+F187+F188),I186,"4th Place")),"4th Place")</f>
        <v>4th Place</v>
      </c>
      <c r="N186" s="445" t="str">
        <f>VLOOKUP($D186,Lookup20,24,FALSE)</f>
        <v/>
      </c>
      <c r="O186" s="446" t="str">
        <f>VLOOKUP($D186,Lookup20,25,FALSE)</f>
        <v/>
      </c>
      <c r="P186" s="445" t="str">
        <f>VLOOKUP($D186,Lookup20,26,FALSE)</f>
        <v/>
      </c>
      <c r="R186" s="641"/>
      <c r="S186" s="641"/>
      <c r="T186" s="641"/>
      <c r="U186" s="641"/>
      <c r="V186" s="641"/>
      <c r="W186" s="641"/>
      <c r="X186" s="641"/>
      <c r="Y186" s="641"/>
      <c r="Z186" s="641"/>
      <c r="AA186" s="641"/>
      <c r="AB186" s="641"/>
      <c r="AC186" s="641"/>
      <c r="AD186" s="641"/>
      <c r="AE186" s="641"/>
      <c r="AF186" s="641"/>
      <c r="AG186" s="641"/>
      <c r="AH186" s="641"/>
    </row>
    <row r="187" spans="1:34" ht="14.25" customHeight="1" x14ac:dyDescent="0.2">
      <c r="A187" s="444"/>
      <c r="B187" s="325"/>
      <c r="C187" s="326"/>
      <c r="D187" s="98" t="str">
        <f>IF(E187="AET",D186&amp;"E","")</f>
        <v/>
      </c>
      <c r="E187" s="373" t="str">
        <f>IF(AND(F186=H186,F186&lt;&gt;""),"AET","")</f>
        <v/>
      </c>
      <c r="F187" s="139"/>
      <c r="G187" s="374" t="str">
        <f>IF(E187="","","-")</f>
        <v/>
      </c>
      <c r="H187" s="139"/>
      <c r="I187" s="101"/>
      <c r="J187" s="101"/>
      <c r="K187" s="322"/>
      <c r="L187" s="323"/>
      <c r="M187" s="324"/>
      <c r="N187" s="366"/>
      <c r="O187" s="366"/>
      <c r="P187" s="366"/>
      <c r="R187" s="641"/>
      <c r="S187" s="641"/>
      <c r="T187" s="641"/>
      <c r="U187" s="641"/>
      <c r="V187" s="641"/>
      <c r="W187" s="641"/>
      <c r="X187" s="641"/>
      <c r="Y187" s="641"/>
      <c r="Z187" s="641"/>
      <c r="AA187" s="641"/>
      <c r="AB187" s="641"/>
      <c r="AC187" s="641"/>
      <c r="AD187" s="641"/>
      <c r="AE187" s="641"/>
      <c r="AF187" s="641"/>
      <c r="AG187" s="641"/>
      <c r="AH187" s="641"/>
    </row>
    <row r="188" spans="1:34" ht="14.25" customHeight="1" x14ac:dyDescent="0.2">
      <c r="A188" s="444"/>
      <c r="B188" s="408"/>
      <c r="C188" s="326"/>
      <c r="D188" s="98" t="str">
        <f>IF(E188="Penalties",D186&amp;"P","")</f>
        <v/>
      </c>
      <c r="E188" s="375" t="str">
        <f>IF(AND(F187=H187,F187&lt;&gt;""),"Penalties","")</f>
        <v/>
      </c>
      <c r="F188" s="142"/>
      <c r="G188" s="374" t="str">
        <f>IF(E188="","","-")</f>
        <v/>
      </c>
      <c r="H188" s="142"/>
      <c r="I188" s="101"/>
      <c r="J188" s="101"/>
      <c r="K188" s="322"/>
      <c r="L188" s="323"/>
      <c r="M188" s="324"/>
      <c r="N188" s="366"/>
      <c r="O188" s="366"/>
      <c r="P188" s="366"/>
      <c r="R188" s="641"/>
      <c r="S188" s="641"/>
      <c r="T188" s="641"/>
      <c r="U188" s="641"/>
      <c r="V188" s="641"/>
      <c r="W188" s="641"/>
      <c r="X188" s="641"/>
      <c r="Y188" s="641"/>
      <c r="Z188" s="641"/>
      <c r="AA188" s="641"/>
      <c r="AB188" s="641"/>
      <c r="AC188" s="641"/>
      <c r="AD188" s="641"/>
      <c r="AE188" s="641"/>
      <c r="AF188" s="641"/>
      <c r="AG188" s="641"/>
      <c r="AH188" s="641"/>
    </row>
    <row r="189" spans="1:34" ht="14.25" customHeight="1" x14ac:dyDescent="0.2">
      <c r="A189" s="444"/>
      <c r="B189" s="663" t="s">
        <v>332</v>
      </c>
      <c r="C189" s="651"/>
      <c r="I189" s="664" t="s">
        <v>333</v>
      </c>
      <c r="K189" s="322"/>
      <c r="L189" s="323"/>
      <c r="M189" s="324"/>
      <c r="N189" s="366"/>
      <c r="O189" s="366"/>
      <c r="P189" s="366"/>
      <c r="R189" s="641"/>
      <c r="S189" s="641"/>
      <c r="T189" s="641"/>
      <c r="U189" s="641"/>
      <c r="V189" s="641"/>
      <c r="W189" s="641"/>
      <c r="X189" s="641"/>
      <c r="Y189" s="641"/>
      <c r="Z189" s="641"/>
      <c r="AA189" s="641"/>
      <c r="AB189" s="641"/>
      <c r="AC189" s="641"/>
      <c r="AD189" s="641"/>
      <c r="AE189" s="641"/>
      <c r="AF189" s="641"/>
      <c r="AG189" s="641"/>
      <c r="AH189" s="641"/>
    </row>
    <row r="190" spans="1:34" ht="14.25" customHeight="1" x14ac:dyDescent="0.25">
      <c r="A190" s="444"/>
      <c r="B190" s="651"/>
      <c r="C190" s="651"/>
      <c r="D190" s="411"/>
      <c r="E190" s="412" t="str">
        <f>L186</f>
        <v>3rd Place</v>
      </c>
      <c r="I190" s="665"/>
      <c r="J190" s="413" t="str">
        <f>M186</f>
        <v>4th Place</v>
      </c>
      <c r="K190" s="322"/>
      <c r="L190" s="323"/>
      <c r="M190" s="324"/>
      <c r="N190" s="366"/>
      <c r="O190" s="366"/>
      <c r="P190" s="366"/>
      <c r="R190" s="641"/>
      <c r="S190" s="641"/>
      <c r="T190" s="641"/>
      <c r="U190" s="641"/>
      <c r="V190" s="641"/>
      <c r="W190" s="641"/>
      <c r="X190" s="641"/>
      <c r="Y190" s="641"/>
      <c r="Z190" s="641"/>
      <c r="AA190" s="641"/>
      <c r="AB190" s="641"/>
      <c r="AC190" s="641"/>
      <c r="AD190" s="641"/>
      <c r="AE190" s="641"/>
      <c r="AF190" s="641"/>
      <c r="AG190" s="641"/>
      <c r="AH190" s="641"/>
    </row>
    <row r="191" spans="1:34" ht="14.25" customHeight="1" x14ac:dyDescent="0.2">
      <c r="A191" s="444"/>
      <c r="K191" s="322"/>
      <c r="L191" s="323"/>
      <c r="M191" s="324"/>
      <c r="N191" s="366"/>
      <c r="O191" s="366"/>
      <c r="P191" s="366"/>
      <c r="R191" s="641"/>
      <c r="S191" s="641"/>
      <c r="T191" s="641"/>
      <c r="U191" s="641"/>
      <c r="V191" s="641"/>
      <c r="W191" s="641"/>
      <c r="X191" s="641"/>
      <c r="Y191" s="641"/>
      <c r="Z191" s="641"/>
      <c r="AA191" s="641"/>
      <c r="AB191" s="641"/>
      <c r="AC191" s="641"/>
      <c r="AD191" s="641"/>
      <c r="AE191" s="641"/>
      <c r="AF191" s="641"/>
      <c r="AG191" s="641"/>
      <c r="AH191" s="641"/>
    </row>
    <row r="192" spans="1:34" ht="14.25" customHeight="1" x14ac:dyDescent="0.2">
      <c r="A192" s="444"/>
      <c r="B192" s="312"/>
      <c r="C192" s="312"/>
      <c r="D192" s="313"/>
      <c r="E192" s="666" t="s">
        <v>334</v>
      </c>
      <c r="F192" s="666"/>
      <c r="G192" s="666"/>
      <c r="H192" s="666"/>
      <c r="I192" s="666"/>
      <c r="J192" s="312"/>
      <c r="K192" s="367"/>
      <c r="L192" s="323"/>
      <c r="M192" s="324"/>
      <c r="N192" s="667" t="s">
        <v>386</v>
      </c>
      <c r="O192" s="667"/>
      <c r="P192" s="667"/>
      <c r="R192" s="641"/>
      <c r="S192" s="641"/>
      <c r="T192" s="641"/>
      <c r="U192" s="641"/>
      <c r="V192" s="641"/>
      <c r="W192" s="641"/>
      <c r="X192" s="641"/>
      <c r="Y192" s="641"/>
      <c r="Z192" s="641"/>
      <c r="AA192" s="641"/>
      <c r="AB192" s="641"/>
      <c r="AC192" s="641"/>
      <c r="AD192" s="641"/>
      <c r="AE192" s="641"/>
      <c r="AF192" s="641"/>
      <c r="AG192" s="641"/>
      <c r="AH192" s="641"/>
    </row>
    <row r="193" spans="1:34" ht="14.25" customHeight="1" x14ac:dyDescent="0.2">
      <c r="A193" s="444"/>
      <c r="B193" s="400" t="s">
        <v>111</v>
      </c>
      <c r="C193" s="315" t="s">
        <v>319</v>
      </c>
      <c r="D193" s="316" t="s">
        <v>618</v>
      </c>
      <c r="E193" s="401"/>
      <c r="F193" s="402" t="s">
        <v>337</v>
      </c>
      <c r="G193" s="401"/>
      <c r="H193" s="401"/>
      <c r="I193" s="401"/>
      <c r="J193" s="403" t="s">
        <v>321</v>
      </c>
      <c r="K193" s="369"/>
      <c r="L193" s="323"/>
      <c r="M193" s="324"/>
      <c r="N193" s="370" t="s">
        <v>1</v>
      </c>
      <c r="O193" s="370" t="s">
        <v>25</v>
      </c>
      <c r="P193" s="370" t="s">
        <v>0</v>
      </c>
      <c r="R193" s="641"/>
      <c r="S193" s="641"/>
      <c r="T193" s="641"/>
      <c r="U193" s="641"/>
      <c r="V193" s="641"/>
      <c r="W193" s="641"/>
      <c r="X193" s="641"/>
      <c r="Y193" s="641"/>
      <c r="Z193" s="641"/>
      <c r="AA193" s="641"/>
      <c r="AB193" s="641"/>
      <c r="AC193" s="641"/>
      <c r="AD193" s="641"/>
      <c r="AE193" s="641"/>
      <c r="AF193" s="641"/>
      <c r="AG193" s="641"/>
      <c r="AH193" s="641"/>
    </row>
    <row r="194" spans="1:34" ht="14.25" customHeight="1" x14ac:dyDescent="0.2">
      <c r="A194" s="444"/>
      <c r="F194" s="98"/>
      <c r="G194" s="98"/>
      <c r="H194" s="98"/>
      <c r="J194" s="101"/>
      <c r="K194" s="322"/>
      <c r="L194" s="323"/>
      <c r="M194" s="324"/>
      <c r="N194" s="366"/>
      <c r="O194" s="366"/>
      <c r="P194" s="366"/>
      <c r="R194" s="641"/>
      <c r="S194" s="641"/>
      <c r="T194" s="641"/>
      <c r="U194" s="641"/>
      <c r="V194" s="641"/>
      <c r="W194" s="641"/>
      <c r="X194" s="641"/>
      <c r="Y194" s="641"/>
      <c r="Z194" s="641"/>
      <c r="AA194" s="641"/>
      <c r="AB194" s="641"/>
      <c r="AC194" s="641"/>
      <c r="AD194" s="641"/>
      <c r="AE194" s="641"/>
      <c r="AF194" s="641"/>
      <c r="AG194" s="641"/>
      <c r="AH194" s="641"/>
    </row>
    <row r="195" spans="1:34" ht="14.25" customHeight="1" x14ac:dyDescent="0.2">
      <c r="A195" s="455" t="s">
        <v>1270</v>
      </c>
      <c r="B195" s="325">
        <v>44913.625</v>
      </c>
      <c r="C195" s="326">
        <f>B195</f>
        <v>44913.625</v>
      </c>
      <c r="D195" s="371" t="s">
        <v>1260</v>
      </c>
      <c r="E195" s="100" t="str">
        <f>L177</f>
        <v>Winner Match 101</v>
      </c>
      <c r="F195" s="140"/>
      <c r="G195" s="372" t="s">
        <v>536</v>
      </c>
      <c r="H195" s="141"/>
      <c r="I195" s="101" t="str">
        <f>L180</f>
        <v>Winner Match 102</v>
      </c>
      <c r="J195" s="101" t="str">
        <f>Stadium13</f>
        <v>MetLife Stadium</v>
      </c>
      <c r="K195" s="322"/>
      <c r="L195" s="323" t="str">
        <f>IF(F195&lt;&gt;"",IF((F195+F196+F197)&gt;(H195+H196+H197),E195,IF((H195+H196+H197)&gt;(F195+F196+F197),I195,"1st Place")),"1st Place")</f>
        <v>1st Place</v>
      </c>
      <c r="M195" s="324" t="str">
        <f>IF(F195&lt;&gt;"",IF((F195+F196+F197)&lt;(H195+H196+H197),E195,IF((H195+H196+H197)&lt;(F195+F196+F197),I195,"2nd Place")),"2nd Place")</f>
        <v>2nd Place</v>
      </c>
      <c r="N195" s="445" t="str">
        <f>VLOOKUP($D195,Lookup20,24,FALSE)</f>
        <v/>
      </c>
      <c r="O195" s="446" t="str">
        <f>VLOOKUP($D195,Lookup20,25,FALSE)</f>
        <v/>
      </c>
      <c r="P195" s="445" t="str">
        <f>VLOOKUP($D195,Lookup20,26,FALSE)</f>
        <v/>
      </c>
      <c r="R195" s="641"/>
      <c r="S195" s="641"/>
      <c r="T195" s="641"/>
      <c r="U195" s="641"/>
      <c r="V195" s="641"/>
      <c r="W195" s="641"/>
      <c r="X195" s="641"/>
      <c r="Y195" s="641"/>
      <c r="Z195" s="641"/>
      <c r="AA195" s="641"/>
      <c r="AB195" s="641"/>
      <c r="AC195" s="641"/>
      <c r="AD195" s="641"/>
      <c r="AE195" s="641"/>
      <c r="AF195" s="641"/>
      <c r="AG195" s="641"/>
      <c r="AH195" s="641"/>
    </row>
    <row r="196" spans="1:34" ht="14.25" customHeight="1" x14ac:dyDescent="0.2">
      <c r="A196" s="444"/>
      <c r="B196" s="325"/>
      <c r="C196" s="326"/>
      <c r="D196" s="98" t="str">
        <f>IF(E196="AET",D195&amp;"E","")</f>
        <v/>
      </c>
      <c r="E196" s="373" t="str">
        <f>IF(AND(F195=H195,F195&lt;&gt;""),"AET","")</f>
        <v/>
      </c>
      <c r="F196" s="139"/>
      <c r="G196" s="374" t="str">
        <f>IF(E196="","","-")</f>
        <v/>
      </c>
      <c r="H196" s="139"/>
      <c r="I196" s="101"/>
      <c r="J196" s="101"/>
      <c r="K196" s="322"/>
      <c r="L196" s="323"/>
      <c r="M196" s="324"/>
      <c r="N196" s="366"/>
      <c r="O196" s="366"/>
      <c r="P196" s="366"/>
      <c r="R196" s="641"/>
      <c r="S196" s="641"/>
      <c r="T196" s="641"/>
      <c r="U196" s="641"/>
      <c r="V196" s="641"/>
      <c r="W196" s="641"/>
      <c r="X196" s="641"/>
      <c r="Y196" s="641"/>
      <c r="Z196" s="641"/>
      <c r="AA196" s="641"/>
      <c r="AB196" s="641"/>
      <c r="AC196" s="641"/>
      <c r="AD196" s="641"/>
      <c r="AE196" s="641"/>
      <c r="AF196" s="641"/>
      <c r="AG196" s="641"/>
      <c r="AH196" s="641"/>
    </row>
    <row r="197" spans="1:34" ht="14.25" customHeight="1" x14ac:dyDescent="0.2">
      <c r="A197" s="444"/>
      <c r="B197" s="408"/>
      <c r="C197" s="326"/>
      <c r="D197" s="98" t="str">
        <f>IF(E197="Penalties",D195&amp;"P","")</f>
        <v/>
      </c>
      <c r="E197" s="375" t="str">
        <f>IF(AND(F196=H196,F196&lt;&gt;""),"Penalties","")</f>
        <v/>
      </c>
      <c r="F197" s="142"/>
      <c r="G197" s="374" t="str">
        <f>IF(E197="","","-")</f>
        <v/>
      </c>
      <c r="H197" s="142"/>
      <c r="I197" s="101"/>
      <c r="J197" s="101"/>
      <c r="K197" s="322"/>
      <c r="L197" s="323"/>
      <c r="M197" s="324"/>
      <c r="N197" s="366"/>
      <c r="O197" s="366"/>
      <c r="P197" s="366"/>
      <c r="R197" s="641"/>
      <c r="S197" s="641"/>
      <c r="T197" s="641"/>
      <c r="U197" s="641"/>
      <c r="V197" s="641"/>
      <c r="W197" s="641"/>
      <c r="X197" s="641"/>
      <c r="Y197" s="641"/>
      <c r="Z197" s="641"/>
      <c r="AA197" s="641"/>
      <c r="AB197" s="641"/>
      <c r="AC197" s="641"/>
      <c r="AD197" s="641"/>
      <c r="AE197" s="641"/>
      <c r="AF197" s="641"/>
      <c r="AG197" s="641"/>
      <c r="AH197" s="641"/>
    </row>
    <row r="198" spans="1:34" ht="14.25" customHeight="1" x14ac:dyDescent="0.2">
      <c r="A198" s="444"/>
      <c r="C198" s="97" t="s">
        <v>327</v>
      </c>
      <c r="I198" s="101"/>
      <c r="K198" s="322"/>
      <c r="L198" s="323"/>
      <c r="M198" s="324"/>
      <c r="N198" s="366"/>
      <c r="O198" s="366"/>
      <c r="P198" s="366"/>
      <c r="R198" s="641"/>
      <c r="S198" s="641"/>
      <c r="T198" s="641"/>
      <c r="U198" s="641"/>
      <c r="V198" s="641"/>
      <c r="W198" s="641"/>
      <c r="X198" s="641"/>
      <c r="Y198" s="641"/>
      <c r="Z198" s="641"/>
      <c r="AA198" s="641"/>
      <c r="AB198" s="641"/>
      <c r="AC198" s="641"/>
      <c r="AD198" s="641"/>
      <c r="AE198" s="641"/>
      <c r="AF198" s="641"/>
      <c r="AG198" s="641"/>
      <c r="AH198" s="641"/>
    </row>
    <row r="199" spans="1:34" ht="14.25" customHeight="1" x14ac:dyDescent="0.25">
      <c r="A199" s="444"/>
      <c r="B199" s="414"/>
      <c r="C199" s="409" t="s">
        <v>335</v>
      </c>
      <c r="D199" s="411"/>
      <c r="E199" s="412" t="str">
        <f>L195</f>
        <v>1st Place</v>
      </c>
      <c r="I199" s="410" t="s">
        <v>336</v>
      </c>
      <c r="J199" s="413" t="str">
        <f>M195</f>
        <v>2nd Place</v>
      </c>
      <c r="K199" s="322"/>
      <c r="L199" s="323"/>
      <c r="M199" s="324"/>
      <c r="N199" s="366"/>
      <c r="O199" s="366"/>
      <c r="P199" s="366"/>
      <c r="R199" s="641"/>
      <c r="S199" s="641"/>
      <c r="T199" s="641"/>
      <c r="U199" s="641"/>
      <c r="V199" s="641"/>
      <c r="W199" s="641"/>
      <c r="X199" s="641"/>
      <c r="Y199" s="641"/>
      <c r="Z199" s="641"/>
      <c r="AA199" s="641"/>
      <c r="AB199" s="641"/>
      <c r="AC199" s="641"/>
      <c r="AD199" s="641"/>
      <c r="AE199" s="641"/>
      <c r="AF199" s="641"/>
      <c r="AG199" s="641"/>
      <c r="AH199" s="641"/>
    </row>
    <row r="200" spans="1:34" ht="14.25" customHeight="1" x14ac:dyDescent="0.2">
      <c r="A200" s="444"/>
      <c r="K200" s="322"/>
      <c r="L200" s="323"/>
      <c r="M200" s="324"/>
      <c r="N200" s="366"/>
      <c r="O200" s="366"/>
      <c r="P200" s="366"/>
      <c r="R200" s="641"/>
      <c r="S200" s="641"/>
      <c r="T200" s="641"/>
      <c r="U200" s="641"/>
      <c r="V200" s="641"/>
      <c r="W200" s="641"/>
      <c r="X200" s="641"/>
      <c r="Y200" s="641"/>
      <c r="Z200" s="641"/>
      <c r="AA200" s="641"/>
      <c r="AB200" s="641"/>
      <c r="AC200" s="641"/>
      <c r="AD200" s="641"/>
      <c r="AE200" s="641"/>
      <c r="AF200" s="641"/>
      <c r="AG200" s="641"/>
      <c r="AH200" s="641"/>
    </row>
    <row r="201" spans="1:34" ht="14.25" customHeight="1" x14ac:dyDescent="0.2">
      <c r="A201" s="444"/>
      <c r="B201" s="415"/>
      <c r="C201" s="416"/>
      <c r="D201" s="417"/>
      <c r="E201" s="416"/>
      <c r="F201" s="416"/>
      <c r="G201" s="416"/>
      <c r="H201" s="416"/>
      <c r="I201" s="416"/>
      <c r="J201" s="416"/>
      <c r="K201" s="416"/>
      <c r="L201" s="416"/>
      <c r="M201" s="416"/>
      <c r="N201" s="416"/>
      <c r="O201" s="416"/>
      <c r="P201" s="416"/>
      <c r="Q201" s="416"/>
      <c r="R201" s="416"/>
      <c r="S201" s="416"/>
      <c r="T201" s="416"/>
      <c r="U201" s="416"/>
      <c r="V201" s="416"/>
      <c r="W201" s="416"/>
      <c r="X201" s="416"/>
      <c r="Y201" s="416"/>
      <c r="Z201" s="416"/>
      <c r="AA201" s="416"/>
      <c r="AB201" s="416"/>
      <c r="AC201" s="416"/>
      <c r="AD201" s="416"/>
      <c r="AE201" s="416"/>
      <c r="AF201" s="580" t="s">
        <v>1372</v>
      </c>
      <c r="AG201" s="416"/>
      <c r="AH201" s="418"/>
    </row>
    <row r="202" spans="1:34" x14ac:dyDescent="0.2">
      <c r="R202" s="458"/>
      <c r="S202" s="458"/>
      <c r="T202" s="459"/>
      <c r="U202" s="459"/>
      <c r="V202" s="459"/>
      <c r="W202" s="459"/>
      <c r="X202" s="459"/>
      <c r="Y202" s="459"/>
      <c r="Z202" s="459"/>
      <c r="AA202" s="460"/>
    </row>
    <row r="203" spans="1:34" x14ac:dyDescent="0.2">
      <c r="R203" s="458"/>
      <c r="S203" s="458"/>
      <c r="T203" s="459"/>
      <c r="U203" s="459"/>
      <c r="V203" s="459"/>
      <c r="W203" s="459"/>
      <c r="X203" s="459"/>
      <c r="Y203" s="459"/>
      <c r="Z203" s="459"/>
      <c r="AA203" s="460"/>
    </row>
    <row r="204" spans="1:34" x14ac:dyDescent="0.2">
      <c r="R204" s="458"/>
      <c r="S204" s="458"/>
      <c r="T204" s="459"/>
      <c r="U204" s="459"/>
      <c r="V204" s="459"/>
      <c r="W204" s="459"/>
      <c r="X204" s="459"/>
      <c r="Y204" s="459"/>
      <c r="Z204" s="459"/>
      <c r="AA204" s="460"/>
    </row>
    <row r="205" spans="1:34" x14ac:dyDescent="0.2">
      <c r="R205" s="458"/>
      <c r="S205" s="458"/>
      <c r="T205" s="459"/>
      <c r="U205" s="459"/>
      <c r="V205" s="459"/>
      <c r="W205" s="459"/>
      <c r="X205" s="459"/>
      <c r="Y205" s="459"/>
      <c r="Z205" s="459"/>
      <c r="AA205" s="460"/>
    </row>
    <row r="206" spans="1:34" x14ac:dyDescent="0.2">
      <c r="R206" s="458"/>
      <c r="S206" s="458"/>
      <c r="T206" s="459"/>
      <c r="U206" s="459"/>
      <c r="V206" s="459"/>
      <c r="W206" s="459"/>
      <c r="X206" s="459"/>
      <c r="Y206" s="459"/>
      <c r="Z206" s="459"/>
      <c r="AA206" s="460"/>
    </row>
    <row r="207" spans="1:34" x14ac:dyDescent="0.2">
      <c r="R207" s="458"/>
      <c r="S207" s="458"/>
      <c r="T207" s="459"/>
      <c r="U207" s="459"/>
      <c r="V207" s="459"/>
      <c r="W207" s="459"/>
      <c r="X207" s="459"/>
      <c r="Y207" s="459"/>
      <c r="Z207" s="459"/>
      <c r="AA207" s="460"/>
    </row>
  </sheetData>
  <sheetProtection sheet="1" selectLockedCells="1"/>
  <mergeCells count="37">
    <mergeCell ref="E5:I5"/>
    <mergeCell ref="N5:P5"/>
    <mergeCell ref="F6:H6"/>
    <mergeCell ref="K5:M5"/>
    <mergeCell ref="C2:AE2"/>
    <mergeCell ref="AC5:AH6"/>
    <mergeCell ref="R5:AA6"/>
    <mergeCell ref="E192:I192"/>
    <mergeCell ref="E81:I81"/>
    <mergeCell ref="N81:P81"/>
    <mergeCell ref="N192:P192"/>
    <mergeCell ref="N159:P159"/>
    <mergeCell ref="N132:P132"/>
    <mergeCell ref="N174:P174"/>
    <mergeCell ref="N183:P183"/>
    <mergeCell ref="B189:C190"/>
    <mergeCell ref="I189:I190"/>
    <mergeCell ref="E174:I174"/>
    <mergeCell ref="E132:I132"/>
    <mergeCell ref="E159:I159"/>
    <mergeCell ref="E183:I183"/>
    <mergeCell ref="R148:AH149"/>
    <mergeCell ref="S92:AF92"/>
    <mergeCell ref="R151:AH178"/>
    <mergeCell ref="R180:AH200"/>
    <mergeCell ref="R132:AH133"/>
    <mergeCell ref="R146:AH147"/>
    <mergeCell ref="R144:AH145"/>
    <mergeCell ref="R124:AH129"/>
    <mergeCell ref="R106:AH106"/>
    <mergeCell ref="R108:AH110"/>
    <mergeCell ref="R117:AH120"/>
    <mergeCell ref="R107:AH107"/>
    <mergeCell ref="R111:AH111"/>
    <mergeCell ref="R112:AH112"/>
    <mergeCell ref="R134:AH137"/>
    <mergeCell ref="R139:AH140"/>
  </mergeCells>
  <conditionalFormatting sqref="E190">
    <cfRule type="cellIs" dxfId="372" priority="54" operator="equal">
      <formula>"3rd Place"</formula>
    </cfRule>
  </conditionalFormatting>
  <conditionalFormatting sqref="E199">
    <cfRule type="cellIs" dxfId="371" priority="52" operator="equal">
      <formula>"1st Place"</formula>
    </cfRule>
  </conditionalFormatting>
  <conditionalFormatting sqref="J190">
    <cfRule type="cellIs" dxfId="370" priority="53" operator="equal">
      <formula>"4th Place"</formula>
    </cfRule>
  </conditionalFormatting>
  <conditionalFormatting sqref="J199">
    <cfRule type="cellIs" dxfId="369" priority="51" operator="equal">
      <formula>"2nd Place"</formula>
    </cfRule>
  </conditionalFormatting>
  <conditionalFormatting sqref="AC9:AH9 AC11:AH11">
    <cfRule type="expression" dxfId="368" priority="47" stopIfTrue="1">
      <formula>#REF!="Black and White"</formula>
    </cfRule>
  </conditionalFormatting>
  <conditionalFormatting sqref="AC10:AH10">
    <cfRule type="expression" dxfId="367" priority="50" stopIfTrue="1">
      <formula>#REF!="Black and White"</formula>
    </cfRule>
  </conditionalFormatting>
  <conditionalFormatting sqref="AC12:AH12">
    <cfRule type="expression" dxfId="366" priority="48" stopIfTrue="1">
      <formula>#REF!="Black and White"</formula>
    </cfRule>
  </conditionalFormatting>
  <conditionalFormatting sqref="AC13:AH13">
    <cfRule type="expression" dxfId="365" priority="49" stopIfTrue="1">
      <formula>#REF!="Black and White"</formula>
    </cfRule>
  </conditionalFormatting>
  <conditionalFormatting sqref="AC16:AH16">
    <cfRule type="expression" dxfId="364" priority="42" stopIfTrue="1">
      <formula>#REF!="Black and White"</formula>
    </cfRule>
  </conditionalFormatting>
  <conditionalFormatting sqref="AC17:AH17">
    <cfRule type="expression" dxfId="363" priority="46" stopIfTrue="1">
      <formula>#REF!="Black and White"</formula>
    </cfRule>
  </conditionalFormatting>
  <conditionalFormatting sqref="AC18:AH18">
    <cfRule type="expression" dxfId="362" priority="43" stopIfTrue="1">
      <formula>#REF!="Black and White"</formula>
    </cfRule>
  </conditionalFormatting>
  <conditionalFormatting sqref="AC19:AH19">
    <cfRule type="expression" dxfId="361" priority="44" stopIfTrue="1">
      <formula>#REF!="Black and White"</formula>
    </cfRule>
  </conditionalFormatting>
  <conditionalFormatting sqref="AC20:AH20">
    <cfRule type="expression" dxfId="360" priority="45" stopIfTrue="1">
      <formula>#REF!="Black and White"</formula>
    </cfRule>
  </conditionalFormatting>
  <conditionalFormatting sqref="AC23:AH23 AC25:AH25">
    <cfRule type="expression" dxfId="359" priority="38" stopIfTrue="1">
      <formula>#REF!="Black and White"</formula>
    </cfRule>
  </conditionalFormatting>
  <conditionalFormatting sqref="AC24:AH24">
    <cfRule type="expression" dxfId="358" priority="41" stopIfTrue="1">
      <formula>#REF!="Black and White"</formula>
    </cfRule>
  </conditionalFormatting>
  <conditionalFormatting sqref="AC26:AH26">
    <cfRule type="expression" dxfId="357" priority="39" stopIfTrue="1">
      <formula>#REF!="Black and White"</formula>
    </cfRule>
  </conditionalFormatting>
  <conditionalFormatting sqref="AC27:AH27">
    <cfRule type="expression" dxfId="356" priority="40" stopIfTrue="1">
      <formula>#REF!="Black and White"</formula>
    </cfRule>
  </conditionalFormatting>
  <conditionalFormatting sqref="AC30:AH30 AC32:AH32">
    <cfRule type="expression" dxfId="355" priority="34" stopIfTrue="1">
      <formula>#REF!="Black and White"</formula>
    </cfRule>
  </conditionalFormatting>
  <conditionalFormatting sqref="AC31:AH31">
    <cfRule type="expression" dxfId="354" priority="37" stopIfTrue="1">
      <formula>#REF!="Black and White"</formula>
    </cfRule>
  </conditionalFormatting>
  <conditionalFormatting sqref="AC33:AH33">
    <cfRule type="expression" dxfId="353" priority="35" stopIfTrue="1">
      <formula>#REF!="Black and White"</formula>
    </cfRule>
  </conditionalFormatting>
  <conditionalFormatting sqref="AC34:AH34">
    <cfRule type="expression" dxfId="352" priority="36" stopIfTrue="1">
      <formula>#REF!="Black and White"</formula>
    </cfRule>
  </conditionalFormatting>
  <conditionalFormatting sqref="AC37:AH37 AC39:AH39">
    <cfRule type="expression" dxfId="351" priority="30" stopIfTrue="1">
      <formula>#REF!="Black and White"</formula>
    </cfRule>
  </conditionalFormatting>
  <conditionalFormatting sqref="AC38:AH38">
    <cfRule type="expression" dxfId="350" priority="33" stopIfTrue="1">
      <formula>#REF!="Black and White"</formula>
    </cfRule>
  </conditionalFormatting>
  <conditionalFormatting sqref="AC40:AH40">
    <cfRule type="expression" dxfId="349" priority="31" stopIfTrue="1">
      <formula>#REF!="Black and White"</formula>
    </cfRule>
  </conditionalFormatting>
  <conditionalFormatting sqref="AC41:AH41">
    <cfRule type="expression" dxfId="348" priority="32" stopIfTrue="1">
      <formula>#REF!="Black and White"</formula>
    </cfRule>
  </conditionalFormatting>
  <conditionalFormatting sqref="AC44:AH44 AC46:AH46">
    <cfRule type="expression" dxfId="347" priority="26" stopIfTrue="1">
      <formula>#REF!="Black and White"</formula>
    </cfRule>
  </conditionalFormatting>
  <conditionalFormatting sqref="AC45:AH45">
    <cfRule type="expression" dxfId="346" priority="29" stopIfTrue="1">
      <formula>#REF!="Black and White"</formula>
    </cfRule>
  </conditionalFormatting>
  <conditionalFormatting sqref="AC47:AH47">
    <cfRule type="expression" dxfId="345" priority="27" stopIfTrue="1">
      <formula>#REF!="Black and White"</formula>
    </cfRule>
  </conditionalFormatting>
  <conditionalFormatting sqref="AC48:AH48">
    <cfRule type="expression" dxfId="344" priority="28" stopIfTrue="1">
      <formula>#REF!="Black and White"</formula>
    </cfRule>
  </conditionalFormatting>
  <conditionalFormatting sqref="AC51:AH51 AC53:AH53">
    <cfRule type="expression" dxfId="343" priority="22" stopIfTrue="1">
      <formula>#REF!="Black and White"</formula>
    </cfRule>
  </conditionalFormatting>
  <conditionalFormatting sqref="AC52:AH52">
    <cfRule type="expression" dxfId="342" priority="25" stopIfTrue="1">
      <formula>#REF!="Black and White"</formula>
    </cfRule>
  </conditionalFormatting>
  <conditionalFormatting sqref="AC54:AH54">
    <cfRule type="expression" dxfId="341" priority="23" stopIfTrue="1">
      <formula>#REF!="Black and White"</formula>
    </cfRule>
  </conditionalFormatting>
  <conditionalFormatting sqref="AC55:AH55">
    <cfRule type="expression" dxfId="340" priority="24" stopIfTrue="1">
      <formula>#REF!="Black and White"</formula>
    </cfRule>
  </conditionalFormatting>
  <conditionalFormatting sqref="AC58:AH58">
    <cfRule type="expression" dxfId="339" priority="17" stopIfTrue="1">
      <formula>#REF!="Black and White"</formula>
    </cfRule>
  </conditionalFormatting>
  <conditionalFormatting sqref="AC59:AH59">
    <cfRule type="expression" dxfId="338" priority="21" stopIfTrue="1">
      <formula>#REF!="Black and White"</formula>
    </cfRule>
  </conditionalFormatting>
  <conditionalFormatting sqref="AC60:AH60">
    <cfRule type="expression" dxfId="337" priority="18" stopIfTrue="1">
      <formula>#REF!="Black and White"</formula>
    </cfRule>
  </conditionalFormatting>
  <conditionalFormatting sqref="AC61:AH61">
    <cfRule type="expression" dxfId="336" priority="19" stopIfTrue="1">
      <formula>#REF!="Black and White"</formula>
    </cfRule>
  </conditionalFormatting>
  <conditionalFormatting sqref="AC62:AH62">
    <cfRule type="expression" dxfId="335" priority="20" stopIfTrue="1">
      <formula>#REF!="Black and White"</formula>
    </cfRule>
  </conditionalFormatting>
  <conditionalFormatting sqref="AC65:AH65 AC67:AH67">
    <cfRule type="expression" dxfId="334" priority="13" stopIfTrue="1">
      <formula>#REF!="Black and White"</formula>
    </cfRule>
  </conditionalFormatting>
  <conditionalFormatting sqref="AC66:AH66">
    <cfRule type="expression" dxfId="333" priority="16" stopIfTrue="1">
      <formula>#REF!="Black and White"</formula>
    </cfRule>
  </conditionalFormatting>
  <conditionalFormatting sqref="AC68:AH68">
    <cfRule type="expression" dxfId="332" priority="14" stopIfTrue="1">
      <formula>#REF!="Black and White"</formula>
    </cfRule>
  </conditionalFormatting>
  <conditionalFormatting sqref="AC69:AH69">
    <cfRule type="expression" dxfId="331" priority="15" stopIfTrue="1">
      <formula>#REF!="Black and White"</formula>
    </cfRule>
  </conditionalFormatting>
  <conditionalFormatting sqref="AC72:AH72 AC74:AH74">
    <cfRule type="expression" dxfId="330" priority="9" stopIfTrue="1">
      <formula>#REF!="Black and White"</formula>
    </cfRule>
  </conditionalFormatting>
  <conditionalFormatting sqref="AC73:AH73">
    <cfRule type="expression" dxfId="329" priority="12" stopIfTrue="1">
      <formula>#REF!="Black and White"</formula>
    </cfRule>
  </conditionalFormatting>
  <conditionalFormatting sqref="AC75:AH75">
    <cfRule type="expression" dxfId="328" priority="10" stopIfTrue="1">
      <formula>#REF!="Black and White"</formula>
    </cfRule>
  </conditionalFormatting>
  <conditionalFormatting sqref="AC76:AH76">
    <cfRule type="expression" dxfId="327" priority="11" stopIfTrue="1">
      <formula>#REF!="Black and White"</formula>
    </cfRule>
  </conditionalFormatting>
  <conditionalFormatting sqref="AC79:AH79 AC81:AH81">
    <cfRule type="expression" dxfId="326" priority="5" stopIfTrue="1">
      <formula>#REF!="Black and White"</formula>
    </cfRule>
  </conditionalFormatting>
  <conditionalFormatting sqref="AC80:AH80">
    <cfRule type="expression" dxfId="325" priority="8" stopIfTrue="1">
      <formula>#REF!="Black and White"</formula>
    </cfRule>
  </conditionalFormatting>
  <conditionalFormatting sqref="AC82:AH82">
    <cfRule type="expression" dxfId="324" priority="6" stopIfTrue="1">
      <formula>#REF!="Black and White"</formula>
    </cfRule>
  </conditionalFormatting>
  <conditionalFormatting sqref="AC83:AH83">
    <cfRule type="expression" dxfId="323" priority="7" stopIfTrue="1">
      <formula>#REF!="Black and White"</formula>
    </cfRule>
  </conditionalFormatting>
  <conditionalFormatting sqref="AC86:AH86 AC88:AH88">
    <cfRule type="expression" dxfId="322" priority="1" stopIfTrue="1">
      <formula>#REF!="Black and White"</formula>
    </cfRule>
  </conditionalFormatting>
  <conditionalFormatting sqref="AC87:AH87">
    <cfRule type="expression" dxfId="321" priority="4" stopIfTrue="1">
      <formula>#REF!="Black and White"</formula>
    </cfRule>
  </conditionalFormatting>
  <conditionalFormatting sqref="AC89:AH89">
    <cfRule type="expression" dxfId="320" priority="2" stopIfTrue="1">
      <formula>#REF!="Black and White"</formula>
    </cfRule>
  </conditionalFormatting>
  <conditionalFormatting sqref="AC90:AH90">
    <cfRule type="expression" dxfId="319" priority="3" stopIfTrue="1">
      <formula>#REF!="Black and White"</formula>
    </cfRule>
  </conditionalFormatting>
  <printOptions horizontalCentered="1" verticalCentered="1"/>
  <pageMargins left="0.23622047244094491" right="0.23622047244094491" top="0.74803149606299213" bottom="0.74803149606299213" header="0.31496062992125984" footer="0.31496062992125984"/>
  <pageSetup paperSize="9" scale="47" firstPageNumber="0" fitToWidth="2" fitToHeight="2" orientation="portrait" verticalDpi="300" r:id="rId1"/>
  <headerFooter alignWithMargins="0"/>
  <rowBreaks count="1" manualBreakCount="1">
    <brk id="90" min="1" max="33" man="1"/>
  </rowBreaks>
  <colBreaks count="1" manualBreakCount="1">
    <brk id="17" max="201"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030A0"/>
    <pageSetUpPr fitToPage="1"/>
  </sheetPr>
  <dimension ref="A1:AH201"/>
  <sheetViews>
    <sheetView showGridLines="0" showRowColHeaders="0" zoomScaleNormal="100" workbookViewId="0">
      <pane ySplit="6" topLeftCell="A167" activePane="bottomLeft" state="frozen"/>
      <selection pane="bottomLeft" activeCell="Q201" sqref="Q201"/>
    </sheetView>
  </sheetViews>
  <sheetFormatPr defaultRowHeight="12.75" x14ac:dyDescent="0.2"/>
  <cols>
    <col min="1" max="1" width="3.7109375" style="419" customWidth="1"/>
    <col min="2" max="2" width="12.7109375" style="97" customWidth="1"/>
    <col min="3" max="3" width="7.7109375" style="97" customWidth="1"/>
    <col min="4" max="4" width="9.28515625" style="97" customWidth="1"/>
    <col min="5" max="5" width="22.7109375" style="97" customWidth="1"/>
    <col min="6" max="6" width="3.7109375" style="97" customWidth="1"/>
    <col min="7" max="7" width="2.140625" style="97" customWidth="1"/>
    <col min="8" max="8" width="3.7109375" style="97" customWidth="1"/>
    <col min="9" max="9" width="22.7109375" style="97" customWidth="1"/>
    <col min="10" max="10" width="30.7109375" style="97" customWidth="1"/>
    <col min="11" max="11" width="5" style="97" hidden="1" customWidth="1"/>
    <col min="12" max="13" width="22.7109375" style="97" hidden="1" customWidth="1"/>
    <col min="14" max="16" width="10.7109375" style="97" customWidth="1"/>
    <col min="17" max="17" width="1.7109375" style="97" customWidth="1"/>
    <col min="18" max="18" width="6.28515625" style="97" customWidth="1"/>
    <col min="19" max="19" width="22.7109375" style="97" customWidth="1"/>
    <col min="20" max="25" width="3.7109375" style="97" customWidth="1"/>
    <col min="26" max="27" width="4.7109375" style="97" customWidth="1"/>
    <col min="28" max="28" width="2.7109375" style="97" customWidth="1"/>
    <col min="29" max="29" width="22.7109375" style="97" customWidth="1"/>
    <col min="30" max="34" width="5.7109375" style="97" customWidth="1"/>
    <col min="35" max="35" width="3.7109375" style="97" customWidth="1"/>
    <col min="36" max="68" width="9.140625" style="97" customWidth="1"/>
    <col min="69" max="69" width="12.5703125" style="97" customWidth="1"/>
    <col min="70" max="70" width="21.5703125" style="97" customWidth="1"/>
    <col min="71" max="74" width="9.140625" style="97" customWidth="1"/>
    <col min="75" max="16384" width="9.140625" style="97"/>
  </cols>
  <sheetData>
    <row r="1" spans="1:34" ht="14.25" customHeight="1" x14ac:dyDescent="0.2"/>
    <row r="2" spans="1:34" s="308" customFormat="1" ht="57.4" customHeight="1" x14ac:dyDescent="0.25">
      <c r="A2" s="420"/>
      <c r="B2" s="574" t="s">
        <v>1355</v>
      </c>
      <c r="C2" s="689" t="str">
        <f>"FORECAST "&amp;League</f>
        <v>FORECAST 2026 FIFA World Cup Americas</v>
      </c>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309"/>
      <c r="AG2" s="309"/>
      <c r="AH2" s="310"/>
    </row>
    <row r="3" spans="1:34" ht="15" hidden="1" customHeight="1" x14ac:dyDescent="0.2"/>
    <row r="4" spans="1:34" ht="14.25" customHeight="1" x14ac:dyDescent="0.2">
      <c r="T4" s="98"/>
      <c r="U4" s="98"/>
      <c r="V4" s="98"/>
      <c r="W4" s="98"/>
      <c r="X4" s="98"/>
      <c r="Y4" s="98"/>
      <c r="Z4" s="98"/>
      <c r="AA4" s="311"/>
    </row>
    <row r="5" spans="1:34" ht="15" customHeight="1" x14ac:dyDescent="0.25">
      <c r="A5" s="421"/>
      <c r="B5" s="424"/>
      <c r="C5" s="312"/>
      <c r="D5" s="313"/>
      <c r="E5" s="666" t="s">
        <v>1215</v>
      </c>
      <c r="F5" s="666"/>
      <c r="G5" s="666"/>
      <c r="H5" s="666"/>
      <c r="I5" s="666"/>
      <c r="J5" s="312"/>
      <c r="K5" s="670" t="s">
        <v>533</v>
      </c>
      <c r="L5" s="671"/>
      <c r="M5" s="672"/>
      <c r="N5" s="667" t="s">
        <v>386</v>
      </c>
      <c r="O5" s="667"/>
      <c r="P5" s="667"/>
      <c r="Q5" s="99"/>
      <c r="R5" s="681" t="s">
        <v>534</v>
      </c>
      <c r="S5" s="682"/>
      <c r="T5" s="682"/>
      <c r="U5" s="682"/>
      <c r="V5" s="682"/>
      <c r="W5" s="682"/>
      <c r="X5" s="682"/>
      <c r="Y5" s="682"/>
      <c r="Z5" s="682"/>
      <c r="AA5" s="683"/>
      <c r="AC5" s="675" t="s">
        <v>668</v>
      </c>
      <c r="AD5" s="676"/>
      <c r="AE5" s="676"/>
      <c r="AF5" s="676"/>
      <c r="AG5" s="676"/>
      <c r="AH5" s="677"/>
    </row>
    <row r="6" spans="1:34" ht="15" customHeight="1" x14ac:dyDescent="0.25">
      <c r="A6" s="421" t="s">
        <v>1205</v>
      </c>
      <c r="B6" s="425" t="s">
        <v>111</v>
      </c>
      <c r="C6" s="315" t="s">
        <v>319</v>
      </c>
      <c r="D6" s="316" t="s">
        <v>320</v>
      </c>
      <c r="E6" s="317"/>
      <c r="F6" s="668" t="s">
        <v>337</v>
      </c>
      <c r="G6" s="669"/>
      <c r="H6" s="669"/>
      <c r="I6" s="317"/>
      <c r="J6" s="318" t="s">
        <v>321</v>
      </c>
      <c r="K6" s="319" t="s">
        <v>322</v>
      </c>
      <c r="L6" s="319" t="s">
        <v>323</v>
      </c>
      <c r="M6" s="319" t="s">
        <v>324</v>
      </c>
      <c r="N6" s="314" t="s">
        <v>1</v>
      </c>
      <c r="O6" s="314" t="s">
        <v>25</v>
      </c>
      <c r="P6" s="314" t="s">
        <v>0</v>
      </c>
      <c r="Q6" s="99"/>
      <c r="R6" s="684"/>
      <c r="S6" s="685"/>
      <c r="T6" s="685"/>
      <c r="U6" s="685"/>
      <c r="V6" s="685"/>
      <c r="W6" s="685"/>
      <c r="X6" s="685"/>
      <c r="Y6" s="685"/>
      <c r="Z6" s="685"/>
      <c r="AA6" s="686"/>
      <c r="AC6" s="678"/>
      <c r="AD6" s="679"/>
      <c r="AE6" s="679"/>
      <c r="AF6" s="679"/>
      <c r="AG6" s="679"/>
      <c r="AH6" s="680"/>
    </row>
    <row r="7" spans="1:34" ht="14.25" customHeight="1" x14ac:dyDescent="0.2">
      <c r="A7" s="422"/>
      <c r="B7" s="426"/>
      <c r="D7" s="321"/>
      <c r="K7" s="322"/>
      <c r="L7" s="323"/>
      <c r="M7" s="324"/>
      <c r="Q7" s="99"/>
      <c r="T7" s="98"/>
      <c r="U7" s="98"/>
      <c r="V7" s="98"/>
      <c r="W7" s="98"/>
      <c r="X7" s="98"/>
      <c r="Y7" s="98"/>
      <c r="Z7" s="98"/>
      <c r="AA7" s="311"/>
      <c r="AD7" s="98"/>
      <c r="AE7" s="98"/>
      <c r="AF7" s="98"/>
      <c r="AG7" s="98"/>
      <c r="AH7" s="98"/>
    </row>
    <row r="8" spans="1:34" ht="14.25" customHeight="1" x14ac:dyDescent="0.2">
      <c r="A8" s="422" t="s">
        <v>543</v>
      </c>
      <c r="B8" s="427">
        <v>46184.833333333336</v>
      </c>
      <c r="C8" s="326">
        <v>0.83333333333333337</v>
      </c>
      <c r="D8" s="327" t="str">
        <f>LEFT(A8)</f>
        <v>A</v>
      </c>
      <c r="E8" s="100" t="str">
        <f t="shared" ref="E8:E71" si="0">VLOOKUP(LEFT(A8,2),Lookup08,2)</f>
        <v>Mexico</v>
      </c>
      <c r="F8" s="434">
        <f>IF(Poster!F8="",FResults!AB3,Poster!F8)</f>
        <v>2</v>
      </c>
      <c r="G8" s="328" t="s">
        <v>536</v>
      </c>
      <c r="H8" s="435">
        <f>IF(Poster!H8="",FResults!AC3,Poster!H8)</f>
        <v>0</v>
      </c>
      <c r="I8" s="101" t="str">
        <f t="shared" ref="I8:I71" si="1">VLOOKUP(RIGHT(A8,2),Lookup08,2)</f>
        <v>South Africa</v>
      </c>
      <c r="J8" s="101" t="str">
        <f>Stadium3</f>
        <v>Mexico City Stadium</v>
      </c>
      <c r="K8" s="329" t="str">
        <f>D8</f>
        <v>A</v>
      </c>
      <c r="L8" s="323" t="str">
        <f>IF(F8&lt;&gt;"",IF(F8&gt;H8,E8,IF(H8&gt;F8,I8,"D"&amp;E8)),"")</f>
        <v>Mexico</v>
      </c>
      <c r="M8" s="324" t="str">
        <f>IF(F8&lt;&gt;"",IF(F8&lt;H8,E8,IF(H8&lt;F8,I8,"D"&amp;I8)),"")</f>
        <v>South Africa</v>
      </c>
      <c r="N8" s="330">
        <f>Results!X3</f>
        <v>0.77452585125000006</v>
      </c>
      <c r="O8" s="330">
        <f>Results!Y3</f>
        <v>0.12184829750000004</v>
      </c>
      <c r="P8" s="330">
        <f>Results!Z3</f>
        <v>0.10362585124999996</v>
      </c>
      <c r="Q8" s="99"/>
      <c r="R8" s="331"/>
      <c r="S8" s="332" t="s">
        <v>303</v>
      </c>
      <c r="T8" s="333"/>
      <c r="U8" s="333"/>
      <c r="V8" s="333"/>
      <c r="W8" s="333"/>
      <c r="X8" s="333"/>
      <c r="Y8" s="333"/>
      <c r="Z8" s="334"/>
      <c r="AA8" s="335"/>
      <c r="AC8" s="336" t="str">
        <f>S8</f>
        <v>Group A</v>
      </c>
      <c r="AD8" s="337"/>
      <c r="AE8" s="337"/>
      <c r="AF8" s="337"/>
      <c r="AG8" s="337"/>
      <c r="AH8" s="338"/>
    </row>
    <row r="9" spans="1:34" ht="14.25" customHeight="1" x14ac:dyDescent="0.2">
      <c r="A9" s="422" t="s">
        <v>544</v>
      </c>
      <c r="B9" s="427">
        <v>46185.125</v>
      </c>
      <c r="C9" s="326">
        <v>0.125</v>
      </c>
      <c r="D9" s="327" t="str">
        <f t="shared" ref="D9:D72" si="2">LEFT(A9)</f>
        <v>A</v>
      </c>
      <c r="E9" s="100" t="str">
        <f t="shared" si="0"/>
        <v>Korea Republic</v>
      </c>
      <c r="F9" s="434">
        <f>IF(Poster!F9="",FResults!AB4,Poster!F9)</f>
        <v>2</v>
      </c>
      <c r="G9" s="328" t="str">
        <f>IF(Poster!G9="",FResults!AB4,Poster!G9)</f>
        <v>-</v>
      </c>
      <c r="H9" s="435">
        <f>IF(Poster!H9="",FResults!AC4,Poster!H9)</f>
        <v>1</v>
      </c>
      <c r="I9" s="101" t="str">
        <f t="shared" si="1"/>
        <v>Czechia</v>
      </c>
      <c r="J9" s="101" t="str">
        <f>Stadium4</f>
        <v>Estadio Guadalajara</v>
      </c>
      <c r="K9" s="329" t="str">
        <f t="shared" ref="K9:K72" si="3">D9</f>
        <v>A</v>
      </c>
      <c r="L9" s="323" t="str">
        <f t="shared" ref="L9:L72" si="4">IF(F9&lt;&gt;"",IF(F9&gt;H9,E9,IF(H9&gt;F9,I9,"D"&amp;E9)),"")</f>
        <v>Korea Republic</v>
      </c>
      <c r="M9" s="324" t="str">
        <f t="shared" ref="M9:M72" si="5">IF(F9&lt;&gt;"",IF(F9&lt;H9,E9,IF(H9&lt;F9,I9,"D"&amp;I9)),"")</f>
        <v>Czechia</v>
      </c>
      <c r="N9" s="330">
        <f>Results!X4</f>
        <v>0.512815625</v>
      </c>
      <c r="O9" s="330">
        <f>Results!Y4</f>
        <v>0.21936875</v>
      </c>
      <c r="P9" s="330">
        <f>Results!Z4</f>
        <v>0.267815625</v>
      </c>
      <c r="Q9" s="99"/>
      <c r="R9" s="339" t="s">
        <v>325</v>
      </c>
      <c r="S9" s="340" t="s">
        <v>310</v>
      </c>
      <c r="T9" s="341" t="s">
        <v>311</v>
      </c>
      <c r="U9" s="341" t="s">
        <v>305</v>
      </c>
      <c r="V9" s="341" t="s">
        <v>15</v>
      </c>
      <c r="W9" s="341" t="s">
        <v>306</v>
      </c>
      <c r="X9" s="341" t="s">
        <v>307</v>
      </c>
      <c r="Y9" s="341" t="s">
        <v>16</v>
      </c>
      <c r="Z9" s="342" t="s">
        <v>308</v>
      </c>
      <c r="AA9" s="343" t="s">
        <v>566</v>
      </c>
      <c r="AC9" s="344" t="s">
        <v>310</v>
      </c>
      <c r="AD9" s="345" t="str">
        <f ca="1">LEFT($AC10,3)</f>
        <v>Kor</v>
      </c>
      <c r="AE9" s="345" t="str">
        <f ca="1">LEFT($AC11,3)</f>
        <v>Mex</v>
      </c>
      <c r="AF9" s="345" t="str">
        <f ca="1">LEFT($AC12,3)</f>
        <v>Sou</v>
      </c>
      <c r="AG9" s="345" t="str">
        <f ca="1">LEFT($AC13,3)</f>
        <v>Cze</v>
      </c>
      <c r="AH9" s="346" t="s">
        <v>566</v>
      </c>
    </row>
    <row r="10" spans="1:34" ht="14.25" customHeight="1" x14ac:dyDescent="0.2">
      <c r="A10" s="422" t="s">
        <v>571</v>
      </c>
      <c r="B10" s="427">
        <v>46185.833333333336</v>
      </c>
      <c r="C10" s="326">
        <v>0.83333333333333337</v>
      </c>
      <c r="D10" s="327" t="str">
        <f t="shared" si="2"/>
        <v>B</v>
      </c>
      <c r="E10" s="100" t="str">
        <f t="shared" si="0"/>
        <v>Canada</v>
      </c>
      <c r="F10" s="434">
        <f>IF(Poster!F10="",FResults!AB5,Poster!F10)</f>
        <v>1</v>
      </c>
      <c r="G10" s="328" t="str">
        <f>IF(Poster!G10="",FResults!AB5,Poster!G10)</f>
        <v>-</v>
      </c>
      <c r="H10" s="435">
        <f>IF(Poster!H10="",FResults!AC5,Poster!H10)</f>
        <v>1</v>
      </c>
      <c r="I10" s="101" t="str">
        <f t="shared" si="1"/>
        <v>Bosnia-Herzegovina</v>
      </c>
      <c r="J10" s="101" t="str">
        <f>Stadium1</f>
        <v>Toronto Stadium</v>
      </c>
      <c r="K10" s="329" t="str">
        <f t="shared" si="3"/>
        <v>B</v>
      </c>
      <c r="L10" s="323" t="str">
        <f t="shared" si="4"/>
        <v>DCanada</v>
      </c>
      <c r="M10" s="324" t="str">
        <f t="shared" si="5"/>
        <v>DBosnia-Herzegovina</v>
      </c>
      <c r="N10" s="330">
        <f>Results!X5</f>
        <v>0.65436776419999998</v>
      </c>
      <c r="O10" s="330">
        <f>Results!Y5</f>
        <v>0.17570447160000002</v>
      </c>
      <c r="P10" s="330">
        <f>Results!Z5</f>
        <v>0.16992776420000003</v>
      </c>
      <c r="Q10" s="99"/>
      <c r="R10" s="347">
        <v>1</v>
      </c>
      <c r="S10" s="348" t="str">
        <f ca="1">FGrpA!B45</f>
        <v>Korea Republic</v>
      </c>
      <c r="T10" s="98">
        <f>FGrpA!C45</f>
        <v>3</v>
      </c>
      <c r="U10" s="98">
        <f ca="1">FGrpA!D45</f>
        <v>3</v>
      </c>
      <c r="V10" s="98">
        <f ca="1">FGrpA!E45</f>
        <v>0</v>
      </c>
      <c r="W10" s="98">
        <f ca="1">FGrpA!F45</f>
        <v>0</v>
      </c>
      <c r="X10" s="98">
        <f ca="1">FGrpA!G45</f>
        <v>5</v>
      </c>
      <c r="Y10" s="98">
        <f ca="1">FGrpA!H45</f>
        <v>1</v>
      </c>
      <c r="Z10" s="349">
        <f ca="1">FGrpA!I45</f>
        <v>4</v>
      </c>
      <c r="AA10" s="350">
        <f ca="1">FGrpA!J45</f>
        <v>9</v>
      </c>
      <c r="AC10" s="351" t="str">
        <f ca="1">FGrpA!K45</f>
        <v>Korea Republic</v>
      </c>
      <c r="AD10" s="352"/>
      <c r="AE10" s="353" t="str">
        <f ca="1">FGrpA!M45</f>
        <v>2-0</v>
      </c>
      <c r="AF10" s="353" t="str">
        <f ca="1">FGrpA!N45</f>
        <v>1-0</v>
      </c>
      <c r="AG10" s="353" t="str">
        <f ca="1">FGrpA!O45</f>
        <v>2-1</v>
      </c>
      <c r="AH10" s="354">
        <f ca="1">AA10</f>
        <v>9</v>
      </c>
    </row>
    <row r="11" spans="1:34" ht="14.25" customHeight="1" x14ac:dyDescent="0.2">
      <c r="A11" s="422" t="s">
        <v>545</v>
      </c>
      <c r="B11" s="427">
        <v>46186.083333333336</v>
      </c>
      <c r="C11" s="326">
        <v>8.3333333333333329E-2</v>
      </c>
      <c r="D11" s="327" t="str">
        <f t="shared" si="2"/>
        <v>D</v>
      </c>
      <c r="E11" s="100" t="str">
        <f t="shared" si="0"/>
        <v>USA</v>
      </c>
      <c r="F11" s="434">
        <f>IF(Poster!F11="",FResults!AB6,Poster!F11)</f>
        <v>4</v>
      </c>
      <c r="G11" s="328" t="str">
        <f>IF(Poster!G11="",FResults!AB6,Poster!G11)</f>
        <v>-</v>
      </c>
      <c r="H11" s="435">
        <f>IF(Poster!H11="",FResults!AC6,Poster!H11)</f>
        <v>1</v>
      </c>
      <c r="I11" s="101" t="str">
        <f t="shared" si="1"/>
        <v>Paraguay</v>
      </c>
      <c r="J11" s="101" t="str">
        <f>Stadium11</f>
        <v>Los Angeles Stadium</v>
      </c>
      <c r="K11" s="329" t="str">
        <f t="shared" si="3"/>
        <v>D</v>
      </c>
      <c r="L11" s="323" t="str">
        <f t="shared" si="4"/>
        <v>USA</v>
      </c>
      <c r="M11" s="324" t="str">
        <f t="shared" si="5"/>
        <v>Paraguay</v>
      </c>
      <c r="N11" s="330">
        <f>Results!X6</f>
        <v>0.57312500000000011</v>
      </c>
      <c r="O11" s="330">
        <f>Results!Y6</f>
        <v>0.20374999999999999</v>
      </c>
      <c r="P11" s="330">
        <f>Results!Z6</f>
        <v>0.22312499999999991</v>
      </c>
      <c r="Q11" s="99"/>
      <c r="R11" s="347">
        <v>2</v>
      </c>
      <c r="S11" s="348" t="str">
        <f ca="1">FGrpA!B46</f>
        <v>Mexico</v>
      </c>
      <c r="T11" s="98">
        <f>FGrpA!C46</f>
        <v>3</v>
      </c>
      <c r="U11" s="98">
        <f ca="1">FGrpA!D46</f>
        <v>2</v>
      </c>
      <c r="V11" s="98">
        <f ca="1">FGrpA!E46</f>
        <v>0</v>
      </c>
      <c r="W11" s="98">
        <f ca="1">FGrpA!F46</f>
        <v>1</v>
      </c>
      <c r="X11" s="98">
        <f ca="1">FGrpA!G46</f>
        <v>3</v>
      </c>
      <c r="Y11" s="98">
        <f ca="1">FGrpA!H46</f>
        <v>2</v>
      </c>
      <c r="Z11" s="349">
        <f ca="1">FGrpA!I46</f>
        <v>1</v>
      </c>
      <c r="AA11" s="350">
        <f ca="1">FGrpA!J46</f>
        <v>6</v>
      </c>
      <c r="AC11" s="351" t="str">
        <f ca="1">FGrpA!K46</f>
        <v>Mexico</v>
      </c>
      <c r="AD11" s="353" t="str">
        <f ca="1">FGrpA!L46</f>
        <v>0-2</v>
      </c>
      <c r="AE11" s="352"/>
      <c r="AF11" s="353" t="str">
        <f ca="1">FGrpA!N46</f>
        <v>2-0</v>
      </c>
      <c r="AG11" s="353" t="str">
        <f ca="1">FGrpA!O46</f>
        <v>1-0</v>
      </c>
      <c r="AH11" s="354">
        <f t="shared" ref="AH11:AH13" ca="1" si="6">AA11</f>
        <v>6</v>
      </c>
    </row>
    <row r="12" spans="1:34" ht="14.25" customHeight="1" x14ac:dyDescent="0.2">
      <c r="A12" s="422" t="s">
        <v>546</v>
      </c>
      <c r="B12" s="427">
        <v>46186.833333333336</v>
      </c>
      <c r="C12" s="326">
        <v>0.83333333333333337</v>
      </c>
      <c r="D12" s="327" t="str">
        <f t="shared" si="2"/>
        <v>B</v>
      </c>
      <c r="E12" s="100" t="str">
        <f t="shared" si="0"/>
        <v>Qatar</v>
      </c>
      <c r="F12" s="434">
        <f>IF(Poster!F12="",FResults!AB7,Poster!F12)</f>
        <v>1</v>
      </c>
      <c r="G12" s="328" t="str">
        <f>IF(Poster!G12="",FResults!AB7,Poster!G12)</f>
        <v>-</v>
      </c>
      <c r="H12" s="435">
        <f>IF(Poster!H12="",FResults!AC7,Poster!H12)</f>
        <v>1</v>
      </c>
      <c r="I12" s="101" t="str">
        <f t="shared" si="1"/>
        <v>Switzerland</v>
      </c>
      <c r="J12" s="101" t="str">
        <f>Stadium15</f>
        <v>San Franciso Bay Stadium</v>
      </c>
      <c r="K12" s="329" t="str">
        <f t="shared" si="3"/>
        <v>B</v>
      </c>
      <c r="L12" s="323" t="str">
        <f t="shared" si="4"/>
        <v>DQatar</v>
      </c>
      <c r="M12" s="324" t="str">
        <f t="shared" si="5"/>
        <v>DSwitzerland</v>
      </c>
      <c r="N12" s="330">
        <f>Results!X7</f>
        <v>0.15579171605</v>
      </c>
      <c r="O12" s="330">
        <f>Results!Y7</f>
        <v>0.1661965678999999</v>
      </c>
      <c r="P12" s="330">
        <f>Results!Z7</f>
        <v>0.6780117160500001</v>
      </c>
      <c r="Q12" s="99"/>
      <c r="R12" s="347">
        <v>3</v>
      </c>
      <c r="S12" s="348" t="str">
        <f ca="1">FGrpA!B47</f>
        <v>South Africa</v>
      </c>
      <c r="T12" s="98">
        <f>FGrpA!C47</f>
        <v>3</v>
      </c>
      <c r="U12" s="98">
        <f ca="1">FGrpA!D47</f>
        <v>1</v>
      </c>
      <c r="V12" s="98">
        <f ca="1">FGrpA!E47</f>
        <v>0</v>
      </c>
      <c r="W12" s="98">
        <f ca="1">FGrpA!F47</f>
        <v>2</v>
      </c>
      <c r="X12" s="98">
        <f ca="1">FGrpA!G47</f>
        <v>3</v>
      </c>
      <c r="Y12" s="98">
        <f ca="1">FGrpA!H47</f>
        <v>5</v>
      </c>
      <c r="Z12" s="349">
        <f ca="1">FGrpA!I47</f>
        <v>-2</v>
      </c>
      <c r="AA12" s="350">
        <f ca="1">FGrpA!J47</f>
        <v>3</v>
      </c>
      <c r="AC12" s="351" t="str">
        <f ca="1">FGrpA!K47</f>
        <v>South Africa</v>
      </c>
      <c r="AD12" s="353" t="str">
        <f ca="1">FGrpA!L47</f>
        <v>0-1</v>
      </c>
      <c r="AE12" s="353" t="str">
        <f ca="1">FGrpA!M47</f>
        <v>0-2</v>
      </c>
      <c r="AF12" s="352"/>
      <c r="AG12" s="353" t="str">
        <f ca="1">FGrpA!O47</f>
        <v>3-2</v>
      </c>
      <c r="AH12" s="354">
        <f t="shared" ca="1" si="6"/>
        <v>3</v>
      </c>
    </row>
    <row r="13" spans="1:34" ht="14.25" customHeight="1" x14ac:dyDescent="0.2">
      <c r="A13" s="422" t="s">
        <v>547</v>
      </c>
      <c r="B13" s="427">
        <v>46186.958333333336</v>
      </c>
      <c r="C13" s="326">
        <v>0.95833333333333337</v>
      </c>
      <c r="D13" s="327" t="str">
        <f t="shared" si="2"/>
        <v>C</v>
      </c>
      <c r="E13" s="100" t="str">
        <f t="shared" si="0"/>
        <v>Brazil</v>
      </c>
      <c r="F13" s="434">
        <f>IF(Poster!F13="",FResults!AB8,Poster!F13)</f>
        <v>1</v>
      </c>
      <c r="G13" s="328" t="str">
        <f>IF(Poster!G13="",FResults!AB8,Poster!G13)</f>
        <v>-</v>
      </c>
      <c r="H13" s="435">
        <f>IF(Poster!H13="",FResults!AC8,Poster!H13)</f>
        <v>1</v>
      </c>
      <c r="I13" s="101" t="str">
        <f t="shared" si="1"/>
        <v>Morocco</v>
      </c>
      <c r="J13" s="101" t="str">
        <f>Stadium13</f>
        <v>MetLife Stadium</v>
      </c>
      <c r="K13" s="329" t="str">
        <f t="shared" si="3"/>
        <v>C</v>
      </c>
      <c r="L13" s="323" t="str">
        <f t="shared" si="4"/>
        <v>DBrazil</v>
      </c>
      <c r="M13" s="324" t="str">
        <f t="shared" si="5"/>
        <v>DMorocco</v>
      </c>
      <c r="N13" s="330">
        <f>Results!X8</f>
        <v>0.52287942245000008</v>
      </c>
      <c r="O13" s="330">
        <f>Results!Y8</f>
        <v>0.21710115510000005</v>
      </c>
      <c r="P13" s="330">
        <f>Results!Z8</f>
        <v>0.26001942244999993</v>
      </c>
      <c r="Q13" s="99"/>
      <c r="R13" s="347">
        <v>4</v>
      </c>
      <c r="S13" s="355" t="str">
        <f ca="1">FGrpA!B48</f>
        <v>Czechia</v>
      </c>
      <c r="T13" s="356">
        <f>FGrpA!C48</f>
        <v>3</v>
      </c>
      <c r="U13" s="356">
        <f ca="1">FGrpA!D48</f>
        <v>0</v>
      </c>
      <c r="V13" s="356">
        <f ca="1">FGrpA!E48</f>
        <v>0</v>
      </c>
      <c r="W13" s="356">
        <f ca="1">FGrpA!F48</f>
        <v>3</v>
      </c>
      <c r="X13" s="356">
        <f ca="1">FGrpA!G48</f>
        <v>3</v>
      </c>
      <c r="Y13" s="356">
        <f ca="1">FGrpA!H48</f>
        <v>6</v>
      </c>
      <c r="Z13" s="357">
        <f ca="1">FGrpA!I48</f>
        <v>-3</v>
      </c>
      <c r="AA13" s="358">
        <f ca="1">FGrpA!J48</f>
        <v>0</v>
      </c>
      <c r="AC13" s="359" t="str">
        <f ca="1">FGrpA!K48</f>
        <v>Czechia</v>
      </c>
      <c r="AD13" s="360" t="str">
        <f ca="1">FGrpA!L48</f>
        <v>1-2</v>
      </c>
      <c r="AE13" s="360" t="str">
        <f ca="1">FGrpA!M48</f>
        <v>0-1</v>
      </c>
      <c r="AF13" s="360" t="str">
        <f ca="1">FGrpA!N48</f>
        <v>2-3</v>
      </c>
      <c r="AG13" s="361"/>
      <c r="AH13" s="362">
        <f t="shared" ca="1" si="6"/>
        <v>0</v>
      </c>
    </row>
    <row r="14" spans="1:34" ht="14.25" customHeight="1" x14ac:dyDescent="0.2">
      <c r="A14" s="422" t="s">
        <v>548</v>
      </c>
      <c r="B14" s="427">
        <v>46187</v>
      </c>
      <c r="C14" s="326">
        <v>8.3333333333333329E-2</v>
      </c>
      <c r="D14" s="327" t="str">
        <f t="shared" si="2"/>
        <v>C</v>
      </c>
      <c r="E14" s="100" t="str">
        <f t="shared" si="0"/>
        <v>Haiti</v>
      </c>
      <c r="F14" s="434">
        <f>IF(Poster!F14="",FResults!AB9,Poster!F14)</f>
        <v>0</v>
      </c>
      <c r="G14" s="328" t="str">
        <f>IF(Poster!G14="",FResults!AB9,Poster!G14)</f>
        <v>-</v>
      </c>
      <c r="H14" s="435">
        <f>IF(Poster!H14="",FResults!AC9,Poster!H14)</f>
        <v>1</v>
      </c>
      <c r="I14" s="101" t="str">
        <f t="shared" si="1"/>
        <v>Scotland</v>
      </c>
      <c r="J14" s="101" t="str">
        <f>Stadium7</f>
        <v>Boston Stadium</v>
      </c>
      <c r="K14" s="329" t="str">
        <f t="shared" si="3"/>
        <v>C</v>
      </c>
      <c r="L14" s="323" t="str">
        <f t="shared" si="4"/>
        <v>Scotland</v>
      </c>
      <c r="M14" s="324" t="str">
        <f t="shared" si="5"/>
        <v>Haiti</v>
      </c>
      <c r="N14" s="330">
        <f>Results!X9</f>
        <v>0.12571700000000002</v>
      </c>
      <c r="O14" s="330">
        <f>Results!Y9</f>
        <v>0.14256600000000003</v>
      </c>
      <c r="P14" s="330">
        <f>Results!Z9</f>
        <v>0.73171699999999995</v>
      </c>
      <c r="Q14" s="99"/>
      <c r="R14" s="97" t="s">
        <v>327</v>
      </c>
      <c r="T14" s="98"/>
      <c r="U14" s="98"/>
      <c r="V14" s="98"/>
      <c r="W14" s="98"/>
      <c r="X14" s="98"/>
      <c r="Y14" s="98"/>
      <c r="Z14" s="349"/>
      <c r="AA14" s="311"/>
      <c r="AD14" s="98"/>
      <c r="AE14" s="98"/>
      <c r="AF14" s="98"/>
      <c r="AG14" s="98"/>
      <c r="AH14" s="98"/>
    </row>
    <row r="15" spans="1:34" ht="14.25" customHeight="1" x14ac:dyDescent="0.2">
      <c r="A15" s="422" t="s">
        <v>549</v>
      </c>
      <c r="B15" s="427">
        <v>46187</v>
      </c>
      <c r="C15" s="326">
        <v>0.20833333333333334</v>
      </c>
      <c r="D15" s="327" t="str">
        <f t="shared" si="2"/>
        <v>D</v>
      </c>
      <c r="E15" s="100" t="str">
        <f t="shared" si="0"/>
        <v>Australia</v>
      </c>
      <c r="F15" s="434">
        <f>IF(Poster!F15="",FResults!AB10,Poster!F15)</f>
        <v>2</v>
      </c>
      <c r="G15" s="328" t="str">
        <f>IF(Poster!G15="",FResults!AB10,Poster!G15)</f>
        <v>-</v>
      </c>
      <c r="H15" s="435">
        <f>IF(Poster!H15="",FResults!AC10,Poster!H15)</f>
        <v>0</v>
      </c>
      <c r="I15" s="101" t="str">
        <f t="shared" si="1"/>
        <v>Turkiye</v>
      </c>
      <c r="J15" s="101" t="str">
        <f>Stadium2</f>
        <v>BC Place Vancouver</v>
      </c>
      <c r="K15" s="329" t="str">
        <f t="shared" si="3"/>
        <v>D</v>
      </c>
      <c r="L15" s="323" t="str">
        <f t="shared" si="4"/>
        <v>Australia</v>
      </c>
      <c r="M15" s="324" t="str">
        <f t="shared" si="5"/>
        <v>Turkiye</v>
      </c>
      <c r="N15" s="330">
        <f>Results!X10</f>
        <v>0.30371562499999999</v>
      </c>
      <c r="O15" s="330">
        <f>Results!Y10</f>
        <v>0.22756874999999993</v>
      </c>
      <c r="P15" s="330">
        <f>Results!Z10</f>
        <v>0.46871562500000008</v>
      </c>
      <c r="Q15" s="99"/>
      <c r="R15" s="331"/>
      <c r="S15" s="332" t="s">
        <v>312</v>
      </c>
      <c r="T15" s="333"/>
      <c r="U15" s="333"/>
      <c r="V15" s="333"/>
      <c r="W15" s="333"/>
      <c r="X15" s="333"/>
      <c r="Y15" s="333"/>
      <c r="Z15" s="334"/>
      <c r="AA15" s="335"/>
      <c r="AC15" s="363" t="str">
        <f>S15</f>
        <v>Group B</v>
      </c>
      <c r="AD15" s="364"/>
      <c r="AE15" s="364"/>
      <c r="AF15" s="364"/>
      <c r="AG15" s="364"/>
      <c r="AH15" s="365"/>
    </row>
    <row r="16" spans="1:34" ht="14.25" customHeight="1" x14ac:dyDescent="0.2">
      <c r="A16" s="422" t="s">
        <v>550</v>
      </c>
      <c r="B16" s="427">
        <v>46187</v>
      </c>
      <c r="C16" s="326">
        <v>0.75</v>
      </c>
      <c r="D16" s="327" t="str">
        <f t="shared" si="2"/>
        <v>E</v>
      </c>
      <c r="E16" s="100" t="str">
        <f t="shared" si="0"/>
        <v>Germany</v>
      </c>
      <c r="F16" s="434">
        <f>IF(Poster!F16="",FResults!AB11,Poster!F16)</f>
        <v>7</v>
      </c>
      <c r="G16" s="328" t="str">
        <f>IF(Poster!G16="",FResults!AB11,Poster!G16)</f>
        <v>-</v>
      </c>
      <c r="H16" s="435">
        <f>IF(Poster!H16="",FResults!AC11,Poster!H16)</f>
        <v>1</v>
      </c>
      <c r="I16" s="101" t="str">
        <f t="shared" si="1"/>
        <v>Curaçao</v>
      </c>
      <c r="J16" s="101" t="str">
        <f>Stadium9</f>
        <v>Houston Stadium</v>
      </c>
      <c r="K16" s="329" t="str">
        <f t="shared" si="3"/>
        <v>E</v>
      </c>
      <c r="L16" s="323" t="str">
        <f t="shared" si="4"/>
        <v>Germany</v>
      </c>
      <c r="M16" s="324" t="str">
        <f t="shared" si="5"/>
        <v>Curaçao</v>
      </c>
      <c r="N16" s="330">
        <f>Results!X11</f>
        <v>0.94393105205000005</v>
      </c>
      <c r="O16" s="330">
        <f>Results!Y11</f>
        <v>2.5717895899999954E-2</v>
      </c>
      <c r="P16" s="330">
        <f>Results!Z11</f>
        <v>3.0351052049999966E-2</v>
      </c>
      <c r="Q16" s="99"/>
      <c r="R16" s="339" t="s">
        <v>325</v>
      </c>
      <c r="S16" s="340" t="s">
        <v>310</v>
      </c>
      <c r="T16" s="341" t="s">
        <v>311</v>
      </c>
      <c r="U16" s="341" t="s">
        <v>305</v>
      </c>
      <c r="V16" s="341" t="s">
        <v>15</v>
      </c>
      <c r="W16" s="341" t="s">
        <v>306</v>
      </c>
      <c r="X16" s="341" t="s">
        <v>307</v>
      </c>
      <c r="Y16" s="341" t="s">
        <v>16</v>
      </c>
      <c r="Z16" s="342" t="s">
        <v>308</v>
      </c>
      <c r="AA16" s="343" t="s">
        <v>566</v>
      </c>
      <c r="AC16" s="344" t="s">
        <v>310</v>
      </c>
      <c r="AD16" s="345" t="str">
        <f ca="1">LEFT($AC17,3)</f>
        <v>Swi</v>
      </c>
      <c r="AE16" s="345" t="str">
        <f ca="1">LEFT($AC18,3)</f>
        <v>Can</v>
      </c>
      <c r="AF16" s="345" t="str">
        <f ca="1">LEFT($AC19,3)</f>
        <v>Qat</v>
      </c>
      <c r="AG16" s="345" t="str">
        <f ca="1">LEFT($AC20,3)</f>
        <v>Bos</v>
      </c>
      <c r="AH16" s="346" t="s">
        <v>566</v>
      </c>
    </row>
    <row r="17" spans="1:34" ht="14.25" customHeight="1" x14ac:dyDescent="0.2">
      <c r="A17" s="422" t="s">
        <v>551</v>
      </c>
      <c r="B17" s="427">
        <v>46187</v>
      </c>
      <c r="C17" s="326">
        <v>0.875</v>
      </c>
      <c r="D17" s="327" t="str">
        <f t="shared" si="2"/>
        <v>F</v>
      </c>
      <c r="E17" s="100" t="str">
        <f t="shared" si="0"/>
        <v>Netherlands</v>
      </c>
      <c r="F17" s="434">
        <f>IF(Poster!F17="",FResults!AB12,Poster!F17)</f>
        <v>2</v>
      </c>
      <c r="G17" s="328" t="str">
        <f>IF(Poster!G17="",FResults!AB12,Poster!G17)</f>
        <v>-</v>
      </c>
      <c r="H17" s="435">
        <f>IF(Poster!H17="",FResults!AC12,Poster!H17)</f>
        <v>2</v>
      </c>
      <c r="I17" s="101" t="str">
        <f t="shared" si="1"/>
        <v>Japan</v>
      </c>
      <c r="J17" s="101" t="str">
        <f>Stadium8</f>
        <v>Dallas Stadium</v>
      </c>
      <c r="K17" s="329" t="str">
        <f t="shared" si="3"/>
        <v>F</v>
      </c>
      <c r="L17" s="323" t="str">
        <f t="shared" si="4"/>
        <v>DNetherlands</v>
      </c>
      <c r="M17" s="324" t="str">
        <f t="shared" si="5"/>
        <v>DJapan</v>
      </c>
      <c r="N17" s="330">
        <f>Results!X12</f>
        <v>0.51421953124999997</v>
      </c>
      <c r="O17" s="330">
        <f>Results!Y12</f>
        <v>0.2190609375</v>
      </c>
      <c r="P17" s="330">
        <f>Results!Z12</f>
        <v>0.26671953125000003</v>
      </c>
      <c r="Q17" s="99"/>
      <c r="R17" s="347">
        <v>1</v>
      </c>
      <c r="S17" s="348" t="str">
        <f ca="1">FGrpB!B45</f>
        <v>Switzerland</v>
      </c>
      <c r="T17" s="98">
        <f>FGrpB!C45</f>
        <v>3</v>
      </c>
      <c r="U17" s="98">
        <f ca="1">FGrpB!D45</f>
        <v>2</v>
      </c>
      <c r="V17" s="98">
        <f ca="1">FGrpB!E45</f>
        <v>1</v>
      </c>
      <c r="W17" s="98">
        <f ca="1">FGrpB!F45</f>
        <v>0</v>
      </c>
      <c r="X17" s="98">
        <f ca="1">FGrpB!G45</f>
        <v>4</v>
      </c>
      <c r="Y17" s="98">
        <f ca="1">FGrpB!H45</f>
        <v>2</v>
      </c>
      <c r="Z17" s="349">
        <f ca="1">FGrpB!I45</f>
        <v>2</v>
      </c>
      <c r="AA17" s="350">
        <f ca="1">FGrpB!J45</f>
        <v>7</v>
      </c>
      <c r="AC17" s="351" t="str">
        <f ca="1">FGrpB!K45</f>
        <v>Switzerland</v>
      </c>
      <c r="AD17" s="352"/>
      <c r="AE17" s="353" t="str">
        <f ca="1">FGrpB!M45</f>
        <v>1-0</v>
      </c>
      <c r="AF17" s="353" t="str">
        <f ca="1">FGrpB!N45</f>
        <v>1-1</v>
      </c>
      <c r="AG17" s="353" t="str">
        <f ca="1">FGrpB!O45</f>
        <v>2-1</v>
      </c>
      <c r="AH17" s="354">
        <f ca="1">AA17</f>
        <v>7</v>
      </c>
    </row>
    <row r="18" spans="1:34" ht="14.25" customHeight="1" x14ac:dyDescent="0.2">
      <c r="A18" s="422" t="s">
        <v>552</v>
      </c>
      <c r="B18" s="427">
        <v>46188</v>
      </c>
      <c r="C18" s="326">
        <v>0</v>
      </c>
      <c r="D18" s="327" t="str">
        <f t="shared" si="2"/>
        <v>E</v>
      </c>
      <c r="E18" s="100" t="str">
        <f t="shared" si="0"/>
        <v>Cote d'Ivorie</v>
      </c>
      <c r="F18" s="434">
        <f>IF(Poster!F18="",FResults!AB13,Poster!F18)</f>
        <v>1</v>
      </c>
      <c r="G18" s="328" t="str">
        <f>IF(Poster!G18="",FResults!AB13,Poster!G18)</f>
        <v>-</v>
      </c>
      <c r="H18" s="435">
        <f>IF(Poster!H18="",FResults!AC13,Poster!H18)</f>
        <v>0</v>
      </c>
      <c r="I18" s="101" t="str">
        <f t="shared" si="1"/>
        <v>Ecuador</v>
      </c>
      <c r="J18" s="101" t="str">
        <f>Stadium14</f>
        <v>Philadelphia Stadium</v>
      </c>
      <c r="K18" s="329" t="str">
        <f t="shared" si="3"/>
        <v>E</v>
      </c>
      <c r="L18" s="323" t="str">
        <f t="shared" si="4"/>
        <v>Cote d'Ivorie</v>
      </c>
      <c r="M18" s="324" t="str">
        <f t="shared" si="5"/>
        <v>Ecuador</v>
      </c>
      <c r="N18" s="330">
        <f>Results!X13</f>
        <v>0.21187578125000001</v>
      </c>
      <c r="O18" s="330">
        <f>Results!Y13</f>
        <v>0.1987484375000001</v>
      </c>
      <c r="P18" s="330">
        <f>Results!Z13</f>
        <v>0.5893757812499999</v>
      </c>
      <c r="Q18" s="99"/>
      <c r="R18" s="347">
        <v>2</v>
      </c>
      <c r="S18" s="348" t="str">
        <f ca="1">FGrpB!B46</f>
        <v>Canada</v>
      </c>
      <c r="T18" s="98">
        <f>FGrpB!C46</f>
        <v>3</v>
      </c>
      <c r="U18" s="98">
        <f ca="1">FGrpB!D46</f>
        <v>1</v>
      </c>
      <c r="V18" s="98">
        <f ca="1">FGrpB!E46</f>
        <v>1</v>
      </c>
      <c r="W18" s="98">
        <f ca="1">FGrpB!F46</f>
        <v>1</v>
      </c>
      <c r="X18" s="98">
        <f ca="1">FGrpB!G46</f>
        <v>3</v>
      </c>
      <c r="Y18" s="98">
        <f ca="1">FGrpB!H46</f>
        <v>3</v>
      </c>
      <c r="Z18" s="349">
        <f ca="1">FGrpB!I46</f>
        <v>0</v>
      </c>
      <c r="AA18" s="350">
        <f ca="1">FGrpB!J46</f>
        <v>4</v>
      </c>
      <c r="AC18" s="351" t="str">
        <f ca="1">FGrpB!K46</f>
        <v>Canada</v>
      </c>
      <c r="AD18" s="353" t="str">
        <f ca="1">FGrpB!L46</f>
        <v>0-1</v>
      </c>
      <c r="AE18" s="352"/>
      <c r="AF18" s="353" t="str">
        <f ca="1">FGrpB!N46</f>
        <v>2-1</v>
      </c>
      <c r="AG18" s="353" t="str">
        <f ca="1">FGrpB!O46</f>
        <v>1-1</v>
      </c>
      <c r="AH18" s="354">
        <f ca="1">AA18</f>
        <v>4</v>
      </c>
    </row>
    <row r="19" spans="1:34" ht="14.25" customHeight="1" x14ac:dyDescent="0.2">
      <c r="A19" s="422" t="s">
        <v>553</v>
      </c>
      <c r="B19" s="427">
        <v>46188</v>
      </c>
      <c r="C19" s="326">
        <v>0.125</v>
      </c>
      <c r="D19" s="327" t="str">
        <f t="shared" si="2"/>
        <v>F</v>
      </c>
      <c r="E19" s="100" t="str">
        <f t="shared" si="0"/>
        <v>Sweden</v>
      </c>
      <c r="F19" s="434">
        <f>IF(Poster!F19="",FResults!AB14,Poster!F19)</f>
        <v>5</v>
      </c>
      <c r="G19" s="328" t="str">
        <f>IF(Poster!G19="",FResults!AB14,Poster!G19)</f>
        <v>-</v>
      </c>
      <c r="H19" s="435">
        <f>IF(Poster!H19="",FResults!AC14,Poster!H19)</f>
        <v>1</v>
      </c>
      <c r="I19" s="101" t="str">
        <f t="shared" si="1"/>
        <v>Tunisia</v>
      </c>
      <c r="J19" s="101" t="str">
        <f>Stadium5</f>
        <v>Estadio Monterrey</v>
      </c>
      <c r="K19" s="329" t="str">
        <f t="shared" si="3"/>
        <v>F</v>
      </c>
      <c r="L19" s="323" t="str">
        <f t="shared" si="4"/>
        <v>Sweden</v>
      </c>
      <c r="M19" s="324" t="str">
        <f t="shared" si="5"/>
        <v>Tunisia</v>
      </c>
      <c r="N19" s="330">
        <f>Results!X14</f>
        <v>0.46601249999999994</v>
      </c>
      <c r="O19" s="330">
        <f>Results!Y14</f>
        <v>0.22797500000000004</v>
      </c>
      <c r="P19" s="330">
        <f>Results!Z14</f>
        <v>0.30601250000000002</v>
      </c>
      <c r="Q19" s="99"/>
      <c r="R19" s="347">
        <v>3</v>
      </c>
      <c r="S19" s="348" t="str">
        <f ca="1">FGrpB!B47</f>
        <v>Qatar</v>
      </c>
      <c r="T19" s="98">
        <f>FGrpB!C47</f>
        <v>3</v>
      </c>
      <c r="U19" s="98">
        <f ca="1">FGrpB!D47</f>
        <v>0</v>
      </c>
      <c r="V19" s="98">
        <f ca="1">FGrpB!E47</f>
        <v>2</v>
      </c>
      <c r="W19" s="98">
        <f ca="1">FGrpB!F47</f>
        <v>1</v>
      </c>
      <c r="X19" s="98">
        <f ca="1">FGrpB!G47</f>
        <v>2</v>
      </c>
      <c r="Y19" s="98">
        <f ca="1">FGrpB!H47</f>
        <v>3</v>
      </c>
      <c r="Z19" s="349">
        <f ca="1">FGrpB!I47</f>
        <v>-1</v>
      </c>
      <c r="AA19" s="350">
        <f ca="1">FGrpB!J47</f>
        <v>2</v>
      </c>
      <c r="AC19" s="351" t="str">
        <f ca="1">FGrpB!K47</f>
        <v>Qatar</v>
      </c>
      <c r="AD19" s="353" t="str">
        <f ca="1">FGrpB!L47</f>
        <v>1-1</v>
      </c>
      <c r="AE19" s="353" t="str">
        <f ca="1">FGrpB!M47</f>
        <v>1-2</v>
      </c>
      <c r="AF19" s="352"/>
      <c r="AG19" s="353" t="str">
        <f ca="1">FGrpB!O47</f>
        <v>0-0</v>
      </c>
      <c r="AH19" s="354">
        <f ca="1">AA19</f>
        <v>2</v>
      </c>
    </row>
    <row r="20" spans="1:34" ht="14.25" customHeight="1" x14ac:dyDescent="0.2">
      <c r="A20" s="422" t="s">
        <v>554</v>
      </c>
      <c r="B20" s="427">
        <v>46188</v>
      </c>
      <c r="C20" s="326">
        <v>0.70833333333333337</v>
      </c>
      <c r="D20" s="327" t="str">
        <f t="shared" si="2"/>
        <v>H</v>
      </c>
      <c r="E20" s="100" t="str">
        <f t="shared" si="0"/>
        <v>Spain</v>
      </c>
      <c r="F20" s="434">
        <f>IF(Poster!F20="",FResults!AB15,Poster!F20)</f>
        <v>0</v>
      </c>
      <c r="G20" s="328" t="str">
        <f>IF(Poster!G20="",FResults!AB15,Poster!G20)</f>
        <v>-</v>
      </c>
      <c r="H20" s="435">
        <f>IF(Poster!H20="",FResults!AC15,Poster!H20)</f>
        <v>0</v>
      </c>
      <c r="I20" s="101" t="str">
        <f t="shared" si="1"/>
        <v>Cabo Verde</v>
      </c>
      <c r="J20" s="101" t="str">
        <f>Stadium6</f>
        <v>Atlanta Stadium</v>
      </c>
      <c r="K20" s="329" t="str">
        <f t="shared" si="3"/>
        <v>H</v>
      </c>
      <c r="L20" s="323" t="str">
        <f t="shared" si="4"/>
        <v>DSpain</v>
      </c>
      <c r="M20" s="324" t="str">
        <f t="shared" si="5"/>
        <v>DCabo Verde</v>
      </c>
      <c r="N20" s="330">
        <f>Results!X15</f>
        <v>0.937690625</v>
      </c>
      <c r="O20" s="330">
        <f>Results!Y15</f>
        <v>2.9618750000000027E-2</v>
      </c>
      <c r="P20" s="330">
        <f>Results!Z15</f>
        <v>3.2690625000000001E-2</v>
      </c>
      <c r="Q20" s="99"/>
      <c r="R20" s="347">
        <v>4</v>
      </c>
      <c r="S20" s="355" t="str">
        <f ca="1">FGrpB!B48</f>
        <v>Bosnia-Herzegovina</v>
      </c>
      <c r="T20" s="356">
        <f>FGrpB!C48</f>
        <v>3</v>
      </c>
      <c r="U20" s="356">
        <f ca="1">FGrpB!D48</f>
        <v>0</v>
      </c>
      <c r="V20" s="356">
        <f ca="1">FGrpB!E48</f>
        <v>2</v>
      </c>
      <c r="W20" s="356">
        <f ca="1">FGrpB!F48</f>
        <v>1</v>
      </c>
      <c r="X20" s="356">
        <f ca="1">FGrpB!G48</f>
        <v>2</v>
      </c>
      <c r="Y20" s="356">
        <f ca="1">FGrpB!H48</f>
        <v>3</v>
      </c>
      <c r="Z20" s="357">
        <f ca="1">FGrpB!I48</f>
        <v>-1</v>
      </c>
      <c r="AA20" s="358">
        <f ca="1">FGrpB!J48</f>
        <v>2</v>
      </c>
      <c r="AC20" s="359" t="str">
        <f ca="1">FGrpB!K48</f>
        <v>Bosnia-Herzegovina</v>
      </c>
      <c r="AD20" s="360" t="str">
        <f ca="1">FGrpB!L48</f>
        <v>1-2</v>
      </c>
      <c r="AE20" s="360" t="str">
        <f ca="1">FGrpB!M48</f>
        <v>1-1</v>
      </c>
      <c r="AF20" s="360" t="str">
        <f ca="1">FGrpB!N48</f>
        <v>0-0</v>
      </c>
      <c r="AG20" s="361"/>
      <c r="AH20" s="362">
        <f ca="1">AA20</f>
        <v>2</v>
      </c>
    </row>
    <row r="21" spans="1:34" ht="14.25" customHeight="1" x14ac:dyDescent="0.2">
      <c r="A21" s="422" t="s">
        <v>555</v>
      </c>
      <c r="B21" s="427">
        <v>46188</v>
      </c>
      <c r="C21" s="326">
        <v>0.83333333333333337</v>
      </c>
      <c r="D21" s="327" t="str">
        <f t="shared" si="2"/>
        <v>G</v>
      </c>
      <c r="E21" s="100" t="str">
        <f t="shared" si="0"/>
        <v>Belgium</v>
      </c>
      <c r="F21" s="434">
        <f>IF(Poster!F21="",FResults!AB16,Poster!F21)</f>
        <v>1</v>
      </c>
      <c r="G21" s="328" t="str">
        <f>IF(Poster!G21="",FResults!AB16,Poster!G21)</f>
        <v>-</v>
      </c>
      <c r="H21" s="435">
        <f>IF(Poster!H21="",FResults!AC16,Poster!H21)</f>
        <v>1</v>
      </c>
      <c r="I21" s="101" t="str">
        <f t="shared" si="1"/>
        <v>Egypt</v>
      </c>
      <c r="J21" s="101" t="str">
        <f>Stadium16</f>
        <v>Seattle Stadium</v>
      </c>
      <c r="K21" s="329" t="str">
        <f t="shared" si="3"/>
        <v>G</v>
      </c>
      <c r="L21" s="323" t="str">
        <f t="shared" si="4"/>
        <v>DBelgium</v>
      </c>
      <c r="M21" s="324" t="str">
        <f t="shared" si="5"/>
        <v>DEgypt</v>
      </c>
      <c r="N21" s="330">
        <f>Results!X16</f>
        <v>0.64199556419999992</v>
      </c>
      <c r="O21" s="330">
        <f>Results!Y16</f>
        <v>0.1804488716</v>
      </c>
      <c r="P21" s="330">
        <f>Results!Z16</f>
        <v>0.17755556420000007</v>
      </c>
      <c r="Q21" s="99"/>
      <c r="T21" s="98"/>
      <c r="U21" s="98"/>
      <c r="V21" s="98"/>
      <c r="W21" s="98"/>
      <c r="X21" s="98"/>
      <c r="Y21" s="98"/>
      <c r="Z21" s="349"/>
      <c r="AA21" s="311"/>
      <c r="AD21" s="98"/>
      <c r="AE21" s="98"/>
      <c r="AF21" s="98"/>
      <c r="AG21" s="98"/>
      <c r="AH21" s="98"/>
    </row>
    <row r="22" spans="1:34" ht="14.25" customHeight="1" x14ac:dyDescent="0.2">
      <c r="A22" s="422" t="s">
        <v>556</v>
      </c>
      <c r="B22" s="427">
        <v>46188</v>
      </c>
      <c r="C22" s="326">
        <v>0.95833333333333337</v>
      </c>
      <c r="D22" s="327" t="str">
        <f t="shared" si="2"/>
        <v>H</v>
      </c>
      <c r="E22" s="100" t="str">
        <f t="shared" si="0"/>
        <v>Saudi Arabia</v>
      </c>
      <c r="F22" s="434">
        <f>IF(Poster!F22="",FResults!AB17,Poster!F22)</f>
        <v>1</v>
      </c>
      <c r="G22" s="328" t="str">
        <f>IF(Poster!G22="",FResults!AB17,Poster!G22)</f>
        <v>-</v>
      </c>
      <c r="H22" s="435">
        <f>IF(Poster!H22="",FResults!AC17,Poster!H22)</f>
        <v>1</v>
      </c>
      <c r="I22" s="101" t="str">
        <f t="shared" si="1"/>
        <v>Uruguay</v>
      </c>
      <c r="J22" s="101" t="str">
        <f>Stadium12</f>
        <v>Miami Stadium</v>
      </c>
      <c r="K22" s="329" t="str">
        <f t="shared" si="3"/>
        <v>H</v>
      </c>
      <c r="L22" s="323" t="str">
        <f t="shared" si="4"/>
        <v>DSaudi Arabia</v>
      </c>
      <c r="M22" s="324" t="str">
        <f t="shared" si="5"/>
        <v>DUruguay</v>
      </c>
      <c r="N22" s="330">
        <f>Results!X17</f>
        <v>0.11960835619999999</v>
      </c>
      <c r="O22" s="330">
        <f>Results!Y17</f>
        <v>0.13714328759999994</v>
      </c>
      <c r="P22" s="330">
        <f>Results!Z17</f>
        <v>0.74324835620000007</v>
      </c>
      <c r="Q22" s="99"/>
      <c r="R22" s="331"/>
      <c r="S22" s="332" t="s">
        <v>313</v>
      </c>
      <c r="T22" s="333"/>
      <c r="U22" s="333"/>
      <c r="V22" s="333"/>
      <c r="W22" s="333"/>
      <c r="X22" s="333"/>
      <c r="Y22" s="333"/>
      <c r="Z22" s="334"/>
      <c r="AA22" s="335"/>
      <c r="AC22" s="336" t="str">
        <f>S22</f>
        <v>Group C</v>
      </c>
      <c r="AD22" s="337"/>
      <c r="AE22" s="337"/>
      <c r="AF22" s="337"/>
      <c r="AG22" s="337"/>
      <c r="AH22" s="338"/>
    </row>
    <row r="23" spans="1:34" ht="14.25" customHeight="1" x14ac:dyDescent="0.2">
      <c r="A23" s="422" t="s">
        <v>557</v>
      </c>
      <c r="B23" s="427">
        <v>46189</v>
      </c>
      <c r="C23" s="326">
        <v>8.3333333333333329E-2</v>
      </c>
      <c r="D23" s="327" t="str">
        <f t="shared" si="2"/>
        <v>G</v>
      </c>
      <c r="E23" s="100" t="str">
        <f t="shared" si="0"/>
        <v>IR Iran</v>
      </c>
      <c r="F23" s="434">
        <f>IF(Poster!F23="",FResults!AB18,Poster!F23)</f>
        <v>2</v>
      </c>
      <c r="G23" s="328" t="str">
        <f>IF(Poster!G23="",FResults!AB18,Poster!G23)</f>
        <v>-</v>
      </c>
      <c r="H23" s="435">
        <f>IF(Poster!H23="",FResults!AC18,Poster!H23)</f>
        <v>2</v>
      </c>
      <c r="I23" s="101" t="str">
        <f t="shared" si="1"/>
        <v>New Zealand</v>
      </c>
      <c r="J23" s="101" t="str">
        <f>Stadium11</f>
        <v>Los Angeles Stadium</v>
      </c>
      <c r="K23" s="329" t="str">
        <f t="shared" si="3"/>
        <v>G</v>
      </c>
      <c r="L23" s="323" t="str">
        <f t="shared" si="4"/>
        <v>DIR Iran</v>
      </c>
      <c r="M23" s="324" t="str">
        <f t="shared" si="5"/>
        <v>DNew Zealand</v>
      </c>
      <c r="N23" s="330">
        <f>Results!X18</f>
        <v>0.79744062500000001</v>
      </c>
      <c r="O23" s="330">
        <f>Results!Y18</f>
        <v>0.11011874999999993</v>
      </c>
      <c r="P23" s="330">
        <f>Results!Z18</f>
        <v>9.2440625000000012E-2</v>
      </c>
      <c r="Q23" s="99"/>
      <c r="R23" s="339" t="s">
        <v>325</v>
      </c>
      <c r="S23" s="340" t="s">
        <v>310</v>
      </c>
      <c r="T23" s="341" t="s">
        <v>311</v>
      </c>
      <c r="U23" s="341" t="s">
        <v>305</v>
      </c>
      <c r="V23" s="341" t="s">
        <v>15</v>
      </c>
      <c r="W23" s="341" t="s">
        <v>306</v>
      </c>
      <c r="X23" s="341" t="s">
        <v>307</v>
      </c>
      <c r="Y23" s="341" t="s">
        <v>16</v>
      </c>
      <c r="Z23" s="342" t="s">
        <v>308</v>
      </c>
      <c r="AA23" s="343" t="s">
        <v>566</v>
      </c>
      <c r="AC23" s="344" t="s">
        <v>310</v>
      </c>
      <c r="AD23" s="345" t="str">
        <f ca="1">LEFT($AC24,3)</f>
        <v>Mor</v>
      </c>
      <c r="AE23" s="345" t="str">
        <f ca="1">LEFT($AC25,3)</f>
        <v>Bra</v>
      </c>
      <c r="AF23" s="345" t="str">
        <f ca="1">LEFT($AC26,3)</f>
        <v>Sco</v>
      </c>
      <c r="AG23" s="345" t="str">
        <f ca="1">LEFT($AC27,3)</f>
        <v>Hai</v>
      </c>
      <c r="AH23" s="346" t="s">
        <v>566</v>
      </c>
    </row>
    <row r="24" spans="1:34" ht="14.25" customHeight="1" x14ac:dyDescent="0.2">
      <c r="A24" s="422" t="s">
        <v>558</v>
      </c>
      <c r="B24" s="427">
        <v>46189</v>
      </c>
      <c r="C24" s="326">
        <v>0.83333333333333337</v>
      </c>
      <c r="D24" s="327" t="str">
        <f t="shared" si="2"/>
        <v>I</v>
      </c>
      <c r="E24" s="100" t="str">
        <f t="shared" si="0"/>
        <v>France</v>
      </c>
      <c r="F24" s="434">
        <f ca="1">IF(Poster!F24="",FResults!AB19,Poster!F24)</f>
        <v>1</v>
      </c>
      <c r="G24" s="328" t="str">
        <f>IF(Poster!G24="",FResults!AB19,Poster!G24)</f>
        <v>-</v>
      </c>
      <c r="H24" s="435">
        <f ca="1">IF(Poster!H24="",FResults!AC19,Poster!H24)</f>
        <v>1</v>
      </c>
      <c r="I24" s="101" t="str">
        <f t="shared" si="1"/>
        <v>Senegal</v>
      </c>
      <c r="J24" s="101" t="str">
        <f>Stadium13</f>
        <v>MetLife Stadium</v>
      </c>
      <c r="K24" s="329" t="str">
        <f t="shared" si="3"/>
        <v>I</v>
      </c>
      <c r="L24" s="323" t="str">
        <f t="shared" ca="1" si="4"/>
        <v>DFrance</v>
      </c>
      <c r="M24" s="324" t="str">
        <f t="shared" ca="1" si="5"/>
        <v>DSenegal</v>
      </c>
      <c r="N24" s="330">
        <f>Results!X19</f>
        <v>0.63006562500000007</v>
      </c>
      <c r="O24" s="330">
        <f>Results!Y19</f>
        <v>0.18486874999999992</v>
      </c>
      <c r="P24" s="330">
        <f>Results!Z19</f>
        <v>0.18506562499999996</v>
      </c>
      <c r="Q24" s="99"/>
      <c r="R24" s="347">
        <v>1</v>
      </c>
      <c r="S24" s="348" t="str">
        <f ca="1">FGrpC!B45</f>
        <v>Morocco</v>
      </c>
      <c r="T24" s="98">
        <f>FGrpC!C45</f>
        <v>3</v>
      </c>
      <c r="U24" s="98">
        <f ca="1">FGrpC!D45</f>
        <v>2</v>
      </c>
      <c r="V24" s="98">
        <f ca="1">FGrpC!E45</f>
        <v>1</v>
      </c>
      <c r="W24" s="98">
        <f ca="1">FGrpC!F45</f>
        <v>0</v>
      </c>
      <c r="X24" s="98">
        <f ca="1">FGrpC!G45</f>
        <v>6</v>
      </c>
      <c r="Y24" s="98">
        <f ca="1">FGrpC!H45</f>
        <v>2</v>
      </c>
      <c r="Z24" s="349">
        <f ca="1">FGrpC!I45</f>
        <v>4</v>
      </c>
      <c r="AA24" s="350">
        <f ca="1">FGrpC!J45</f>
        <v>7</v>
      </c>
      <c r="AC24" s="351" t="str">
        <f ca="1">FGrpC!K45</f>
        <v>Morocco</v>
      </c>
      <c r="AD24" s="352"/>
      <c r="AE24" s="353" t="str">
        <f ca="1">FGrpC!M45</f>
        <v>1-1</v>
      </c>
      <c r="AF24" s="353" t="str">
        <f ca="1">FGrpC!N45</f>
        <v>2-1</v>
      </c>
      <c r="AG24" s="353" t="str">
        <f ca="1">FGrpC!O45</f>
        <v>3-0</v>
      </c>
      <c r="AH24" s="354">
        <f ca="1">AA24</f>
        <v>7</v>
      </c>
    </row>
    <row r="25" spans="1:34" ht="14.25" customHeight="1" x14ac:dyDescent="0.2">
      <c r="A25" s="422" t="s">
        <v>559</v>
      </c>
      <c r="B25" s="427">
        <v>46189</v>
      </c>
      <c r="C25" s="326">
        <v>0.95833333333333337</v>
      </c>
      <c r="D25" s="327" t="str">
        <f t="shared" si="2"/>
        <v>I</v>
      </c>
      <c r="E25" s="100" t="str">
        <f t="shared" si="0"/>
        <v>Iraq</v>
      </c>
      <c r="F25" s="434">
        <f ca="1">IF(Poster!F25="",FResults!AB20,Poster!F25)</f>
        <v>1</v>
      </c>
      <c r="G25" s="328" t="str">
        <f>IF(Poster!G25="",FResults!AB20,Poster!G25)</f>
        <v>-</v>
      </c>
      <c r="H25" s="435">
        <f ca="1">IF(Poster!H25="",FResults!AC20,Poster!H25)</f>
        <v>1</v>
      </c>
      <c r="I25" s="101" t="str">
        <f t="shared" si="1"/>
        <v>Norway</v>
      </c>
      <c r="J25" s="101" t="str">
        <f>Stadium7</f>
        <v>Boston Stadium</v>
      </c>
      <c r="K25" s="329" t="str">
        <f t="shared" si="3"/>
        <v>I</v>
      </c>
      <c r="L25" s="323" t="str">
        <f t="shared" ca="1" si="4"/>
        <v>DIraq</v>
      </c>
      <c r="M25" s="324" t="str">
        <f t="shared" ca="1" si="5"/>
        <v>DNorway</v>
      </c>
      <c r="N25" s="330">
        <f>Results!X20</f>
        <v>0.16323061605</v>
      </c>
      <c r="O25" s="330">
        <f>Results!Y20</f>
        <v>0.1713187679</v>
      </c>
      <c r="P25" s="330">
        <f>Results!Z20</f>
        <v>0.66545061605</v>
      </c>
      <c r="Q25" s="99"/>
      <c r="R25" s="347">
        <v>2</v>
      </c>
      <c r="S25" s="348" t="str">
        <f ca="1">FGrpC!B46</f>
        <v>Brazil</v>
      </c>
      <c r="T25" s="98">
        <f>FGrpC!C46</f>
        <v>3</v>
      </c>
      <c r="U25" s="98">
        <f ca="1">FGrpC!D46</f>
        <v>2</v>
      </c>
      <c r="V25" s="98">
        <f ca="1">FGrpC!E46</f>
        <v>1</v>
      </c>
      <c r="W25" s="98">
        <f ca="1">FGrpC!F46</f>
        <v>0</v>
      </c>
      <c r="X25" s="98">
        <f ca="1">FGrpC!G46</f>
        <v>5</v>
      </c>
      <c r="Y25" s="98">
        <f ca="1">FGrpC!H46</f>
        <v>3</v>
      </c>
      <c r="Z25" s="349">
        <f ca="1">FGrpC!I46</f>
        <v>2</v>
      </c>
      <c r="AA25" s="350">
        <f ca="1">FGrpC!J46</f>
        <v>7</v>
      </c>
      <c r="AC25" s="351" t="str">
        <f ca="1">FGrpC!K46</f>
        <v>Brazil</v>
      </c>
      <c r="AD25" s="353" t="str">
        <f ca="1">FGrpC!L46</f>
        <v>1-1</v>
      </c>
      <c r="AE25" s="352"/>
      <c r="AF25" s="353" t="str">
        <f ca="1">FGrpC!N46</f>
        <v>1-0</v>
      </c>
      <c r="AG25" s="353" t="str">
        <f ca="1">FGrpC!O46</f>
        <v>3-2</v>
      </c>
      <c r="AH25" s="354">
        <f ca="1">AA25</f>
        <v>7</v>
      </c>
    </row>
    <row r="26" spans="1:34" ht="14.25" customHeight="1" x14ac:dyDescent="0.2">
      <c r="A26" s="422" t="s">
        <v>560</v>
      </c>
      <c r="B26" s="427">
        <v>46190</v>
      </c>
      <c r="C26" s="326">
        <v>8.3333333333333329E-2</v>
      </c>
      <c r="D26" s="327" t="str">
        <f t="shared" si="2"/>
        <v>J</v>
      </c>
      <c r="E26" s="100" t="str">
        <f t="shared" si="0"/>
        <v>Argentina</v>
      </c>
      <c r="F26" s="434">
        <f ca="1">IF(Poster!F26="",FResults!AB21,Poster!F26)</f>
        <v>4</v>
      </c>
      <c r="G26" s="328" t="str">
        <f>IF(Poster!G26="",FResults!AB21,Poster!G26)</f>
        <v>-</v>
      </c>
      <c r="H26" s="435">
        <f ca="1">IF(Poster!H26="",FResults!AC21,Poster!H26)</f>
        <v>1</v>
      </c>
      <c r="I26" s="101" t="str">
        <f t="shared" si="1"/>
        <v>Algeria</v>
      </c>
      <c r="J26" s="101" t="str">
        <f>Stadium10</f>
        <v>Kansas City Stadium</v>
      </c>
      <c r="K26" s="329" t="str">
        <f t="shared" si="3"/>
        <v>J</v>
      </c>
      <c r="L26" s="323" t="str">
        <f t="shared" ca="1" si="4"/>
        <v>Argentina</v>
      </c>
      <c r="M26" s="324" t="str">
        <f t="shared" ca="1" si="5"/>
        <v>Algeria</v>
      </c>
      <c r="N26" s="330">
        <f>Results!X21</f>
        <v>0.68081384444999993</v>
      </c>
      <c r="O26" s="330">
        <f>Results!Y21</f>
        <v>0.16503231110000005</v>
      </c>
      <c r="P26" s="330">
        <f>Results!Z21</f>
        <v>0.15415384445000005</v>
      </c>
      <c r="Q26" s="99"/>
      <c r="R26" s="347">
        <v>3</v>
      </c>
      <c r="S26" s="348" t="str">
        <f ca="1">FGrpC!B47</f>
        <v>Scotland</v>
      </c>
      <c r="T26" s="98">
        <f>FGrpC!C47</f>
        <v>3</v>
      </c>
      <c r="U26" s="98">
        <f ca="1">FGrpC!D47</f>
        <v>1</v>
      </c>
      <c r="V26" s="98">
        <f ca="1">FGrpC!E47</f>
        <v>0</v>
      </c>
      <c r="W26" s="98">
        <f ca="1">FGrpC!F47</f>
        <v>2</v>
      </c>
      <c r="X26" s="98">
        <f ca="1">FGrpC!G47</f>
        <v>2</v>
      </c>
      <c r="Y26" s="98">
        <f ca="1">FGrpC!H47</f>
        <v>3</v>
      </c>
      <c r="Z26" s="349">
        <f ca="1">FGrpC!I47</f>
        <v>-1</v>
      </c>
      <c r="AA26" s="350">
        <f ca="1">FGrpC!J47</f>
        <v>3</v>
      </c>
      <c r="AC26" s="351" t="str">
        <f ca="1">FGrpC!K47</f>
        <v>Scotland</v>
      </c>
      <c r="AD26" s="353" t="str">
        <f ca="1">FGrpC!L47</f>
        <v>1-2</v>
      </c>
      <c r="AE26" s="353" t="str">
        <f ca="1">FGrpC!M47</f>
        <v>0-1</v>
      </c>
      <c r="AF26" s="352"/>
      <c r="AG26" s="353" t="str">
        <f ca="1">FGrpC!O47</f>
        <v>1-0</v>
      </c>
      <c r="AH26" s="354">
        <f ca="1">AA26</f>
        <v>3</v>
      </c>
    </row>
    <row r="27" spans="1:34" ht="14.25" customHeight="1" x14ac:dyDescent="0.2">
      <c r="A27" s="422" t="s">
        <v>561</v>
      </c>
      <c r="B27" s="427">
        <v>46190</v>
      </c>
      <c r="C27" s="326">
        <v>0.20833333333333334</v>
      </c>
      <c r="D27" s="327" t="str">
        <f t="shared" si="2"/>
        <v>J</v>
      </c>
      <c r="E27" s="100" t="str">
        <f t="shared" si="0"/>
        <v>Austria</v>
      </c>
      <c r="F27" s="434">
        <f ca="1">IF(Poster!F27="",FResults!AB22,Poster!F27)</f>
        <v>3</v>
      </c>
      <c r="G27" s="328" t="str">
        <f>IF(Poster!G27="",FResults!AB22,Poster!G27)</f>
        <v>-</v>
      </c>
      <c r="H27" s="435">
        <f ca="1">IF(Poster!H27="",FResults!AC22,Poster!H27)</f>
        <v>1</v>
      </c>
      <c r="I27" s="101" t="str">
        <f t="shared" si="1"/>
        <v>Jordan</v>
      </c>
      <c r="J27" s="101" t="str">
        <f>Stadium15</f>
        <v>San Franciso Bay Stadium</v>
      </c>
      <c r="K27" s="329" t="str">
        <f t="shared" si="3"/>
        <v>J</v>
      </c>
      <c r="L27" s="323" t="str">
        <f t="shared" ca="1" si="4"/>
        <v>Austria</v>
      </c>
      <c r="M27" s="324" t="str">
        <f t="shared" ca="1" si="5"/>
        <v>Jordan</v>
      </c>
      <c r="N27" s="330">
        <f>Results!X22</f>
        <v>0.70585700000000007</v>
      </c>
      <c r="O27" s="330">
        <f>Results!Y22</f>
        <v>0.15428600000000003</v>
      </c>
      <c r="P27" s="330">
        <f>Results!Z22</f>
        <v>0.13985699999999995</v>
      </c>
      <c r="Q27" s="99"/>
      <c r="R27" s="347">
        <v>4</v>
      </c>
      <c r="S27" s="355" t="str">
        <f ca="1">FGrpC!B48</f>
        <v>Haiti</v>
      </c>
      <c r="T27" s="356">
        <f>FGrpC!C48</f>
        <v>3</v>
      </c>
      <c r="U27" s="356">
        <f ca="1">FGrpC!D48</f>
        <v>0</v>
      </c>
      <c r="V27" s="356">
        <f ca="1">FGrpC!E48</f>
        <v>0</v>
      </c>
      <c r="W27" s="356">
        <f ca="1">FGrpC!F48</f>
        <v>3</v>
      </c>
      <c r="X27" s="356">
        <f ca="1">FGrpC!G48</f>
        <v>2</v>
      </c>
      <c r="Y27" s="356">
        <f ca="1">FGrpC!H48</f>
        <v>7</v>
      </c>
      <c r="Z27" s="357">
        <f ca="1">FGrpC!I48</f>
        <v>-5</v>
      </c>
      <c r="AA27" s="358">
        <f ca="1">FGrpC!J48</f>
        <v>0</v>
      </c>
      <c r="AC27" s="359" t="str">
        <f ca="1">FGrpC!K48</f>
        <v>Haiti</v>
      </c>
      <c r="AD27" s="360" t="str">
        <f ca="1">FGrpC!L48</f>
        <v>0-3</v>
      </c>
      <c r="AE27" s="360" t="str">
        <f ca="1">FGrpC!M48</f>
        <v>2-3</v>
      </c>
      <c r="AF27" s="360" t="str">
        <f ca="1">FGrpC!N48</f>
        <v>0-1</v>
      </c>
      <c r="AG27" s="361"/>
      <c r="AH27" s="362">
        <f ca="1">AA27</f>
        <v>0</v>
      </c>
    </row>
    <row r="28" spans="1:34" ht="14.25" customHeight="1" x14ac:dyDescent="0.2">
      <c r="A28" s="422" t="s">
        <v>562</v>
      </c>
      <c r="B28" s="427">
        <v>46190</v>
      </c>
      <c r="C28" s="326">
        <v>0.75</v>
      </c>
      <c r="D28" s="327" t="str">
        <f t="shared" si="2"/>
        <v>K</v>
      </c>
      <c r="E28" s="100" t="str">
        <f t="shared" si="0"/>
        <v>Portugal</v>
      </c>
      <c r="F28" s="434">
        <f ca="1">IF(Poster!F28="",FResults!AB23,Poster!F28)</f>
        <v>2</v>
      </c>
      <c r="G28" s="328" t="str">
        <f>IF(Poster!G28="",FResults!AB23,Poster!G28)</f>
        <v>-</v>
      </c>
      <c r="H28" s="435">
        <f ca="1">IF(Poster!H28="",FResults!AC23,Poster!H28)</f>
        <v>1</v>
      </c>
      <c r="I28" s="101" t="str">
        <f t="shared" si="1"/>
        <v>Congo DR</v>
      </c>
      <c r="J28" s="101" t="str">
        <f>Stadium9</f>
        <v>Houston Stadium</v>
      </c>
      <c r="K28" s="329" t="str">
        <f t="shared" si="3"/>
        <v>K</v>
      </c>
      <c r="L28" s="323" t="str">
        <f t="shared" ca="1" si="4"/>
        <v>Portugal</v>
      </c>
      <c r="M28" s="324" t="str">
        <f t="shared" ca="1" si="5"/>
        <v>Congo DR</v>
      </c>
      <c r="N28" s="330">
        <f>Results!X23</f>
        <v>0.82970691124999996</v>
      </c>
      <c r="O28" s="330">
        <f>Results!Y23</f>
        <v>9.2886177500000056E-2</v>
      </c>
      <c r="P28" s="330">
        <f>Results!Z23</f>
        <v>7.7406911250000043E-2</v>
      </c>
      <c r="Q28" s="99"/>
      <c r="T28" s="98"/>
      <c r="U28" s="98"/>
      <c r="V28" s="98"/>
      <c r="W28" s="98"/>
      <c r="X28" s="98"/>
      <c r="Y28" s="98"/>
      <c r="Z28" s="349"/>
      <c r="AA28" s="311"/>
      <c r="AD28" s="98"/>
      <c r="AE28" s="98"/>
      <c r="AF28" s="98"/>
      <c r="AG28" s="98"/>
      <c r="AH28" s="98"/>
    </row>
    <row r="29" spans="1:34" ht="14.25" customHeight="1" x14ac:dyDescent="0.2">
      <c r="A29" s="422" t="s">
        <v>563</v>
      </c>
      <c r="B29" s="427">
        <v>46190</v>
      </c>
      <c r="C29" s="326">
        <v>0.875</v>
      </c>
      <c r="D29" s="327" t="str">
        <f t="shared" si="2"/>
        <v>L</v>
      </c>
      <c r="E29" s="100" t="str">
        <f t="shared" si="0"/>
        <v>England</v>
      </c>
      <c r="F29" s="434">
        <f ca="1">IF(Poster!F29="",FResults!AB24,Poster!F29)</f>
        <v>3</v>
      </c>
      <c r="G29" s="328" t="str">
        <f>IF(Poster!G29="",FResults!AB24,Poster!G29)</f>
        <v>-</v>
      </c>
      <c r="H29" s="435">
        <f ca="1">IF(Poster!H29="",FResults!AC24,Poster!H29)</f>
        <v>0</v>
      </c>
      <c r="I29" s="101" t="str">
        <f t="shared" si="1"/>
        <v>Croatia</v>
      </c>
      <c r="J29" s="101" t="str">
        <f>Stadium8</f>
        <v>Dallas Stadium</v>
      </c>
      <c r="K29" s="329" t="str">
        <f t="shared" si="3"/>
        <v>L</v>
      </c>
      <c r="L29" s="323" t="str">
        <f t="shared" ca="1" si="4"/>
        <v>England</v>
      </c>
      <c r="M29" s="324" t="str">
        <f t="shared" ca="1" si="5"/>
        <v>Croatia</v>
      </c>
      <c r="N29" s="330">
        <f>Results!X24</f>
        <v>0.54570802244999994</v>
      </c>
      <c r="O29" s="330">
        <f>Results!Y24</f>
        <v>0.21144395510000003</v>
      </c>
      <c r="P29" s="330">
        <f>Results!Z24</f>
        <v>0.24284802245000003</v>
      </c>
      <c r="Q29" s="99"/>
      <c r="R29" s="331"/>
      <c r="S29" s="332" t="s">
        <v>314</v>
      </c>
      <c r="T29" s="333"/>
      <c r="U29" s="333"/>
      <c r="V29" s="333"/>
      <c r="W29" s="333"/>
      <c r="X29" s="333"/>
      <c r="Y29" s="333"/>
      <c r="Z29" s="334"/>
      <c r="AA29" s="335"/>
      <c r="AC29" s="336" t="str">
        <f>S29</f>
        <v>Group D</v>
      </c>
      <c r="AD29" s="337"/>
      <c r="AE29" s="337"/>
      <c r="AF29" s="337"/>
      <c r="AG29" s="337"/>
      <c r="AH29" s="338"/>
    </row>
    <row r="30" spans="1:34" ht="14.25" customHeight="1" x14ac:dyDescent="0.2">
      <c r="A30" s="422" t="s">
        <v>564</v>
      </c>
      <c r="B30" s="427">
        <v>46191</v>
      </c>
      <c r="C30" s="326">
        <v>0</v>
      </c>
      <c r="D30" s="327" t="str">
        <f t="shared" si="2"/>
        <v>L</v>
      </c>
      <c r="E30" s="100" t="str">
        <f t="shared" si="0"/>
        <v>Ghana</v>
      </c>
      <c r="F30" s="434">
        <f ca="1">IF(Poster!F30="",FResults!AB25,Poster!F30)</f>
        <v>0</v>
      </c>
      <c r="G30" s="328" t="str">
        <f>IF(Poster!G30="",FResults!AB25,Poster!G30)</f>
        <v>-</v>
      </c>
      <c r="H30" s="435">
        <f ca="1">IF(Poster!H30="",FResults!AC25,Poster!H30)</f>
        <v>1</v>
      </c>
      <c r="I30" s="101" t="str">
        <f t="shared" si="1"/>
        <v>Panama</v>
      </c>
      <c r="J30" s="101" t="str">
        <f>Stadium1</f>
        <v>Toronto Stadium</v>
      </c>
      <c r="K30" s="329" t="str">
        <f t="shared" si="3"/>
        <v>L</v>
      </c>
      <c r="L30" s="323" t="str">
        <f t="shared" ca="1" si="4"/>
        <v>Panama</v>
      </c>
      <c r="M30" s="324" t="str">
        <f t="shared" ca="1" si="5"/>
        <v>Ghana</v>
      </c>
      <c r="N30" s="330">
        <f>Results!X25</f>
        <v>0.22830078124999997</v>
      </c>
      <c r="O30" s="330">
        <f>Results!Y25</f>
        <v>0.20589843750000003</v>
      </c>
      <c r="P30" s="330">
        <f>Results!Z25</f>
        <v>0.56580078125</v>
      </c>
      <c r="Q30" s="99"/>
      <c r="R30" s="339" t="s">
        <v>325</v>
      </c>
      <c r="S30" s="340" t="s">
        <v>310</v>
      </c>
      <c r="T30" s="341" t="s">
        <v>311</v>
      </c>
      <c r="U30" s="341" t="s">
        <v>305</v>
      </c>
      <c r="V30" s="341" t="s">
        <v>15</v>
      </c>
      <c r="W30" s="341" t="s">
        <v>306</v>
      </c>
      <c r="X30" s="341" t="s">
        <v>307</v>
      </c>
      <c r="Y30" s="341" t="s">
        <v>16</v>
      </c>
      <c r="Z30" s="342" t="s">
        <v>308</v>
      </c>
      <c r="AA30" s="343" t="s">
        <v>566</v>
      </c>
      <c r="AC30" s="344" t="s">
        <v>310</v>
      </c>
      <c r="AD30" s="345" t="str">
        <f ca="1">LEFT($AC31,3)</f>
        <v>USA</v>
      </c>
      <c r="AE30" s="345" t="str">
        <f ca="1">LEFT($AC32,3)</f>
        <v>Aus</v>
      </c>
      <c r="AF30" s="345" t="str">
        <f ca="1">LEFT($AC33,3)</f>
        <v>Par</v>
      </c>
      <c r="AG30" s="345" t="str">
        <f ca="1">LEFT($AC34,3)</f>
        <v>Tur</v>
      </c>
      <c r="AH30" s="346" t="s">
        <v>566</v>
      </c>
    </row>
    <row r="31" spans="1:34" ht="14.25" customHeight="1" x14ac:dyDescent="0.2">
      <c r="A31" s="422" t="s">
        <v>565</v>
      </c>
      <c r="B31" s="427">
        <v>46191</v>
      </c>
      <c r="C31" s="326">
        <v>0.125</v>
      </c>
      <c r="D31" s="327" t="str">
        <f t="shared" si="2"/>
        <v>K</v>
      </c>
      <c r="E31" s="100" t="str">
        <f t="shared" si="0"/>
        <v>Uzbekistan</v>
      </c>
      <c r="F31" s="434">
        <f ca="1">IF(Poster!F31="",FResults!AB26,Poster!F31)</f>
        <v>0</v>
      </c>
      <c r="G31" s="328" t="str">
        <f>IF(Poster!G31="",FResults!AB26,Poster!G31)</f>
        <v>-</v>
      </c>
      <c r="H31" s="435">
        <f ca="1">IF(Poster!H31="",FResults!AC26,Poster!H31)</f>
        <v>3</v>
      </c>
      <c r="I31" s="101" t="str">
        <f t="shared" si="1"/>
        <v>Colombia</v>
      </c>
      <c r="J31" s="101" t="str">
        <f>Stadium3</f>
        <v>Mexico City Stadium</v>
      </c>
      <c r="K31" s="329" t="str">
        <f t="shared" si="3"/>
        <v>K</v>
      </c>
      <c r="L31" s="323" t="str">
        <f t="shared" ca="1" si="4"/>
        <v>Colombia</v>
      </c>
      <c r="M31" s="324" t="str">
        <f t="shared" ca="1" si="5"/>
        <v>Uzbekistan</v>
      </c>
      <c r="N31" s="330">
        <f>Results!X26</f>
        <v>0.11032135125000002</v>
      </c>
      <c r="O31" s="330">
        <f>Results!Y26</f>
        <v>0.12845729749999996</v>
      </c>
      <c r="P31" s="330">
        <f>Results!Z26</f>
        <v>0.76122135125000001</v>
      </c>
      <c r="Q31" s="99"/>
      <c r="R31" s="347">
        <v>1</v>
      </c>
      <c r="S31" s="348" t="str">
        <f ca="1">FGrpD!B45</f>
        <v>USA</v>
      </c>
      <c r="T31" s="98">
        <f>FGrpD!C45</f>
        <v>3</v>
      </c>
      <c r="U31" s="98">
        <f ca="1">FGrpD!D45</f>
        <v>2</v>
      </c>
      <c r="V31" s="98">
        <f ca="1">FGrpD!E45</f>
        <v>0</v>
      </c>
      <c r="W31" s="98">
        <f ca="1">FGrpD!F45</f>
        <v>1</v>
      </c>
      <c r="X31" s="98">
        <f ca="1">FGrpD!G45</f>
        <v>8</v>
      </c>
      <c r="Y31" s="98">
        <f ca="1">FGrpD!H45</f>
        <v>4</v>
      </c>
      <c r="Z31" s="349">
        <f ca="1">FGrpD!I45</f>
        <v>4</v>
      </c>
      <c r="AA31" s="350">
        <f ca="1">FGrpD!J45</f>
        <v>6</v>
      </c>
      <c r="AC31" s="351" t="str">
        <f ca="1">FGrpD!K45</f>
        <v>USA</v>
      </c>
      <c r="AD31" s="352"/>
      <c r="AE31" s="353" t="str">
        <f ca="1">FGrpD!M45</f>
        <v>3-1</v>
      </c>
      <c r="AF31" s="353" t="str">
        <f ca="1">FGrpD!N45</f>
        <v>4-1</v>
      </c>
      <c r="AG31" s="353" t="str">
        <f ca="1">FGrpD!O45</f>
        <v>1-2</v>
      </c>
      <c r="AH31" s="354">
        <f ca="1">AA31</f>
        <v>6</v>
      </c>
    </row>
    <row r="32" spans="1:34" ht="14.25" customHeight="1" x14ac:dyDescent="0.2">
      <c r="A32" s="422" t="s">
        <v>567</v>
      </c>
      <c r="B32" s="427">
        <v>46191</v>
      </c>
      <c r="C32" s="326">
        <v>0.70833333333333337</v>
      </c>
      <c r="D32" s="327" t="str">
        <f t="shared" si="2"/>
        <v>A</v>
      </c>
      <c r="E32" s="100" t="str">
        <f t="shared" si="0"/>
        <v>Czechia</v>
      </c>
      <c r="F32" s="434">
        <f ca="1">IF(Poster!F32="",FResults!AB27,Poster!F32)</f>
        <v>2</v>
      </c>
      <c r="G32" s="328" t="str">
        <f>IF(Poster!G32="",FResults!AB27,Poster!G32)</f>
        <v>-</v>
      </c>
      <c r="H32" s="435">
        <f ca="1">IF(Poster!H32="",FResults!AC27,Poster!H32)</f>
        <v>3</v>
      </c>
      <c r="I32" s="101" t="str">
        <f t="shared" si="1"/>
        <v>South Africa</v>
      </c>
      <c r="J32" s="101" t="str">
        <f>Stadium6</f>
        <v>Atlanta Stadium</v>
      </c>
      <c r="K32" s="329" t="str">
        <f t="shared" si="3"/>
        <v>A</v>
      </c>
      <c r="L32" s="323" t="str">
        <f t="shared" ca="1" si="4"/>
        <v>South Africa</v>
      </c>
      <c r="M32" s="324" t="str">
        <f t="shared" ca="1" si="5"/>
        <v>Czechia</v>
      </c>
      <c r="N32" s="330">
        <f>Results!X27</f>
        <v>0.49470703124999993</v>
      </c>
      <c r="O32" s="330">
        <f>Results!Y27</f>
        <v>0.22308593750000005</v>
      </c>
      <c r="P32" s="330">
        <f>Results!Z27</f>
        <v>0.28220703125000007</v>
      </c>
      <c r="Q32" s="99"/>
      <c r="R32" s="347">
        <v>2</v>
      </c>
      <c r="S32" s="348" t="str">
        <f ca="1">FGrpD!B46</f>
        <v>Australia</v>
      </c>
      <c r="T32" s="98">
        <f>FGrpD!C46</f>
        <v>3</v>
      </c>
      <c r="U32" s="98">
        <f ca="1">FGrpD!D46</f>
        <v>2</v>
      </c>
      <c r="V32" s="98">
        <f ca="1">FGrpD!E46</f>
        <v>0</v>
      </c>
      <c r="W32" s="98">
        <f ca="1">FGrpD!F46</f>
        <v>1</v>
      </c>
      <c r="X32" s="98">
        <f ca="1">FGrpD!G46</f>
        <v>5</v>
      </c>
      <c r="Y32" s="98">
        <f ca="1">FGrpD!H46</f>
        <v>4</v>
      </c>
      <c r="Z32" s="349">
        <f ca="1">FGrpD!I46</f>
        <v>1</v>
      </c>
      <c r="AA32" s="350">
        <f ca="1">FGrpD!J46</f>
        <v>6</v>
      </c>
      <c r="AC32" s="351" t="str">
        <f ca="1">FGrpD!K46</f>
        <v>Australia</v>
      </c>
      <c r="AD32" s="353" t="str">
        <f ca="1">FGrpD!L46</f>
        <v>1-3</v>
      </c>
      <c r="AE32" s="352"/>
      <c r="AF32" s="353" t="str">
        <f ca="1">FGrpD!N46</f>
        <v>2-1</v>
      </c>
      <c r="AG32" s="353" t="str">
        <f ca="1">FGrpD!O46</f>
        <v>2-0</v>
      </c>
      <c r="AH32" s="354">
        <f ca="1">AA32</f>
        <v>6</v>
      </c>
    </row>
    <row r="33" spans="1:34" ht="14.25" customHeight="1" x14ac:dyDescent="0.2">
      <c r="A33" s="422" t="s">
        <v>568</v>
      </c>
      <c r="B33" s="427">
        <v>46191</v>
      </c>
      <c r="C33" s="326">
        <v>0.83333333333333337</v>
      </c>
      <c r="D33" s="327" t="str">
        <f t="shared" si="2"/>
        <v>B</v>
      </c>
      <c r="E33" s="100" t="str">
        <f t="shared" si="0"/>
        <v>Switzerland</v>
      </c>
      <c r="F33" s="434">
        <f ca="1">IF(Poster!F33="",FResults!AB28,Poster!F33)</f>
        <v>2</v>
      </c>
      <c r="G33" s="328" t="str">
        <f>IF(Poster!G33="",FResults!AB28,Poster!G33)</f>
        <v>-</v>
      </c>
      <c r="H33" s="435">
        <f ca="1">IF(Poster!H33="",FResults!AC28,Poster!H33)</f>
        <v>1</v>
      </c>
      <c r="I33" s="101" t="str">
        <f t="shared" si="1"/>
        <v>Bosnia-Herzegovina</v>
      </c>
      <c r="J33" s="101" t="str">
        <f>Stadium11</f>
        <v>Los Angeles Stadium</v>
      </c>
      <c r="K33" s="329" t="str">
        <f t="shared" si="3"/>
        <v>B</v>
      </c>
      <c r="L33" s="323" t="str">
        <f t="shared" ca="1" si="4"/>
        <v>Switzerland</v>
      </c>
      <c r="M33" s="324" t="str">
        <f t="shared" ca="1" si="5"/>
        <v>Bosnia-Herzegovina</v>
      </c>
      <c r="N33" s="330">
        <f>Results!X28</f>
        <v>0.72651300000000008</v>
      </c>
      <c r="O33" s="330">
        <f>Results!Y28</f>
        <v>0.14497400000000005</v>
      </c>
      <c r="P33" s="330">
        <f>Results!Z28</f>
        <v>0.12851299999999993</v>
      </c>
      <c r="Q33" s="99"/>
      <c r="R33" s="347">
        <v>3</v>
      </c>
      <c r="S33" s="348" t="str">
        <f ca="1">FGrpD!B47</f>
        <v>Paraguay</v>
      </c>
      <c r="T33" s="98">
        <f>FGrpD!C47</f>
        <v>3</v>
      </c>
      <c r="U33" s="98">
        <f ca="1">FGrpD!D47</f>
        <v>1</v>
      </c>
      <c r="V33" s="98">
        <f ca="1">FGrpD!E47</f>
        <v>0</v>
      </c>
      <c r="W33" s="98">
        <f ca="1">FGrpD!F47</f>
        <v>2</v>
      </c>
      <c r="X33" s="98">
        <f ca="1">FGrpD!G47</f>
        <v>4</v>
      </c>
      <c r="Y33" s="98">
        <f ca="1">FGrpD!H47</f>
        <v>7</v>
      </c>
      <c r="Z33" s="349">
        <f ca="1">FGrpD!I47</f>
        <v>-3</v>
      </c>
      <c r="AA33" s="350">
        <f ca="1">FGrpD!J47</f>
        <v>3</v>
      </c>
      <c r="AC33" s="351" t="str">
        <f ca="1">FGrpD!K47</f>
        <v>Paraguay</v>
      </c>
      <c r="AD33" s="353" t="str">
        <f ca="1">FGrpD!L47</f>
        <v>1-4</v>
      </c>
      <c r="AE33" s="353" t="str">
        <f ca="1">FGrpD!M47</f>
        <v>1-2</v>
      </c>
      <c r="AF33" s="352"/>
      <c r="AG33" s="353" t="str">
        <f ca="1">FGrpD!O47</f>
        <v>2-1</v>
      </c>
      <c r="AH33" s="354">
        <f ca="1">AA33</f>
        <v>3</v>
      </c>
    </row>
    <row r="34" spans="1:34" ht="14.25" customHeight="1" x14ac:dyDescent="0.2">
      <c r="A34" s="422" t="s">
        <v>569</v>
      </c>
      <c r="B34" s="427">
        <v>46191</v>
      </c>
      <c r="C34" s="326">
        <v>0.95833333333333337</v>
      </c>
      <c r="D34" s="327" t="str">
        <f t="shared" si="2"/>
        <v>B</v>
      </c>
      <c r="E34" s="100" t="str">
        <f t="shared" si="0"/>
        <v>Canada</v>
      </c>
      <c r="F34" s="434">
        <f ca="1">IF(Poster!F34="",FResults!AB29,Poster!F34)</f>
        <v>2</v>
      </c>
      <c r="G34" s="328" t="str">
        <f>IF(Poster!G34="",FResults!AB29,Poster!G34)</f>
        <v>-</v>
      </c>
      <c r="H34" s="435">
        <f ca="1">IF(Poster!H34="",FResults!AC29,Poster!H34)</f>
        <v>1</v>
      </c>
      <c r="I34" s="101" t="str">
        <f t="shared" si="1"/>
        <v>Qatar</v>
      </c>
      <c r="J34" s="101" t="str">
        <f>Stadium2</f>
        <v>BC Place Vancouver</v>
      </c>
      <c r="K34" s="329" t="str">
        <f t="shared" si="3"/>
        <v>B</v>
      </c>
      <c r="L34" s="323" t="str">
        <f t="shared" ca="1" si="4"/>
        <v>Canada</v>
      </c>
      <c r="M34" s="324" t="str">
        <f t="shared" ca="1" si="5"/>
        <v>Qatar</v>
      </c>
      <c r="N34" s="330">
        <f>Results!X29</f>
        <v>0.56872578125000006</v>
      </c>
      <c r="O34" s="330">
        <f>Results!Y29</f>
        <v>0.20504843750000001</v>
      </c>
      <c r="P34" s="330">
        <f>Results!Z29</f>
        <v>0.22622578124999995</v>
      </c>
      <c r="Q34" s="99"/>
      <c r="R34" s="347">
        <v>4</v>
      </c>
      <c r="S34" s="355" t="str">
        <f ca="1">FGrpD!B48</f>
        <v>Turkiye</v>
      </c>
      <c r="T34" s="356">
        <f>FGrpD!C48</f>
        <v>3</v>
      </c>
      <c r="U34" s="356">
        <f ca="1">FGrpD!D48</f>
        <v>1</v>
      </c>
      <c r="V34" s="356">
        <f ca="1">FGrpD!E48</f>
        <v>0</v>
      </c>
      <c r="W34" s="356">
        <f ca="1">FGrpD!F48</f>
        <v>2</v>
      </c>
      <c r="X34" s="356">
        <f ca="1">FGrpD!G48</f>
        <v>3</v>
      </c>
      <c r="Y34" s="356">
        <f ca="1">FGrpD!H48</f>
        <v>5</v>
      </c>
      <c r="Z34" s="357">
        <f ca="1">FGrpD!I48</f>
        <v>-2</v>
      </c>
      <c r="AA34" s="358">
        <f ca="1">FGrpD!J48</f>
        <v>3</v>
      </c>
      <c r="AC34" s="359" t="str">
        <f ca="1">FGrpD!K48</f>
        <v>Turkiye</v>
      </c>
      <c r="AD34" s="360" t="str">
        <f ca="1">FGrpD!L48</f>
        <v>2-1</v>
      </c>
      <c r="AE34" s="360" t="str">
        <f ca="1">FGrpD!M48</f>
        <v>0-2</v>
      </c>
      <c r="AF34" s="360" t="str">
        <f ca="1">FGrpD!N48</f>
        <v>1-2</v>
      </c>
      <c r="AG34" s="361"/>
      <c r="AH34" s="362">
        <f ca="1">AA34</f>
        <v>3</v>
      </c>
    </row>
    <row r="35" spans="1:34" ht="14.25" customHeight="1" x14ac:dyDescent="0.2">
      <c r="A35" s="422" t="s">
        <v>570</v>
      </c>
      <c r="B35" s="427">
        <v>46192</v>
      </c>
      <c r="C35" s="326">
        <v>8.3333333333333329E-2</v>
      </c>
      <c r="D35" s="327" t="str">
        <f t="shared" si="2"/>
        <v>A</v>
      </c>
      <c r="E35" s="100" t="str">
        <f t="shared" si="0"/>
        <v>Mexico</v>
      </c>
      <c r="F35" s="434">
        <f ca="1">IF(Poster!F35="",FResults!AB30,Poster!F35)</f>
        <v>0</v>
      </c>
      <c r="G35" s="328" t="str">
        <f>IF(Poster!G35="",FResults!AB30,Poster!G35)</f>
        <v>-</v>
      </c>
      <c r="H35" s="435">
        <f ca="1">IF(Poster!H35="",FResults!AC30,Poster!H35)</f>
        <v>2</v>
      </c>
      <c r="I35" s="101" t="str">
        <f t="shared" si="1"/>
        <v>Korea Republic</v>
      </c>
      <c r="J35" s="101" t="str">
        <f>Stadium4</f>
        <v>Estadio Guadalajara</v>
      </c>
      <c r="K35" s="329" t="str">
        <f t="shared" si="3"/>
        <v>A</v>
      </c>
      <c r="L35" s="323" t="str">
        <f t="shared" ca="1" si="4"/>
        <v>Korea Republic</v>
      </c>
      <c r="M35" s="324" t="str">
        <f t="shared" ca="1" si="5"/>
        <v>Mexico</v>
      </c>
      <c r="N35" s="330">
        <f>Results!X30</f>
        <v>0.53832500000000005</v>
      </c>
      <c r="O35" s="330">
        <f>Results!Y30</f>
        <v>0.21335000000000004</v>
      </c>
      <c r="P35" s="330">
        <f>Results!Z30</f>
        <v>0.24832499999999996</v>
      </c>
      <c r="Q35" s="99"/>
      <c r="T35" s="98"/>
      <c r="U35" s="98"/>
      <c r="V35" s="98"/>
      <c r="W35" s="98"/>
      <c r="X35" s="98"/>
      <c r="Y35" s="98"/>
      <c r="Z35" s="349"/>
      <c r="AA35" s="311"/>
      <c r="AD35" s="98"/>
      <c r="AE35" s="98"/>
      <c r="AF35" s="98"/>
      <c r="AG35" s="98"/>
      <c r="AH35" s="98"/>
    </row>
    <row r="36" spans="1:34" ht="14.25" customHeight="1" x14ac:dyDescent="0.2">
      <c r="A36" s="422" t="s">
        <v>572</v>
      </c>
      <c r="B36" s="427">
        <v>46192</v>
      </c>
      <c r="C36" s="326">
        <v>0.83333333333333337</v>
      </c>
      <c r="D36" s="327" t="str">
        <f t="shared" si="2"/>
        <v>D</v>
      </c>
      <c r="E36" s="100" t="str">
        <f t="shared" si="0"/>
        <v>USA</v>
      </c>
      <c r="F36" s="434">
        <f ca="1">IF(Poster!F36="",FResults!AB31,Poster!F36)</f>
        <v>3</v>
      </c>
      <c r="G36" s="328" t="str">
        <f>IF(Poster!G36="",FResults!AB31,Poster!G36)</f>
        <v>-</v>
      </c>
      <c r="H36" s="435">
        <f ca="1">IF(Poster!H36="",FResults!AC31,Poster!H36)</f>
        <v>1</v>
      </c>
      <c r="I36" s="101" t="str">
        <f t="shared" si="1"/>
        <v>Australia</v>
      </c>
      <c r="J36" s="101" t="str">
        <f>Stadium16</f>
        <v>Seattle Stadium</v>
      </c>
      <c r="K36" s="329" t="str">
        <f t="shared" si="3"/>
        <v>D</v>
      </c>
      <c r="L36" s="323" t="str">
        <f t="shared" ca="1" si="4"/>
        <v>USA</v>
      </c>
      <c r="M36" s="324" t="str">
        <f t="shared" ca="1" si="5"/>
        <v>Australia</v>
      </c>
      <c r="N36" s="330">
        <f>Results!X31</f>
        <v>0.55561250000000006</v>
      </c>
      <c r="O36" s="330">
        <f>Results!Y31</f>
        <v>0.20877499999999993</v>
      </c>
      <c r="P36" s="330">
        <f>Results!Z31</f>
        <v>0.23561249999999995</v>
      </c>
      <c r="Q36" s="99"/>
      <c r="R36" s="331"/>
      <c r="S36" s="332" t="s">
        <v>315</v>
      </c>
      <c r="T36" s="333"/>
      <c r="U36" s="333"/>
      <c r="V36" s="333"/>
      <c r="W36" s="333"/>
      <c r="X36" s="333"/>
      <c r="Y36" s="333"/>
      <c r="Z36" s="334"/>
      <c r="AA36" s="335"/>
      <c r="AC36" s="336" t="str">
        <f>S36</f>
        <v>Group E</v>
      </c>
      <c r="AD36" s="337"/>
      <c r="AE36" s="337"/>
      <c r="AF36" s="337"/>
      <c r="AG36" s="337"/>
      <c r="AH36" s="338"/>
    </row>
    <row r="37" spans="1:34" ht="14.25" customHeight="1" x14ac:dyDescent="0.2">
      <c r="A37" s="422" t="s">
        <v>573</v>
      </c>
      <c r="B37" s="427">
        <v>46192</v>
      </c>
      <c r="C37" s="326">
        <v>0.95833333333333337</v>
      </c>
      <c r="D37" s="327" t="str">
        <f t="shared" si="2"/>
        <v>C</v>
      </c>
      <c r="E37" s="100" t="str">
        <f t="shared" si="0"/>
        <v>Scotland</v>
      </c>
      <c r="F37" s="434">
        <f ca="1">IF(Poster!F37="",FResults!AB32,Poster!F37)</f>
        <v>1</v>
      </c>
      <c r="G37" s="328" t="str">
        <f>IF(Poster!G37="",FResults!AB32,Poster!G37)</f>
        <v>-</v>
      </c>
      <c r="H37" s="435">
        <f ca="1">IF(Poster!H37="",FResults!AC32,Poster!H37)</f>
        <v>2</v>
      </c>
      <c r="I37" s="101" t="str">
        <f t="shared" si="1"/>
        <v>Morocco</v>
      </c>
      <c r="J37" s="101" t="str">
        <f>Stadium7</f>
        <v>Boston Stadium</v>
      </c>
      <c r="K37" s="329" t="str">
        <f t="shared" si="3"/>
        <v>C</v>
      </c>
      <c r="L37" s="323" t="str">
        <f t="shared" ca="1" si="4"/>
        <v>Morocco</v>
      </c>
      <c r="M37" s="324" t="str">
        <f t="shared" ca="1" si="5"/>
        <v>Scotland</v>
      </c>
      <c r="N37" s="330">
        <f>Results!X32</f>
        <v>0.18874656420000002</v>
      </c>
      <c r="O37" s="330">
        <f>Results!Y32</f>
        <v>0.18694687160000001</v>
      </c>
      <c r="P37" s="330">
        <f>Results!Z32</f>
        <v>0.62430656419999997</v>
      </c>
      <c r="Q37" s="99"/>
      <c r="R37" s="339" t="s">
        <v>325</v>
      </c>
      <c r="S37" s="340" t="s">
        <v>310</v>
      </c>
      <c r="T37" s="341" t="s">
        <v>311</v>
      </c>
      <c r="U37" s="341" t="s">
        <v>305</v>
      </c>
      <c r="V37" s="341" t="s">
        <v>15</v>
      </c>
      <c r="W37" s="341" t="s">
        <v>306</v>
      </c>
      <c r="X37" s="341" t="s">
        <v>307</v>
      </c>
      <c r="Y37" s="341" t="s">
        <v>16</v>
      </c>
      <c r="Z37" s="342" t="s">
        <v>308</v>
      </c>
      <c r="AA37" s="343" t="s">
        <v>566</v>
      </c>
      <c r="AC37" s="344" t="s">
        <v>310</v>
      </c>
      <c r="AD37" s="345" t="str">
        <f ca="1">LEFT($AC38,3)</f>
        <v>Cot</v>
      </c>
      <c r="AE37" s="345" t="str">
        <f ca="1">LEFT($AC39,3)</f>
        <v>Ger</v>
      </c>
      <c r="AF37" s="345" t="str">
        <f ca="1">LEFT($AC40,3)</f>
        <v>Ecu</v>
      </c>
      <c r="AG37" s="345" t="str">
        <f ca="1">LEFT($AC41,3)</f>
        <v>Cur</v>
      </c>
      <c r="AH37" s="346" t="s">
        <v>566</v>
      </c>
    </row>
    <row r="38" spans="1:34" ht="14.25" customHeight="1" x14ac:dyDescent="0.2">
      <c r="A38" s="422" t="s">
        <v>574</v>
      </c>
      <c r="B38" s="427">
        <v>46193</v>
      </c>
      <c r="C38" s="326">
        <v>6.25E-2</v>
      </c>
      <c r="D38" s="327" t="str">
        <f t="shared" si="2"/>
        <v>C</v>
      </c>
      <c r="E38" s="100" t="str">
        <f t="shared" si="0"/>
        <v>Brazil</v>
      </c>
      <c r="F38" s="434">
        <f ca="1">IF(Poster!F38="",FResults!AB33,Poster!F38)</f>
        <v>3</v>
      </c>
      <c r="G38" s="328" t="str">
        <f>IF(Poster!G38="",FResults!AB33,Poster!G38)</f>
        <v>-</v>
      </c>
      <c r="H38" s="435">
        <f ca="1">IF(Poster!H38="",FResults!AC33,Poster!H38)</f>
        <v>2</v>
      </c>
      <c r="I38" s="101" t="str">
        <f t="shared" si="1"/>
        <v>Haiti</v>
      </c>
      <c r="J38" s="101" t="str">
        <f>Stadium14</f>
        <v>Philadelphia Stadium</v>
      </c>
      <c r="K38" s="329" t="str">
        <f t="shared" si="3"/>
        <v>C</v>
      </c>
      <c r="L38" s="323" t="str">
        <f t="shared" ca="1" si="4"/>
        <v>Brazil</v>
      </c>
      <c r="M38" s="324" t="str">
        <f t="shared" ca="1" si="5"/>
        <v>Haiti</v>
      </c>
      <c r="N38" s="330">
        <f>Results!X33</f>
        <v>0.95347984445</v>
      </c>
      <c r="O38" s="330">
        <f>Results!Y33</f>
        <v>1.9700311099999923E-2</v>
      </c>
      <c r="P38" s="330">
        <f>Results!Z33</f>
        <v>2.6819844450000019E-2</v>
      </c>
      <c r="Q38" s="99"/>
      <c r="R38" s="347">
        <v>1</v>
      </c>
      <c r="S38" s="348" t="str">
        <f ca="1">FGrpE!B45</f>
        <v>Cote d'Ivorie</v>
      </c>
      <c r="T38" s="98">
        <f>FGrpE!C45</f>
        <v>3</v>
      </c>
      <c r="U38" s="98">
        <f ca="1">FGrpE!D45</f>
        <v>3</v>
      </c>
      <c r="V38" s="98">
        <f ca="1">FGrpE!E45</f>
        <v>0</v>
      </c>
      <c r="W38" s="98">
        <f ca="1">FGrpE!F45</f>
        <v>0</v>
      </c>
      <c r="X38" s="98">
        <f ca="1">FGrpE!G45</f>
        <v>5</v>
      </c>
      <c r="Y38" s="98">
        <f ca="1">FGrpE!H45</f>
        <v>2</v>
      </c>
      <c r="Z38" s="349">
        <f ca="1">FGrpE!I45</f>
        <v>3</v>
      </c>
      <c r="AA38" s="350">
        <f ca="1">FGrpE!J45</f>
        <v>9</v>
      </c>
      <c r="AC38" s="351" t="str">
        <f ca="1">FGrpE!K45</f>
        <v>Cote d'Ivorie</v>
      </c>
      <c r="AD38" s="352"/>
      <c r="AE38" s="353" t="str">
        <f ca="1">FGrpE!M45</f>
        <v>2-1</v>
      </c>
      <c r="AF38" s="353" t="str">
        <f ca="1">FGrpE!N45</f>
        <v>1-0</v>
      </c>
      <c r="AG38" s="353" t="str">
        <f ca="1">FGrpE!O45</f>
        <v>2-1</v>
      </c>
      <c r="AH38" s="354">
        <f ca="1">AA38</f>
        <v>9</v>
      </c>
    </row>
    <row r="39" spans="1:34" ht="14.25" customHeight="1" x14ac:dyDescent="0.2">
      <c r="A39" s="422" t="s">
        <v>575</v>
      </c>
      <c r="B39" s="427">
        <v>46193</v>
      </c>
      <c r="C39" s="326">
        <v>0.16666666666666666</v>
      </c>
      <c r="D39" s="327" t="str">
        <f t="shared" si="2"/>
        <v>D</v>
      </c>
      <c r="E39" s="100" t="str">
        <f t="shared" si="0"/>
        <v>Turkiye</v>
      </c>
      <c r="F39" s="434">
        <f ca="1">IF(Poster!F39="",FResults!AB34,Poster!F39)</f>
        <v>1</v>
      </c>
      <c r="G39" s="328" t="str">
        <f>IF(Poster!G39="",FResults!AB34,Poster!G39)</f>
        <v>-</v>
      </c>
      <c r="H39" s="435">
        <f ca="1">IF(Poster!H39="",FResults!AC34,Poster!H39)</f>
        <v>2</v>
      </c>
      <c r="I39" s="101" t="str">
        <f t="shared" si="1"/>
        <v>Paraguay</v>
      </c>
      <c r="J39" s="101" t="str">
        <f>Stadium15</f>
        <v>San Franciso Bay Stadium</v>
      </c>
      <c r="K39" s="329" t="str">
        <f t="shared" si="3"/>
        <v>D</v>
      </c>
      <c r="L39" s="323" t="str">
        <f t="shared" ca="1" si="4"/>
        <v>Paraguay</v>
      </c>
      <c r="M39" s="324" t="str">
        <f t="shared" ca="1" si="5"/>
        <v>Turkiye</v>
      </c>
      <c r="N39" s="330">
        <f>Results!X34</f>
        <v>0.47006953125000001</v>
      </c>
      <c r="O39" s="330">
        <f>Results!Y34</f>
        <v>0.22736093750000003</v>
      </c>
      <c r="P39" s="330">
        <f>Results!Z34</f>
        <v>0.30256953124999997</v>
      </c>
      <c r="Q39" s="99"/>
      <c r="R39" s="347">
        <v>2</v>
      </c>
      <c r="S39" s="348" t="str">
        <f ca="1">FGrpE!B46</f>
        <v>Germany</v>
      </c>
      <c r="T39" s="98">
        <f>FGrpE!C46</f>
        <v>3</v>
      </c>
      <c r="U39" s="98">
        <f ca="1">FGrpE!D46</f>
        <v>1</v>
      </c>
      <c r="V39" s="98">
        <f ca="1">FGrpE!E46</f>
        <v>0</v>
      </c>
      <c r="W39" s="98">
        <f ca="1">FGrpE!F46</f>
        <v>2</v>
      </c>
      <c r="X39" s="98">
        <f ca="1">FGrpE!G46</f>
        <v>8</v>
      </c>
      <c r="Y39" s="98">
        <f ca="1">FGrpE!H46</f>
        <v>4</v>
      </c>
      <c r="Z39" s="349">
        <f ca="1">FGrpE!I46</f>
        <v>4</v>
      </c>
      <c r="AA39" s="350">
        <f ca="1">FGrpE!J46</f>
        <v>3</v>
      </c>
      <c r="AC39" s="351" t="str">
        <f ca="1">FGrpE!K46</f>
        <v>Germany</v>
      </c>
      <c r="AD39" s="353" t="str">
        <f ca="1">FGrpE!L46</f>
        <v>1-2</v>
      </c>
      <c r="AE39" s="352"/>
      <c r="AF39" s="353" t="str">
        <f ca="1">FGrpE!N46</f>
        <v>0-1</v>
      </c>
      <c r="AG39" s="353" t="str">
        <f ca="1">FGrpE!O46</f>
        <v>7-1</v>
      </c>
      <c r="AH39" s="354">
        <f ca="1">AA39</f>
        <v>3</v>
      </c>
    </row>
    <row r="40" spans="1:34" ht="14.25" customHeight="1" x14ac:dyDescent="0.2">
      <c r="A40" s="422" t="s">
        <v>576</v>
      </c>
      <c r="B40" s="427">
        <v>46193</v>
      </c>
      <c r="C40" s="326">
        <v>0.75</v>
      </c>
      <c r="D40" s="327" t="str">
        <f t="shared" si="2"/>
        <v>F</v>
      </c>
      <c r="E40" s="100" t="str">
        <f t="shared" si="0"/>
        <v>Netherlands</v>
      </c>
      <c r="F40" s="434">
        <f ca="1">IF(Poster!F40="",FResults!AB35,Poster!F40)</f>
        <v>3</v>
      </c>
      <c r="G40" s="328" t="str">
        <f>IF(Poster!G40="",FResults!AB35,Poster!G40)</f>
        <v>-</v>
      </c>
      <c r="H40" s="435">
        <f ca="1">IF(Poster!H40="",FResults!AC35,Poster!H40)</f>
        <v>0</v>
      </c>
      <c r="I40" s="101" t="str">
        <f t="shared" si="1"/>
        <v>Sweden</v>
      </c>
      <c r="J40" s="101" t="str">
        <f>Stadium9</f>
        <v>Houston Stadium</v>
      </c>
      <c r="K40" s="329" t="str">
        <f t="shared" si="3"/>
        <v>F</v>
      </c>
      <c r="L40" s="323" t="str">
        <f t="shared" ca="1" si="4"/>
        <v>Netherlands</v>
      </c>
      <c r="M40" s="324" t="str">
        <f t="shared" ca="1" si="5"/>
        <v>Sweden</v>
      </c>
      <c r="N40" s="330">
        <f>Results!X35</f>
        <v>0.63926249999999996</v>
      </c>
      <c r="O40" s="330">
        <f>Results!Y35</f>
        <v>0.18147499999999994</v>
      </c>
      <c r="P40" s="330">
        <f>Results!Z35</f>
        <v>0.17926250000000005</v>
      </c>
      <c r="Q40" s="99"/>
      <c r="R40" s="347">
        <v>3</v>
      </c>
      <c r="S40" s="348" t="str">
        <f ca="1">FGrpE!B47</f>
        <v>Ecuador</v>
      </c>
      <c r="T40" s="98">
        <f>FGrpE!C47</f>
        <v>3</v>
      </c>
      <c r="U40" s="98">
        <f ca="1">FGrpE!D47</f>
        <v>1</v>
      </c>
      <c r="V40" s="98">
        <f ca="1">FGrpE!E47</f>
        <v>0</v>
      </c>
      <c r="W40" s="98">
        <f ca="1">FGrpE!F47</f>
        <v>2</v>
      </c>
      <c r="X40" s="98">
        <f ca="1">FGrpE!G47</f>
        <v>1</v>
      </c>
      <c r="Y40" s="98">
        <f ca="1">FGrpE!H47</f>
        <v>4</v>
      </c>
      <c r="Z40" s="349">
        <f ca="1">FGrpE!I47</f>
        <v>-3</v>
      </c>
      <c r="AA40" s="350">
        <f ca="1">FGrpE!J47</f>
        <v>3</v>
      </c>
      <c r="AC40" s="351" t="str">
        <f ca="1">FGrpE!K47</f>
        <v>Ecuador</v>
      </c>
      <c r="AD40" s="353" t="str">
        <f ca="1">FGrpE!L47</f>
        <v>0-1</v>
      </c>
      <c r="AE40" s="353" t="str">
        <f ca="1">FGrpE!M47</f>
        <v>1-0</v>
      </c>
      <c r="AF40" s="352"/>
      <c r="AG40" s="353" t="str">
        <f ca="1">FGrpE!O47</f>
        <v>0-3</v>
      </c>
      <c r="AH40" s="354">
        <f ca="1">AA40</f>
        <v>3</v>
      </c>
    </row>
    <row r="41" spans="1:34" ht="14.25" customHeight="1" x14ac:dyDescent="0.2">
      <c r="A41" s="422" t="s">
        <v>577</v>
      </c>
      <c r="B41" s="427">
        <v>46193</v>
      </c>
      <c r="C41" s="326">
        <v>0.875</v>
      </c>
      <c r="D41" s="327" t="str">
        <f t="shared" si="2"/>
        <v>E</v>
      </c>
      <c r="E41" s="100" t="str">
        <f t="shared" si="0"/>
        <v>Germany</v>
      </c>
      <c r="F41" s="434">
        <f ca="1">IF(Poster!F41="",FResults!AB36,Poster!F41)</f>
        <v>1</v>
      </c>
      <c r="G41" s="328" t="str">
        <f>IF(Poster!G41="",FResults!AB36,Poster!G41)</f>
        <v>-</v>
      </c>
      <c r="H41" s="435">
        <f ca="1">IF(Poster!H41="",FResults!AC36,Poster!H41)</f>
        <v>2</v>
      </c>
      <c r="I41" s="101" t="str">
        <f t="shared" si="1"/>
        <v>Cote d'Ivorie</v>
      </c>
      <c r="J41" s="101" t="str">
        <f>Stadium1</f>
        <v>Toronto Stadium</v>
      </c>
      <c r="K41" s="329" t="str">
        <f t="shared" si="3"/>
        <v>E</v>
      </c>
      <c r="L41" s="323" t="str">
        <f t="shared" ca="1" si="4"/>
        <v>Cote d'Ivorie</v>
      </c>
      <c r="M41" s="324" t="str">
        <f t="shared" ca="1" si="5"/>
        <v>Germany</v>
      </c>
      <c r="N41" s="330">
        <f>Results!X36</f>
        <v>0.79294234445</v>
      </c>
      <c r="O41" s="330">
        <f>Results!Y36</f>
        <v>0.11245531110000007</v>
      </c>
      <c r="P41" s="330">
        <f>Results!Z36</f>
        <v>9.4602344449999987E-2</v>
      </c>
      <c r="Q41" s="99"/>
      <c r="R41" s="347">
        <v>4</v>
      </c>
      <c r="S41" s="355" t="str">
        <f ca="1">FGrpE!B48</f>
        <v>Curaçao</v>
      </c>
      <c r="T41" s="356">
        <f>FGrpE!C48</f>
        <v>3</v>
      </c>
      <c r="U41" s="356">
        <f ca="1">FGrpE!D48</f>
        <v>1</v>
      </c>
      <c r="V41" s="356">
        <f ca="1">FGrpE!E48</f>
        <v>0</v>
      </c>
      <c r="W41" s="356">
        <f ca="1">FGrpE!F48</f>
        <v>2</v>
      </c>
      <c r="X41" s="356">
        <f ca="1">FGrpE!G48</f>
        <v>5</v>
      </c>
      <c r="Y41" s="356">
        <f ca="1">FGrpE!H48</f>
        <v>9</v>
      </c>
      <c r="Z41" s="357">
        <f ca="1">FGrpE!I48</f>
        <v>-4</v>
      </c>
      <c r="AA41" s="358">
        <f ca="1">FGrpE!J48</f>
        <v>3</v>
      </c>
      <c r="AC41" s="359" t="str">
        <f ca="1">FGrpE!K48</f>
        <v>Curaçao</v>
      </c>
      <c r="AD41" s="360" t="str">
        <f ca="1">FGrpE!L48</f>
        <v>1-2</v>
      </c>
      <c r="AE41" s="360" t="str">
        <f ca="1">FGrpE!M48</f>
        <v>1-7</v>
      </c>
      <c r="AF41" s="360" t="str">
        <f ca="1">FGrpE!N48</f>
        <v>3-0</v>
      </c>
      <c r="AG41" s="361"/>
      <c r="AH41" s="362">
        <f ca="1">AA41</f>
        <v>3</v>
      </c>
    </row>
    <row r="42" spans="1:34" ht="14.25" customHeight="1" x14ac:dyDescent="0.2">
      <c r="A42" s="422" t="s">
        <v>578</v>
      </c>
      <c r="B42" s="427">
        <v>46194</v>
      </c>
      <c r="C42" s="326">
        <v>4.1666666666666664E-2</v>
      </c>
      <c r="D42" s="327" t="str">
        <f t="shared" si="2"/>
        <v>E</v>
      </c>
      <c r="E42" s="100" t="str">
        <f t="shared" si="0"/>
        <v>Ecuador</v>
      </c>
      <c r="F42" s="434">
        <f ca="1">IF(Poster!F42="",FResults!AB37,Poster!F42)</f>
        <v>0</v>
      </c>
      <c r="G42" s="328" t="str">
        <f>IF(Poster!G42="",FResults!AB37,Poster!G42)</f>
        <v>-</v>
      </c>
      <c r="H42" s="435">
        <f ca="1">IF(Poster!H42="",FResults!AC37,Poster!H42)</f>
        <v>3</v>
      </c>
      <c r="I42" s="101" t="str">
        <f t="shared" si="1"/>
        <v>Curaçao</v>
      </c>
      <c r="J42" s="101" t="str">
        <f>Stadium10</f>
        <v>Kansas City Stadium</v>
      </c>
      <c r="K42" s="329" t="str">
        <f t="shared" si="3"/>
        <v>E</v>
      </c>
      <c r="L42" s="323" t="str">
        <f t="shared" ca="1" si="4"/>
        <v>Curaçao</v>
      </c>
      <c r="M42" s="324" t="str">
        <f t="shared" ca="1" si="5"/>
        <v>Ecuador</v>
      </c>
      <c r="N42" s="330">
        <f>Results!X37</f>
        <v>0.79744062500000001</v>
      </c>
      <c r="O42" s="330">
        <f>Results!Y37</f>
        <v>0.11011874999999993</v>
      </c>
      <c r="P42" s="330">
        <f>Results!Z37</f>
        <v>9.2440625000000012E-2</v>
      </c>
      <c r="Q42" s="99"/>
      <c r="T42" s="98"/>
      <c r="U42" s="98"/>
      <c r="V42" s="98"/>
      <c r="W42" s="98"/>
      <c r="X42" s="98"/>
      <c r="Y42" s="98"/>
      <c r="Z42" s="349"/>
      <c r="AA42" s="311"/>
      <c r="AB42" s="97" t="s">
        <v>327</v>
      </c>
      <c r="AD42" s="98"/>
      <c r="AE42" s="98"/>
      <c r="AF42" s="98"/>
      <c r="AG42" s="98"/>
      <c r="AH42" s="98"/>
    </row>
    <row r="43" spans="1:34" ht="14.25" customHeight="1" x14ac:dyDescent="0.2">
      <c r="A43" s="422" t="s">
        <v>579</v>
      </c>
      <c r="B43" s="427">
        <v>46194</v>
      </c>
      <c r="C43" s="326">
        <v>0.20833333333333334</v>
      </c>
      <c r="D43" s="327" t="str">
        <f t="shared" si="2"/>
        <v>F</v>
      </c>
      <c r="E43" s="100" t="str">
        <f t="shared" si="0"/>
        <v>Tunisia</v>
      </c>
      <c r="F43" s="434">
        <f ca="1">IF(Poster!F43="",FResults!AB38,Poster!F43)</f>
        <v>2</v>
      </c>
      <c r="G43" s="328" t="str">
        <f>IF(Poster!G43="",FResults!AB38,Poster!G43)</f>
        <v>-</v>
      </c>
      <c r="H43" s="435">
        <f ca="1">IF(Poster!H43="",FResults!AC38,Poster!H43)</f>
        <v>3</v>
      </c>
      <c r="I43" s="101" t="str">
        <f t="shared" si="1"/>
        <v>Japan</v>
      </c>
      <c r="J43" s="101" t="str">
        <f>Stadium5</f>
        <v>Estadio Monterrey</v>
      </c>
      <c r="K43" s="329" t="str">
        <f t="shared" si="3"/>
        <v>F</v>
      </c>
      <c r="L43" s="323" t="str">
        <f t="shared" ca="1" si="4"/>
        <v>Japan</v>
      </c>
      <c r="M43" s="324" t="str">
        <f t="shared" ca="1" si="5"/>
        <v>Tunisia</v>
      </c>
      <c r="N43" s="330">
        <f>Results!X38</f>
        <v>0.18603828124999999</v>
      </c>
      <c r="O43" s="330">
        <f>Results!Y38</f>
        <v>0.18542343750000001</v>
      </c>
      <c r="P43" s="330">
        <f>Results!Z38</f>
        <v>0.62853828125</v>
      </c>
      <c r="Q43" s="99"/>
      <c r="R43" s="331"/>
      <c r="S43" s="332" t="s">
        <v>316</v>
      </c>
      <c r="T43" s="333"/>
      <c r="U43" s="333"/>
      <c r="V43" s="333"/>
      <c r="W43" s="333"/>
      <c r="X43" s="333"/>
      <c r="Y43" s="333"/>
      <c r="Z43" s="334"/>
      <c r="AA43" s="335"/>
      <c r="AC43" s="336" t="str">
        <f>S43</f>
        <v>Group F</v>
      </c>
      <c r="AD43" s="337"/>
      <c r="AE43" s="337"/>
      <c r="AF43" s="337"/>
      <c r="AG43" s="337"/>
      <c r="AH43" s="338"/>
    </row>
    <row r="44" spans="1:34" ht="14.25" customHeight="1" x14ac:dyDescent="0.2">
      <c r="A44" s="422" t="s">
        <v>580</v>
      </c>
      <c r="B44" s="427">
        <v>46194</v>
      </c>
      <c r="C44" s="326">
        <v>0.70833333333333337</v>
      </c>
      <c r="D44" s="327" t="str">
        <f t="shared" si="2"/>
        <v>H</v>
      </c>
      <c r="E44" s="100" t="str">
        <f t="shared" si="0"/>
        <v>Spain</v>
      </c>
      <c r="F44" s="434">
        <f ca="1">IF(Poster!F44="",FResults!AB39,Poster!F44)</f>
        <v>1</v>
      </c>
      <c r="G44" s="328" t="str">
        <f>IF(Poster!G44="",FResults!AB39,Poster!G44)</f>
        <v>-</v>
      </c>
      <c r="H44" s="435">
        <f ca="1">IF(Poster!H44="",FResults!AC39,Poster!H44)</f>
        <v>0</v>
      </c>
      <c r="I44" s="101" t="str">
        <f t="shared" si="1"/>
        <v>Saudi Arabia</v>
      </c>
      <c r="J44" s="101" t="str">
        <f>Stadium6</f>
        <v>Atlanta Stadium</v>
      </c>
      <c r="K44" s="329" t="str">
        <f t="shared" si="3"/>
        <v>H</v>
      </c>
      <c r="L44" s="323" t="str">
        <f t="shared" ca="1" si="4"/>
        <v>Spain</v>
      </c>
      <c r="M44" s="324" t="str">
        <f t="shared" ca="1" si="5"/>
        <v>Saudi Arabia</v>
      </c>
      <c r="N44" s="330">
        <f>Results!X39</f>
        <v>0.88767826124999993</v>
      </c>
      <c r="O44" s="330">
        <f>Results!Y39</f>
        <v>5.9943477500000064E-2</v>
      </c>
      <c r="P44" s="330">
        <f>Results!Z39</f>
        <v>5.237826125000003E-2</v>
      </c>
      <c r="Q44" s="99"/>
      <c r="R44" s="339" t="s">
        <v>325</v>
      </c>
      <c r="S44" s="340" t="s">
        <v>310</v>
      </c>
      <c r="T44" s="341" t="s">
        <v>311</v>
      </c>
      <c r="U44" s="341" t="s">
        <v>305</v>
      </c>
      <c r="V44" s="341" t="s">
        <v>15</v>
      </c>
      <c r="W44" s="341" t="s">
        <v>306</v>
      </c>
      <c r="X44" s="341" t="s">
        <v>307</v>
      </c>
      <c r="Y44" s="341" t="s">
        <v>16</v>
      </c>
      <c r="Z44" s="342" t="s">
        <v>308</v>
      </c>
      <c r="AA44" s="343" t="s">
        <v>566</v>
      </c>
      <c r="AC44" s="344" t="s">
        <v>310</v>
      </c>
      <c r="AD44" s="345" t="str">
        <f ca="1">LEFT($AC45,3)</f>
        <v>Net</v>
      </c>
      <c r="AE44" s="345" t="str">
        <f ca="1">LEFT($AC46,3)</f>
        <v>Jap</v>
      </c>
      <c r="AF44" s="345" t="str">
        <f ca="1">LEFT($AC47,3)</f>
        <v>Swe</v>
      </c>
      <c r="AG44" s="345" t="str">
        <f ca="1">LEFT($AC48,3)</f>
        <v>Tun</v>
      </c>
      <c r="AH44" s="346" t="s">
        <v>566</v>
      </c>
    </row>
    <row r="45" spans="1:34" ht="14.25" customHeight="1" x14ac:dyDescent="0.2">
      <c r="A45" s="422" t="s">
        <v>581</v>
      </c>
      <c r="B45" s="427">
        <v>46194</v>
      </c>
      <c r="C45" s="326">
        <v>0.83333333333333337</v>
      </c>
      <c r="D45" s="327" t="str">
        <f t="shared" si="2"/>
        <v>G</v>
      </c>
      <c r="E45" s="100" t="str">
        <f t="shared" si="0"/>
        <v>Belgium</v>
      </c>
      <c r="F45" s="434">
        <f ca="1">IF(Poster!F45="",FResults!AB40,Poster!F45)</f>
        <v>1</v>
      </c>
      <c r="G45" s="328" t="str">
        <f>IF(Poster!G45="",FResults!AB40,Poster!G45)</f>
        <v>-</v>
      </c>
      <c r="H45" s="435">
        <f ca="1">IF(Poster!H45="",FResults!AC40,Poster!H45)</f>
        <v>2</v>
      </c>
      <c r="I45" s="101" t="str">
        <f t="shared" si="1"/>
        <v>IR Iran</v>
      </c>
      <c r="J45" s="101" t="str">
        <f>Stadium11</f>
        <v>Los Angeles Stadium</v>
      </c>
      <c r="K45" s="329" t="str">
        <f t="shared" si="3"/>
        <v>G</v>
      </c>
      <c r="L45" s="323" t="str">
        <f t="shared" ca="1" si="4"/>
        <v>IR Iran</v>
      </c>
      <c r="M45" s="324" t="str">
        <f t="shared" ca="1" si="5"/>
        <v>Belgium</v>
      </c>
      <c r="N45" s="330">
        <f>Results!X40</f>
        <v>0.63465703124999995</v>
      </c>
      <c r="O45" s="330">
        <f>Results!Y40</f>
        <v>0.18318593750000001</v>
      </c>
      <c r="P45" s="330">
        <f>Results!Z40</f>
        <v>0.18215703125000005</v>
      </c>
      <c r="Q45" s="99"/>
      <c r="R45" s="347">
        <v>1</v>
      </c>
      <c r="S45" s="348" t="str">
        <f ca="1">FGrpF!B45</f>
        <v>Netherlands</v>
      </c>
      <c r="T45" s="98">
        <f>FGrpF!C45</f>
        <v>3</v>
      </c>
      <c r="U45" s="98">
        <f ca="1">FGrpF!D45</f>
        <v>2</v>
      </c>
      <c r="V45" s="98">
        <f ca="1">FGrpF!E45</f>
        <v>1</v>
      </c>
      <c r="W45" s="98">
        <f ca="1">FGrpF!F45</f>
        <v>0</v>
      </c>
      <c r="X45" s="98">
        <f ca="1">FGrpF!G45</f>
        <v>8</v>
      </c>
      <c r="Y45" s="98">
        <f ca="1">FGrpF!H45</f>
        <v>2</v>
      </c>
      <c r="Z45" s="349">
        <f ca="1">FGrpF!I45</f>
        <v>6</v>
      </c>
      <c r="AA45" s="350">
        <f ca="1">FGrpF!J45</f>
        <v>7</v>
      </c>
      <c r="AC45" s="351" t="str">
        <f ca="1">FGrpF!K45</f>
        <v>Netherlands</v>
      </c>
      <c r="AD45" s="352"/>
      <c r="AE45" s="353" t="str">
        <f ca="1">FGrpF!M45</f>
        <v>2-2</v>
      </c>
      <c r="AF45" s="353" t="str">
        <f ca="1">FGrpF!N45</f>
        <v>3-0</v>
      </c>
      <c r="AG45" s="353" t="str">
        <f ca="1">FGrpF!O45</f>
        <v>3-0</v>
      </c>
      <c r="AH45" s="354">
        <f ca="1">AA45</f>
        <v>7</v>
      </c>
    </row>
    <row r="46" spans="1:34" ht="14.25" customHeight="1" x14ac:dyDescent="0.2">
      <c r="A46" s="422" t="s">
        <v>582</v>
      </c>
      <c r="B46" s="427">
        <v>46194</v>
      </c>
      <c r="C46" s="326">
        <v>0.95833333333333337</v>
      </c>
      <c r="D46" s="327" t="str">
        <f t="shared" si="2"/>
        <v>H</v>
      </c>
      <c r="E46" s="100" t="str">
        <f t="shared" si="0"/>
        <v>Uruguay</v>
      </c>
      <c r="F46" s="434">
        <f ca="1">IF(Poster!F46="",FResults!AB41,Poster!F46)</f>
        <v>0</v>
      </c>
      <c r="G46" s="328" t="str">
        <f>IF(Poster!G46="",FResults!AB41,Poster!G46)</f>
        <v>-</v>
      </c>
      <c r="H46" s="435">
        <f ca="1">IF(Poster!H46="",FResults!AC41,Poster!H46)</f>
        <v>1</v>
      </c>
      <c r="I46" s="101" t="str">
        <f t="shared" si="1"/>
        <v>Cabo Verde</v>
      </c>
      <c r="J46" s="101" t="str">
        <f>Stadium12</f>
        <v>Miami Stadium</v>
      </c>
      <c r="K46" s="329" t="str">
        <f t="shared" si="3"/>
        <v>H</v>
      </c>
      <c r="L46" s="323" t="str">
        <f t="shared" ca="1" si="4"/>
        <v>Cabo Verde</v>
      </c>
      <c r="M46" s="324" t="str">
        <f t="shared" ca="1" si="5"/>
        <v>Uruguay</v>
      </c>
      <c r="N46" s="330">
        <f>Results!X41</f>
        <v>0.79294234445</v>
      </c>
      <c r="O46" s="330">
        <f>Results!Y41</f>
        <v>0.11245531110000007</v>
      </c>
      <c r="P46" s="330">
        <f>Results!Z41</f>
        <v>9.4602344449999987E-2</v>
      </c>
      <c r="Q46" s="99"/>
      <c r="R46" s="347">
        <v>2</v>
      </c>
      <c r="S46" s="348" t="str">
        <f ca="1">FGrpF!B46</f>
        <v>Japan</v>
      </c>
      <c r="T46" s="98">
        <f>FGrpF!C46</f>
        <v>3</v>
      </c>
      <c r="U46" s="98">
        <f ca="1">FGrpF!D46</f>
        <v>2</v>
      </c>
      <c r="V46" s="98">
        <f ca="1">FGrpF!E46</f>
        <v>1</v>
      </c>
      <c r="W46" s="98">
        <f ca="1">FGrpF!F46</f>
        <v>0</v>
      </c>
      <c r="X46" s="98">
        <f ca="1">FGrpF!G46</f>
        <v>6</v>
      </c>
      <c r="Y46" s="98">
        <f ca="1">FGrpF!H46</f>
        <v>4</v>
      </c>
      <c r="Z46" s="349">
        <f ca="1">FGrpF!I46</f>
        <v>2</v>
      </c>
      <c r="AA46" s="350">
        <f ca="1">FGrpF!J46</f>
        <v>7</v>
      </c>
      <c r="AC46" s="351" t="str">
        <f ca="1">FGrpF!K46</f>
        <v>Japan</v>
      </c>
      <c r="AD46" s="353" t="str">
        <f ca="1">FGrpF!L46</f>
        <v>2-2</v>
      </c>
      <c r="AE46" s="352"/>
      <c r="AF46" s="353" t="str">
        <f ca="1">FGrpF!N46</f>
        <v>1-0</v>
      </c>
      <c r="AG46" s="353" t="str">
        <f ca="1">FGrpF!O46</f>
        <v>3-2</v>
      </c>
      <c r="AH46" s="354">
        <f ca="1">AA46</f>
        <v>7</v>
      </c>
    </row>
    <row r="47" spans="1:34" ht="14.25" customHeight="1" x14ac:dyDescent="0.2">
      <c r="A47" s="422" t="s">
        <v>583</v>
      </c>
      <c r="B47" s="427">
        <v>46195</v>
      </c>
      <c r="C47" s="326">
        <v>8.3333333333333329E-2</v>
      </c>
      <c r="D47" s="327" t="str">
        <f t="shared" si="2"/>
        <v>G</v>
      </c>
      <c r="E47" s="100" t="str">
        <f t="shared" si="0"/>
        <v>New Zealand</v>
      </c>
      <c r="F47" s="434">
        <f ca="1">IF(Poster!F47="",FResults!AB42,Poster!F47)</f>
        <v>0</v>
      </c>
      <c r="G47" s="328" t="str">
        <f>IF(Poster!G47="",FResults!AB42,Poster!G47)</f>
        <v>-</v>
      </c>
      <c r="H47" s="435">
        <f ca="1">IF(Poster!H47="",FResults!AC42,Poster!H47)</f>
        <v>2</v>
      </c>
      <c r="I47" s="101" t="str">
        <f t="shared" si="1"/>
        <v>Egypt</v>
      </c>
      <c r="J47" s="101" t="str">
        <f>Stadium2</f>
        <v>BC Place Vancouver</v>
      </c>
      <c r="K47" s="329" t="str">
        <f t="shared" si="3"/>
        <v>G</v>
      </c>
      <c r="L47" s="323" t="str">
        <f t="shared" ca="1" si="4"/>
        <v>Egypt</v>
      </c>
      <c r="M47" s="324" t="str">
        <f t="shared" ca="1" si="5"/>
        <v>New Zealand</v>
      </c>
      <c r="N47" s="330">
        <f>Results!X42</f>
        <v>9.7868994449999996E-2</v>
      </c>
      <c r="O47" s="330">
        <f>Results!Y42</f>
        <v>0.11592201109999997</v>
      </c>
      <c r="P47" s="330">
        <f>Results!Z42</f>
        <v>0.78620899445000003</v>
      </c>
      <c r="Q47" s="99"/>
      <c r="R47" s="347">
        <v>3</v>
      </c>
      <c r="S47" s="348" t="str">
        <f ca="1">FGrpF!B47</f>
        <v>Sweden</v>
      </c>
      <c r="T47" s="98">
        <f>FGrpF!C47</f>
        <v>3</v>
      </c>
      <c r="U47" s="98">
        <f ca="1">FGrpF!D47</f>
        <v>1</v>
      </c>
      <c r="V47" s="98">
        <f ca="1">FGrpF!E47</f>
        <v>0</v>
      </c>
      <c r="W47" s="98">
        <f ca="1">FGrpF!F47</f>
        <v>2</v>
      </c>
      <c r="X47" s="98">
        <f ca="1">FGrpF!G47</f>
        <v>5</v>
      </c>
      <c r="Y47" s="98">
        <f ca="1">FGrpF!H47</f>
        <v>5</v>
      </c>
      <c r="Z47" s="349">
        <f ca="1">FGrpF!I47</f>
        <v>0</v>
      </c>
      <c r="AA47" s="350">
        <f ca="1">FGrpF!J47</f>
        <v>3</v>
      </c>
      <c r="AC47" s="351" t="str">
        <f ca="1">FGrpF!K47</f>
        <v>Sweden</v>
      </c>
      <c r="AD47" s="353" t="str">
        <f ca="1">FGrpF!L47</f>
        <v>0-3</v>
      </c>
      <c r="AE47" s="353" t="str">
        <f ca="1">FGrpF!M47</f>
        <v>0-1</v>
      </c>
      <c r="AF47" s="352"/>
      <c r="AG47" s="353" t="str">
        <f ca="1">FGrpF!O47</f>
        <v>5-1</v>
      </c>
      <c r="AH47" s="354">
        <f ca="1">AA47</f>
        <v>3</v>
      </c>
    </row>
    <row r="48" spans="1:34" ht="14.25" customHeight="1" x14ac:dyDescent="0.2">
      <c r="A48" s="422" t="s">
        <v>584</v>
      </c>
      <c r="B48" s="427">
        <v>46195</v>
      </c>
      <c r="C48" s="326">
        <v>0.75</v>
      </c>
      <c r="D48" s="327" t="str">
        <f t="shared" si="2"/>
        <v>J</v>
      </c>
      <c r="E48" s="100" t="str">
        <f t="shared" si="0"/>
        <v>Argentina</v>
      </c>
      <c r="F48" s="434">
        <f ca="1">IF(Poster!F48="",FResults!AB43,Poster!F48)</f>
        <v>1</v>
      </c>
      <c r="G48" s="328" t="str">
        <f>IF(Poster!G48="",FResults!AB43,Poster!G48)</f>
        <v>-</v>
      </c>
      <c r="H48" s="435">
        <f ca="1">IF(Poster!H48="",FResults!AC43,Poster!H48)</f>
        <v>1</v>
      </c>
      <c r="I48" s="101" t="str">
        <f t="shared" si="1"/>
        <v>Austria</v>
      </c>
      <c r="J48" s="101" t="str">
        <f>Stadium8</f>
        <v>Dallas Stadium</v>
      </c>
      <c r="K48" s="329" t="str">
        <f t="shared" si="3"/>
        <v>J</v>
      </c>
      <c r="L48" s="323" t="str">
        <f t="shared" ca="1" si="4"/>
        <v>DArgentina</v>
      </c>
      <c r="M48" s="324" t="str">
        <f t="shared" ca="1" si="5"/>
        <v>DAustria</v>
      </c>
      <c r="N48" s="330">
        <f>Results!X43</f>
        <v>0.65852235680000004</v>
      </c>
      <c r="O48" s="330">
        <f>Results!Y43</f>
        <v>0.17407528640000003</v>
      </c>
      <c r="P48" s="330">
        <f>Results!Z43</f>
        <v>0.16740235679999996</v>
      </c>
      <c r="Q48" s="99"/>
      <c r="R48" s="347">
        <v>4</v>
      </c>
      <c r="S48" s="355" t="str">
        <f ca="1">FGrpF!B48</f>
        <v>Tunisia</v>
      </c>
      <c r="T48" s="356">
        <f>FGrpF!C48</f>
        <v>3</v>
      </c>
      <c r="U48" s="356">
        <f ca="1">FGrpF!D48</f>
        <v>0</v>
      </c>
      <c r="V48" s="356">
        <f ca="1">FGrpF!E48</f>
        <v>0</v>
      </c>
      <c r="W48" s="356">
        <f ca="1">FGrpF!F48</f>
        <v>3</v>
      </c>
      <c r="X48" s="356">
        <f ca="1">FGrpF!G48</f>
        <v>3</v>
      </c>
      <c r="Y48" s="356">
        <f ca="1">FGrpF!H48</f>
        <v>11</v>
      </c>
      <c r="Z48" s="357">
        <f ca="1">FGrpF!I48</f>
        <v>-8</v>
      </c>
      <c r="AA48" s="358">
        <f ca="1">FGrpF!J48</f>
        <v>0</v>
      </c>
      <c r="AC48" s="359" t="str">
        <f ca="1">FGrpF!K48</f>
        <v>Tunisia</v>
      </c>
      <c r="AD48" s="360" t="str">
        <f ca="1">FGrpF!L48</f>
        <v>0-3</v>
      </c>
      <c r="AE48" s="360" t="str">
        <f ca="1">FGrpF!M48</f>
        <v>2-3</v>
      </c>
      <c r="AF48" s="360" t="str">
        <f ca="1">FGrpF!N48</f>
        <v>1-5</v>
      </c>
      <c r="AG48" s="361"/>
      <c r="AH48" s="362">
        <f ca="1">AA48</f>
        <v>0</v>
      </c>
    </row>
    <row r="49" spans="1:34" ht="14.25" customHeight="1" x14ac:dyDescent="0.2">
      <c r="A49" s="422" t="s">
        <v>585</v>
      </c>
      <c r="B49" s="427">
        <v>46195</v>
      </c>
      <c r="C49" s="326">
        <v>0.91666666666666663</v>
      </c>
      <c r="D49" s="327" t="str">
        <f t="shared" si="2"/>
        <v>I</v>
      </c>
      <c r="E49" s="100" t="str">
        <f t="shared" si="0"/>
        <v>France</v>
      </c>
      <c r="F49" s="434">
        <f ca="1">IF(Poster!F49="",FResults!AB44,Poster!F49)</f>
        <v>2</v>
      </c>
      <c r="G49" s="328" t="str">
        <f>IF(Poster!G49="",FResults!AB44,Poster!G49)</f>
        <v>-</v>
      </c>
      <c r="H49" s="435">
        <f ca="1">IF(Poster!H49="",FResults!AC44,Poster!H49)</f>
        <v>0</v>
      </c>
      <c r="I49" s="101" t="str">
        <f t="shared" si="1"/>
        <v>Iraq</v>
      </c>
      <c r="J49" s="101" t="str">
        <f>Stadium14</f>
        <v>Philadelphia Stadium</v>
      </c>
      <c r="K49" s="329" t="str">
        <f t="shared" si="3"/>
        <v>I</v>
      </c>
      <c r="L49" s="323" t="str">
        <f t="shared" ca="1" si="4"/>
        <v>France</v>
      </c>
      <c r="M49" s="324" t="str">
        <f t="shared" ca="1" si="5"/>
        <v>Iraq</v>
      </c>
      <c r="N49" s="330">
        <f>Results!X44</f>
        <v>0.87519939619999998</v>
      </c>
      <c r="O49" s="330">
        <f>Results!Y44</f>
        <v>6.7241207599999964E-2</v>
      </c>
      <c r="P49" s="330">
        <f>Results!Z44</f>
        <v>5.7559396200000001E-2</v>
      </c>
      <c r="Q49" s="99"/>
      <c r="T49" s="98"/>
      <c r="U49" s="98"/>
      <c r="V49" s="98"/>
      <c r="W49" s="98"/>
      <c r="X49" s="98"/>
      <c r="Y49" s="98"/>
      <c r="Z49" s="349"/>
      <c r="AA49" s="311"/>
      <c r="AD49" s="98"/>
      <c r="AE49" s="98"/>
      <c r="AF49" s="98"/>
      <c r="AG49" s="98"/>
      <c r="AH49" s="98"/>
    </row>
    <row r="50" spans="1:34" ht="14.25" customHeight="1" x14ac:dyDescent="0.2">
      <c r="A50" s="422" t="s">
        <v>586</v>
      </c>
      <c r="B50" s="427">
        <v>46196</v>
      </c>
      <c r="C50" s="326">
        <v>4.1666666666666664E-2</v>
      </c>
      <c r="D50" s="327" t="str">
        <f t="shared" si="2"/>
        <v>I</v>
      </c>
      <c r="E50" s="100" t="str">
        <f t="shared" si="0"/>
        <v>Norway</v>
      </c>
      <c r="F50" s="434">
        <f ca="1">IF(Poster!F50="",FResults!AB45,Poster!F50)</f>
        <v>0</v>
      </c>
      <c r="G50" s="328" t="str">
        <f>IF(Poster!G50="",FResults!AB45,Poster!G50)</f>
        <v>-</v>
      </c>
      <c r="H50" s="435">
        <f ca="1">IF(Poster!H50="",FResults!AC45,Poster!H50)</f>
        <v>4</v>
      </c>
      <c r="I50" s="101" t="str">
        <f t="shared" si="1"/>
        <v>Senegal</v>
      </c>
      <c r="J50" s="101" t="str">
        <f>Stadium13</f>
        <v>MetLife Stadium</v>
      </c>
      <c r="K50" s="329" t="str">
        <f t="shared" si="3"/>
        <v>I</v>
      </c>
      <c r="L50" s="323" t="str">
        <f t="shared" ca="1" si="4"/>
        <v>Senegal</v>
      </c>
      <c r="M50" s="324" t="str">
        <f t="shared" ca="1" si="5"/>
        <v>Norway</v>
      </c>
      <c r="N50" s="330">
        <f>Results!X45</f>
        <v>0.35604078979999998</v>
      </c>
      <c r="O50" s="330">
        <f>Results!Y45</f>
        <v>0.23363842039999994</v>
      </c>
      <c r="P50" s="330">
        <f>Results!Z45</f>
        <v>0.41032078980000003</v>
      </c>
      <c r="Q50" s="99"/>
      <c r="R50" s="331"/>
      <c r="S50" s="332" t="s">
        <v>317</v>
      </c>
      <c r="T50" s="333"/>
      <c r="U50" s="333"/>
      <c r="V50" s="333"/>
      <c r="W50" s="333"/>
      <c r="X50" s="333"/>
      <c r="Y50" s="333"/>
      <c r="Z50" s="334"/>
      <c r="AA50" s="335"/>
      <c r="AC50" s="336" t="str">
        <f>S50</f>
        <v>Group G</v>
      </c>
      <c r="AD50" s="337"/>
      <c r="AE50" s="337"/>
      <c r="AF50" s="337"/>
      <c r="AG50" s="337"/>
      <c r="AH50" s="338"/>
    </row>
    <row r="51" spans="1:34" ht="14.25" customHeight="1" x14ac:dyDescent="0.2">
      <c r="A51" s="422" t="s">
        <v>587</v>
      </c>
      <c r="B51" s="427">
        <v>46196</v>
      </c>
      <c r="C51" s="326">
        <v>0.16666666666666666</v>
      </c>
      <c r="D51" s="327" t="str">
        <f t="shared" si="2"/>
        <v>J</v>
      </c>
      <c r="E51" s="100" t="str">
        <f t="shared" si="0"/>
        <v>Jordan</v>
      </c>
      <c r="F51" s="434">
        <f ca="1">IF(Poster!F51="",FResults!AB46,Poster!F51)</f>
        <v>1</v>
      </c>
      <c r="G51" s="328" t="str">
        <f>IF(Poster!G51="",FResults!AB46,Poster!G51)</f>
        <v>-</v>
      </c>
      <c r="H51" s="435">
        <f ca="1">IF(Poster!H51="",FResults!AC46,Poster!H51)</f>
        <v>2</v>
      </c>
      <c r="I51" s="101" t="str">
        <f t="shared" si="1"/>
        <v>Algeria</v>
      </c>
      <c r="J51" s="101" t="str">
        <f>Stadium15</f>
        <v>San Franciso Bay Stadium</v>
      </c>
      <c r="K51" s="329" t="str">
        <f t="shared" si="3"/>
        <v>J</v>
      </c>
      <c r="L51" s="323" t="str">
        <f t="shared" ca="1" si="4"/>
        <v>Algeria</v>
      </c>
      <c r="M51" s="324" t="str">
        <f t="shared" ca="1" si="5"/>
        <v>Jordan</v>
      </c>
      <c r="N51" s="330">
        <f>Results!X46</f>
        <v>0.1533367568</v>
      </c>
      <c r="O51" s="330">
        <f>Results!Y46</f>
        <v>0.16444648640000006</v>
      </c>
      <c r="P51" s="330">
        <f>Results!Z46</f>
        <v>0.68221675679999993</v>
      </c>
      <c r="Q51" s="99"/>
      <c r="R51" s="339" t="s">
        <v>325</v>
      </c>
      <c r="S51" s="340" t="s">
        <v>310</v>
      </c>
      <c r="T51" s="341" t="s">
        <v>311</v>
      </c>
      <c r="U51" s="341" t="s">
        <v>305</v>
      </c>
      <c r="V51" s="341" t="s">
        <v>15</v>
      </c>
      <c r="W51" s="341" t="s">
        <v>306</v>
      </c>
      <c r="X51" s="341" t="s">
        <v>307</v>
      </c>
      <c r="Y51" s="341" t="s">
        <v>16</v>
      </c>
      <c r="Z51" s="342" t="s">
        <v>308</v>
      </c>
      <c r="AA51" s="343" t="s">
        <v>566</v>
      </c>
      <c r="AC51" s="344" t="s">
        <v>310</v>
      </c>
      <c r="AD51" s="345" t="str">
        <f ca="1">LEFT($AC52,3)</f>
        <v>Egy</v>
      </c>
      <c r="AE51" s="345" t="str">
        <f ca="1">LEFT($AC53,3)</f>
        <v xml:space="preserve">IR </v>
      </c>
      <c r="AF51" s="345" t="str">
        <f ca="1">LEFT($AC54,3)</f>
        <v>Bel</v>
      </c>
      <c r="AG51" s="345" t="str">
        <f ca="1">LEFT($AC55,3)</f>
        <v>New</v>
      </c>
      <c r="AH51" s="346" t="s">
        <v>566</v>
      </c>
    </row>
    <row r="52" spans="1:34" ht="14.25" customHeight="1" x14ac:dyDescent="0.2">
      <c r="A52" s="422" t="s">
        <v>588</v>
      </c>
      <c r="B52" s="427">
        <v>46196</v>
      </c>
      <c r="C52" s="326">
        <v>0.75</v>
      </c>
      <c r="D52" s="327" t="str">
        <f t="shared" si="2"/>
        <v>K</v>
      </c>
      <c r="E52" s="100" t="str">
        <f t="shared" si="0"/>
        <v>Portugal</v>
      </c>
      <c r="F52" s="434">
        <f ca="1">IF(Poster!F52="",FResults!AB47,Poster!F52)</f>
        <v>1</v>
      </c>
      <c r="G52" s="328" t="str">
        <f>IF(Poster!G52="",FResults!AB47,Poster!G52)</f>
        <v>-</v>
      </c>
      <c r="H52" s="435">
        <f ca="1">IF(Poster!H52="",FResults!AC47,Poster!H52)</f>
        <v>0</v>
      </c>
      <c r="I52" s="101" t="str">
        <f t="shared" si="1"/>
        <v>Uzbekistan</v>
      </c>
      <c r="J52" s="101" t="str">
        <f>Stadium9</f>
        <v>Houston Stadium</v>
      </c>
      <c r="K52" s="329" t="str">
        <f t="shared" si="3"/>
        <v>K</v>
      </c>
      <c r="L52" s="323" t="str">
        <f t="shared" ca="1" si="4"/>
        <v>Portugal</v>
      </c>
      <c r="M52" s="324" t="str">
        <f t="shared" ca="1" si="5"/>
        <v>Uzbekistan</v>
      </c>
      <c r="N52" s="330">
        <f>Results!X47</f>
        <v>0.84365703125000002</v>
      </c>
      <c r="O52" s="330">
        <f>Results!Y47</f>
        <v>8.5185937500000031E-2</v>
      </c>
      <c r="P52" s="330">
        <f>Results!Z47</f>
        <v>7.1157031249999975E-2</v>
      </c>
      <c r="Q52" s="99"/>
      <c r="R52" s="347">
        <v>1</v>
      </c>
      <c r="S52" s="348" t="str">
        <f ca="1">FGrpG!B45</f>
        <v>Egypt</v>
      </c>
      <c r="T52" s="98">
        <f>FGrpG!C45</f>
        <v>3</v>
      </c>
      <c r="U52" s="98">
        <f ca="1">FGrpG!D45</f>
        <v>1</v>
      </c>
      <c r="V52" s="98">
        <f ca="1">FGrpG!E45</f>
        <v>2</v>
      </c>
      <c r="W52" s="98">
        <f ca="1">FGrpG!F45</f>
        <v>0</v>
      </c>
      <c r="X52" s="98">
        <f ca="1">FGrpG!G45</f>
        <v>5</v>
      </c>
      <c r="Y52" s="98">
        <f ca="1">FGrpG!H45</f>
        <v>3</v>
      </c>
      <c r="Z52" s="349">
        <f ca="1">FGrpG!I45</f>
        <v>2</v>
      </c>
      <c r="AA52" s="350">
        <f ca="1">FGrpG!J45</f>
        <v>5</v>
      </c>
      <c r="AC52" s="351" t="str">
        <f ca="1">FGrpG!K45</f>
        <v>Egypt</v>
      </c>
      <c r="AD52" s="352"/>
      <c r="AE52" s="353" t="str">
        <f ca="1">FGrpG!M45</f>
        <v>2-2</v>
      </c>
      <c r="AF52" s="353" t="str">
        <f ca="1">FGrpG!N45</f>
        <v>1-1</v>
      </c>
      <c r="AG52" s="353" t="str">
        <f ca="1">FGrpG!O45</f>
        <v>2-0</v>
      </c>
      <c r="AH52" s="354">
        <f ca="1">AA52</f>
        <v>5</v>
      </c>
    </row>
    <row r="53" spans="1:34" ht="14.25" customHeight="1" x14ac:dyDescent="0.2">
      <c r="A53" s="422" t="s">
        <v>589</v>
      </c>
      <c r="B53" s="427">
        <v>46196</v>
      </c>
      <c r="C53" s="326">
        <v>0.875</v>
      </c>
      <c r="D53" s="327" t="str">
        <f t="shared" si="2"/>
        <v>L</v>
      </c>
      <c r="E53" s="100" t="str">
        <f t="shared" si="0"/>
        <v>England</v>
      </c>
      <c r="F53" s="434">
        <f ca="1">IF(Poster!F53="",FResults!AB48,Poster!F53)</f>
        <v>2</v>
      </c>
      <c r="G53" s="328" t="str">
        <f>IF(Poster!G53="",FResults!AB48,Poster!G53)</f>
        <v>-</v>
      </c>
      <c r="H53" s="435">
        <f ca="1">IF(Poster!H53="",FResults!AC48,Poster!H53)</f>
        <v>1</v>
      </c>
      <c r="I53" s="101" t="str">
        <f t="shared" si="1"/>
        <v>Ghana</v>
      </c>
      <c r="J53" s="101" t="str">
        <f>Stadium7</f>
        <v>Boston Stadium</v>
      </c>
      <c r="K53" s="329" t="str">
        <f t="shared" si="3"/>
        <v>L</v>
      </c>
      <c r="L53" s="323" t="str">
        <f t="shared" ca="1" si="4"/>
        <v>England</v>
      </c>
      <c r="M53" s="324" t="str">
        <f t="shared" ca="1" si="5"/>
        <v>Ghana</v>
      </c>
      <c r="N53" s="330">
        <f>Results!X48</f>
        <v>0.85787673045000001</v>
      </c>
      <c r="O53" s="330">
        <f>Results!Y48</f>
        <v>7.7186539100000062E-2</v>
      </c>
      <c r="P53" s="330">
        <f>Results!Z48</f>
        <v>6.493673044999998E-2</v>
      </c>
      <c r="Q53" s="99"/>
      <c r="R53" s="347">
        <v>2</v>
      </c>
      <c r="S53" s="348" t="str">
        <f ca="1">FGrpG!B46</f>
        <v>IR Iran</v>
      </c>
      <c r="T53" s="98">
        <f>FGrpG!C46</f>
        <v>3</v>
      </c>
      <c r="U53" s="98">
        <f ca="1">FGrpG!D46</f>
        <v>1</v>
      </c>
      <c r="V53" s="98">
        <f ca="1">FGrpG!E46</f>
        <v>2</v>
      </c>
      <c r="W53" s="98">
        <f ca="1">FGrpG!F46</f>
        <v>0</v>
      </c>
      <c r="X53" s="98">
        <f ca="1">FGrpG!G46</f>
        <v>6</v>
      </c>
      <c r="Y53" s="98">
        <f ca="1">FGrpG!H46</f>
        <v>5</v>
      </c>
      <c r="Z53" s="349">
        <f ca="1">FGrpG!I46</f>
        <v>1</v>
      </c>
      <c r="AA53" s="350">
        <f ca="1">FGrpG!J46</f>
        <v>5</v>
      </c>
      <c r="AC53" s="351" t="str">
        <f ca="1">FGrpG!K46</f>
        <v>IR Iran</v>
      </c>
      <c r="AD53" s="353" t="str">
        <f ca="1">FGrpG!L46</f>
        <v>2-2</v>
      </c>
      <c r="AE53" s="352"/>
      <c r="AF53" s="353" t="str">
        <f ca="1">FGrpG!N46</f>
        <v>2-1</v>
      </c>
      <c r="AG53" s="353" t="str">
        <f ca="1">FGrpG!O46</f>
        <v>2-2</v>
      </c>
      <c r="AH53" s="354">
        <f ca="1">AA53</f>
        <v>5</v>
      </c>
    </row>
    <row r="54" spans="1:34" ht="14.25" customHeight="1" x14ac:dyDescent="0.2">
      <c r="A54" s="422" t="s">
        <v>590</v>
      </c>
      <c r="B54" s="427">
        <v>46197</v>
      </c>
      <c r="C54" s="326">
        <v>0</v>
      </c>
      <c r="D54" s="327" t="str">
        <f t="shared" si="2"/>
        <v>L</v>
      </c>
      <c r="E54" s="100" t="str">
        <f t="shared" si="0"/>
        <v>Panama</v>
      </c>
      <c r="F54" s="434">
        <f ca="1">IF(Poster!F54="",FResults!AB49,Poster!F54)</f>
        <v>0</v>
      </c>
      <c r="G54" s="328" t="str">
        <f>IF(Poster!G54="",FResults!AB49,Poster!G54)</f>
        <v>-</v>
      </c>
      <c r="H54" s="435">
        <f ca="1">IF(Poster!H54="",FResults!AC49,Poster!H54)</f>
        <v>3</v>
      </c>
      <c r="I54" s="101" t="str">
        <f t="shared" si="1"/>
        <v>Croatia</v>
      </c>
      <c r="J54" s="101" t="str">
        <f>Stadium1</f>
        <v>Toronto Stadium</v>
      </c>
      <c r="K54" s="329" t="str">
        <f t="shared" si="3"/>
        <v>L</v>
      </c>
      <c r="L54" s="323" t="str">
        <f t="shared" ca="1" si="4"/>
        <v>Croatia</v>
      </c>
      <c r="M54" s="324" t="str">
        <f t="shared" ca="1" si="5"/>
        <v>Panama</v>
      </c>
      <c r="N54" s="330">
        <f>Results!X49</f>
        <v>0.22415703124999997</v>
      </c>
      <c r="O54" s="330">
        <f>Results!Y49</f>
        <v>0.20418593750000003</v>
      </c>
      <c r="P54" s="330">
        <f>Results!Z49</f>
        <v>0.57165703125</v>
      </c>
      <c r="Q54" s="99"/>
      <c r="R54" s="347">
        <v>3</v>
      </c>
      <c r="S54" s="348" t="str">
        <f ca="1">FGrpG!B47</f>
        <v>Belgium</v>
      </c>
      <c r="T54" s="98">
        <f>FGrpG!C47</f>
        <v>3</v>
      </c>
      <c r="U54" s="98">
        <f ca="1">FGrpG!D47</f>
        <v>1</v>
      </c>
      <c r="V54" s="98">
        <f ca="1">FGrpG!E47</f>
        <v>1</v>
      </c>
      <c r="W54" s="98">
        <f ca="1">FGrpG!F47</f>
        <v>1</v>
      </c>
      <c r="X54" s="98">
        <f ca="1">FGrpG!G47</f>
        <v>3</v>
      </c>
      <c r="Y54" s="98">
        <f ca="1">FGrpG!H47</f>
        <v>3</v>
      </c>
      <c r="Z54" s="349">
        <f ca="1">FGrpG!I47</f>
        <v>0</v>
      </c>
      <c r="AA54" s="350">
        <f ca="1">FGrpG!J47</f>
        <v>4</v>
      </c>
      <c r="AC54" s="351" t="str">
        <f ca="1">FGrpG!K47</f>
        <v>Belgium</v>
      </c>
      <c r="AD54" s="353" t="str">
        <f ca="1">FGrpG!L47</f>
        <v>1-1</v>
      </c>
      <c r="AE54" s="353" t="str">
        <f ca="1">FGrpG!M47</f>
        <v>1-2</v>
      </c>
      <c r="AF54" s="352"/>
      <c r="AG54" s="353" t="str">
        <f ca="1">FGrpG!O47</f>
        <v>1-0</v>
      </c>
      <c r="AH54" s="354">
        <f ca="1">AA54</f>
        <v>4</v>
      </c>
    </row>
    <row r="55" spans="1:34" ht="14.25" customHeight="1" x14ac:dyDescent="0.2">
      <c r="A55" s="422" t="s">
        <v>591</v>
      </c>
      <c r="B55" s="427">
        <v>46197</v>
      </c>
      <c r="C55" s="326">
        <v>0.125</v>
      </c>
      <c r="D55" s="327" t="str">
        <f t="shared" si="2"/>
        <v>K</v>
      </c>
      <c r="E55" s="100" t="str">
        <f t="shared" si="0"/>
        <v>Colombia</v>
      </c>
      <c r="F55" s="434">
        <f ca="1">IF(Poster!F55="",FResults!AB50,Poster!F55)</f>
        <v>2</v>
      </c>
      <c r="G55" s="328" t="str">
        <f>IF(Poster!G55="",FResults!AB50,Poster!G55)</f>
        <v>-</v>
      </c>
      <c r="H55" s="435">
        <f ca="1">IF(Poster!H55="",FResults!AC50,Poster!H55)</f>
        <v>0</v>
      </c>
      <c r="I55" s="101" t="str">
        <f t="shared" si="1"/>
        <v>Congo DR</v>
      </c>
      <c r="J55" s="101" t="str">
        <f>Stadium4</f>
        <v>Estadio Guadalajara</v>
      </c>
      <c r="K55" s="329" t="str">
        <f t="shared" si="3"/>
        <v>K</v>
      </c>
      <c r="L55" s="323" t="str">
        <f t="shared" ca="1" si="4"/>
        <v>Colombia</v>
      </c>
      <c r="M55" s="324" t="str">
        <f t="shared" ca="1" si="5"/>
        <v>Congo DR</v>
      </c>
      <c r="N55" s="330">
        <f>Results!X50</f>
        <v>0.74444252644999998</v>
      </c>
      <c r="O55" s="330">
        <f>Results!Y50</f>
        <v>0.13657494710000007</v>
      </c>
      <c r="P55" s="330">
        <f>Results!Z50</f>
        <v>0.11898252645000001</v>
      </c>
      <c r="Q55" s="99"/>
      <c r="R55" s="347">
        <v>4</v>
      </c>
      <c r="S55" s="355" t="str">
        <f ca="1">FGrpG!B48</f>
        <v>New Zealand</v>
      </c>
      <c r="T55" s="356">
        <f>FGrpG!C48</f>
        <v>3</v>
      </c>
      <c r="U55" s="356">
        <f ca="1">FGrpG!D48</f>
        <v>0</v>
      </c>
      <c r="V55" s="356">
        <f ca="1">FGrpG!E48</f>
        <v>1</v>
      </c>
      <c r="W55" s="356">
        <f ca="1">FGrpG!F48</f>
        <v>2</v>
      </c>
      <c r="X55" s="356">
        <f ca="1">FGrpG!G48</f>
        <v>2</v>
      </c>
      <c r="Y55" s="356">
        <f ca="1">FGrpG!H48</f>
        <v>5</v>
      </c>
      <c r="Z55" s="357">
        <f ca="1">FGrpG!I48</f>
        <v>-3</v>
      </c>
      <c r="AA55" s="358">
        <f ca="1">FGrpG!J48</f>
        <v>1</v>
      </c>
      <c r="AC55" s="359" t="str">
        <f ca="1">FGrpG!K48</f>
        <v>New Zealand</v>
      </c>
      <c r="AD55" s="360" t="str">
        <f ca="1">FGrpG!L48</f>
        <v>0-2</v>
      </c>
      <c r="AE55" s="360" t="str">
        <f ca="1">FGrpG!M48</f>
        <v>2-2</v>
      </c>
      <c r="AF55" s="360" t="str">
        <f ca="1">FGrpG!N48</f>
        <v>0-1</v>
      </c>
      <c r="AG55" s="361"/>
      <c r="AH55" s="362">
        <f ca="1">AA55</f>
        <v>1</v>
      </c>
    </row>
    <row r="56" spans="1:34" ht="14.25" customHeight="1" x14ac:dyDescent="0.2">
      <c r="A56" s="422" t="s">
        <v>592</v>
      </c>
      <c r="B56" s="427">
        <v>46197</v>
      </c>
      <c r="C56" s="326">
        <v>0.83333333333333337</v>
      </c>
      <c r="D56" s="327" t="str">
        <f t="shared" si="2"/>
        <v>B</v>
      </c>
      <c r="E56" s="100" t="str">
        <f t="shared" si="0"/>
        <v>Switzerland</v>
      </c>
      <c r="F56" s="434">
        <f ca="1">IF(Poster!F56="",FResults!AB51,Poster!F56)</f>
        <v>1</v>
      </c>
      <c r="G56" s="328" t="str">
        <f>IF(Poster!G56="",FResults!AB51,Poster!G56)</f>
        <v>-</v>
      </c>
      <c r="H56" s="435">
        <f ca="1">IF(Poster!H56="",FResults!AC51,Poster!H56)</f>
        <v>0</v>
      </c>
      <c r="I56" s="101" t="str">
        <f t="shared" si="1"/>
        <v>Canada</v>
      </c>
      <c r="J56" s="101" t="str">
        <f>Stadium2</f>
        <v>BC Place Vancouver</v>
      </c>
      <c r="K56" s="329" t="str">
        <f t="shared" si="3"/>
        <v>B</v>
      </c>
      <c r="L56" s="323" t="str">
        <f t="shared" ca="1" si="4"/>
        <v>Switzerland</v>
      </c>
      <c r="M56" s="324" t="str">
        <f t="shared" ca="1" si="5"/>
        <v>Canada</v>
      </c>
      <c r="N56" s="330">
        <f>Results!X51</f>
        <v>0.47998398980000007</v>
      </c>
      <c r="O56" s="330">
        <f>Results!Y51</f>
        <v>0.22575202039999992</v>
      </c>
      <c r="P56" s="330">
        <f>Results!Z51</f>
        <v>0.29426398980000001</v>
      </c>
      <c r="Q56" s="99"/>
      <c r="R56" s="97" t="s">
        <v>327</v>
      </c>
      <c r="T56" s="98"/>
      <c r="U56" s="98"/>
      <c r="V56" s="98"/>
      <c r="W56" s="98"/>
      <c r="X56" s="98"/>
      <c r="Y56" s="98"/>
      <c r="Z56" s="349"/>
      <c r="AA56" s="311"/>
      <c r="AD56" s="98"/>
      <c r="AE56" s="98"/>
      <c r="AF56" s="98"/>
      <c r="AG56" s="98"/>
      <c r="AH56" s="98"/>
    </row>
    <row r="57" spans="1:34" ht="14.25" customHeight="1" x14ac:dyDescent="0.2">
      <c r="A57" s="422" t="s">
        <v>593</v>
      </c>
      <c r="B57" s="427">
        <v>46197</v>
      </c>
      <c r="C57" s="326">
        <v>0.83333333333333337</v>
      </c>
      <c r="D57" s="327" t="str">
        <f t="shared" si="2"/>
        <v>B</v>
      </c>
      <c r="E57" s="100" t="str">
        <f t="shared" si="0"/>
        <v>Bosnia-Herzegovina</v>
      </c>
      <c r="F57" s="434">
        <f ca="1">IF(Poster!F57="",FResults!AB52,Poster!F57)</f>
        <v>0</v>
      </c>
      <c r="G57" s="328" t="str">
        <f>IF(Poster!G57="",FResults!AB52,Poster!G57)</f>
        <v>-</v>
      </c>
      <c r="H57" s="435">
        <f ca="1">IF(Poster!H57="",FResults!AC52,Poster!H57)</f>
        <v>0</v>
      </c>
      <c r="I57" s="101" t="str">
        <f t="shared" si="1"/>
        <v>Qatar</v>
      </c>
      <c r="J57" s="101" t="str">
        <f>Stadium16</f>
        <v>Seattle Stadium</v>
      </c>
      <c r="K57" s="329" t="str">
        <f t="shared" si="3"/>
        <v>B</v>
      </c>
      <c r="L57" s="323" t="str">
        <f t="shared" ca="1" si="4"/>
        <v>DBosnia-Herzegovina</v>
      </c>
      <c r="M57" s="324" t="str">
        <f t="shared" ca="1" si="5"/>
        <v>DQatar</v>
      </c>
      <c r="N57" s="330">
        <f>Results!X52</f>
        <v>0.3152625</v>
      </c>
      <c r="O57" s="330">
        <f>Results!Y52</f>
        <v>0.22947499999999998</v>
      </c>
      <c r="P57" s="330">
        <f>Results!Z52</f>
        <v>0.45526250000000001</v>
      </c>
      <c r="Q57" s="99"/>
      <c r="R57" s="331"/>
      <c r="S57" s="332" t="s">
        <v>318</v>
      </c>
      <c r="T57" s="333"/>
      <c r="U57" s="333"/>
      <c r="V57" s="333"/>
      <c r="W57" s="333"/>
      <c r="X57" s="333"/>
      <c r="Y57" s="333"/>
      <c r="Z57" s="334"/>
      <c r="AA57" s="335"/>
      <c r="AC57" s="363" t="str">
        <f>S57</f>
        <v>Group H</v>
      </c>
      <c r="AD57" s="364"/>
      <c r="AE57" s="364"/>
      <c r="AF57" s="364"/>
      <c r="AG57" s="364"/>
      <c r="AH57" s="365"/>
    </row>
    <row r="58" spans="1:34" ht="14.25" customHeight="1" x14ac:dyDescent="0.2">
      <c r="A58" s="422" t="s">
        <v>594</v>
      </c>
      <c r="B58" s="427">
        <v>46197</v>
      </c>
      <c r="C58" s="326">
        <v>0.95833333333333337</v>
      </c>
      <c r="D58" s="327" t="str">
        <f t="shared" si="2"/>
        <v>C</v>
      </c>
      <c r="E58" s="100" t="str">
        <f t="shared" si="0"/>
        <v>Scotland</v>
      </c>
      <c r="F58" s="434">
        <f ca="1">IF(Poster!F58="",FResults!AB53,Poster!F58)</f>
        <v>0</v>
      </c>
      <c r="G58" s="328" t="str">
        <f>IF(Poster!G58="",FResults!AB53,Poster!G58)</f>
        <v>-</v>
      </c>
      <c r="H58" s="435">
        <f ca="1">IF(Poster!H58="",FResults!AC53,Poster!H58)</f>
        <v>1</v>
      </c>
      <c r="I58" s="101" t="str">
        <f t="shared" si="1"/>
        <v>Brazil</v>
      </c>
      <c r="J58" s="101" t="str">
        <f>Stadium12</f>
        <v>Miami Stadium</v>
      </c>
      <c r="K58" s="329" t="str">
        <f t="shared" si="3"/>
        <v>C</v>
      </c>
      <c r="L58" s="323" t="str">
        <f t="shared" ca="1" si="4"/>
        <v>Brazil</v>
      </c>
      <c r="M58" s="324" t="str">
        <f t="shared" ca="1" si="5"/>
        <v>Scotland</v>
      </c>
      <c r="N58" s="330">
        <f>Results!X53</f>
        <v>0.11960835619999999</v>
      </c>
      <c r="O58" s="330">
        <f>Results!Y53</f>
        <v>0.13714328759999994</v>
      </c>
      <c r="P58" s="330">
        <f>Results!Z53</f>
        <v>0.74324835620000007</v>
      </c>
      <c r="Q58" s="99"/>
      <c r="R58" s="339" t="s">
        <v>325</v>
      </c>
      <c r="S58" s="340" t="s">
        <v>310</v>
      </c>
      <c r="T58" s="341" t="s">
        <v>311</v>
      </c>
      <c r="U58" s="341" t="s">
        <v>305</v>
      </c>
      <c r="V58" s="341" t="s">
        <v>15</v>
      </c>
      <c r="W58" s="341" t="s">
        <v>306</v>
      </c>
      <c r="X58" s="341" t="s">
        <v>307</v>
      </c>
      <c r="Y58" s="341" t="s">
        <v>16</v>
      </c>
      <c r="Z58" s="342" t="s">
        <v>308</v>
      </c>
      <c r="AA58" s="343" t="s">
        <v>566</v>
      </c>
      <c r="AC58" s="344" t="s">
        <v>310</v>
      </c>
      <c r="AD58" s="345" t="str">
        <f ca="1">LEFT($AC59,3)</f>
        <v>Spa</v>
      </c>
      <c r="AE58" s="345" t="str">
        <f ca="1">LEFT($AC60,3)</f>
        <v>Cab</v>
      </c>
      <c r="AF58" s="345" t="str">
        <f ca="1">LEFT($AC61,3)</f>
        <v>Sau</v>
      </c>
      <c r="AG58" s="345" t="str">
        <f ca="1">LEFT($AC62,3)</f>
        <v>Uru</v>
      </c>
      <c r="AH58" s="346" t="s">
        <v>566</v>
      </c>
    </row>
    <row r="59" spans="1:34" ht="14.25" customHeight="1" x14ac:dyDescent="0.2">
      <c r="A59" s="422" t="s">
        <v>595</v>
      </c>
      <c r="B59" s="427">
        <v>46197</v>
      </c>
      <c r="C59" s="326">
        <v>0.95833333333333337</v>
      </c>
      <c r="D59" s="327" t="str">
        <f t="shared" si="2"/>
        <v>C</v>
      </c>
      <c r="E59" s="100" t="str">
        <f t="shared" si="0"/>
        <v>Morocco</v>
      </c>
      <c r="F59" s="434">
        <f ca="1">IF(Poster!F59="",FResults!AB54,Poster!F59)</f>
        <v>3</v>
      </c>
      <c r="G59" s="328" t="str">
        <f>IF(Poster!G59="",FResults!AB54,Poster!G59)</f>
        <v>-</v>
      </c>
      <c r="H59" s="435">
        <f ca="1">IF(Poster!H59="",FResults!AC54,Poster!H59)</f>
        <v>0</v>
      </c>
      <c r="I59" s="101" t="str">
        <f t="shared" si="1"/>
        <v>Haiti</v>
      </c>
      <c r="J59" s="101" t="str">
        <f>Stadium6</f>
        <v>Atlanta Stadium</v>
      </c>
      <c r="K59" s="329" t="str">
        <f t="shared" si="3"/>
        <v>C</v>
      </c>
      <c r="L59" s="323" t="str">
        <f t="shared" ca="1" si="4"/>
        <v>Morocco</v>
      </c>
      <c r="M59" s="324" t="str">
        <f t="shared" ca="1" si="5"/>
        <v>Haiti</v>
      </c>
      <c r="N59" s="330">
        <f>Results!X54</f>
        <v>0.90311862499999995</v>
      </c>
      <c r="O59" s="330">
        <f>Results!Y54</f>
        <v>5.0762749999999968E-2</v>
      </c>
      <c r="P59" s="330">
        <f>Results!Z54</f>
        <v>4.6118625000000052E-2</v>
      </c>
      <c r="Q59" s="99"/>
      <c r="R59" s="347">
        <v>1</v>
      </c>
      <c r="S59" s="348" t="str">
        <f ca="1">FGrpH!B45</f>
        <v>Spain</v>
      </c>
      <c r="T59" s="98">
        <f>FGrpH!C45</f>
        <v>3</v>
      </c>
      <c r="U59" s="98">
        <f ca="1">FGrpH!D45</f>
        <v>2</v>
      </c>
      <c r="V59" s="98">
        <f ca="1">FGrpH!E45</f>
        <v>1</v>
      </c>
      <c r="W59" s="98">
        <f ca="1">FGrpH!F45</f>
        <v>0</v>
      </c>
      <c r="X59" s="98">
        <f ca="1">FGrpH!G45</f>
        <v>3</v>
      </c>
      <c r="Y59" s="98">
        <f ca="1">FGrpH!H45</f>
        <v>0</v>
      </c>
      <c r="Z59" s="349">
        <f ca="1">FGrpH!I45</f>
        <v>3</v>
      </c>
      <c r="AA59" s="350">
        <f ca="1">FGrpH!J45</f>
        <v>7</v>
      </c>
      <c r="AC59" s="351" t="str">
        <f ca="1">FGrpH!K45</f>
        <v>Spain</v>
      </c>
      <c r="AD59" s="352"/>
      <c r="AE59" s="353" t="str">
        <f ca="1">FGrpH!M45</f>
        <v>0-0</v>
      </c>
      <c r="AF59" s="353" t="str">
        <f ca="1">FGrpH!N45</f>
        <v>1-0</v>
      </c>
      <c r="AG59" s="353" t="str">
        <f ca="1">FGrpH!O45</f>
        <v>2-0</v>
      </c>
      <c r="AH59" s="354">
        <f ca="1">AA59</f>
        <v>7</v>
      </c>
    </row>
    <row r="60" spans="1:34" ht="14.25" customHeight="1" x14ac:dyDescent="0.2">
      <c r="A60" s="422" t="s">
        <v>596</v>
      </c>
      <c r="B60" s="427">
        <v>46198</v>
      </c>
      <c r="C60" s="326">
        <v>8.3333333333333329E-2</v>
      </c>
      <c r="D60" s="327" t="str">
        <f t="shared" si="2"/>
        <v>A</v>
      </c>
      <c r="E60" s="100" t="str">
        <f t="shared" si="0"/>
        <v>Czechia</v>
      </c>
      <c r="F60" s="434">
        <f ca="1">IF(Poster!F60="",FResults!AB55,Poster!F60)</f>
        <v>0</v>
      </c>
      <c r="G60" s="328" t="str">
        <f>IF(Poster!G60="",FResults!AB55,Poster!G60)</f>
        <v>-</v>
      </c>
      <c r="H60" s="435">
        <f ca="1">IF(Poster!H60="",FResults!AC55,Poster!H60)</f>
        <v>1</v>
      </c>
      <c r="I60" s="101" t="str">
        <f t="shared" si="1"/>
        <v>Mexico</v>
      </c>
      <c r="J60" s="101" t="str">
        <f>Stadium3</f>
        <v>Mexico City Stadium</v>
      </c>
      <c r="K60" s="329" t="str">
        <f t="shared" si="3"/>
        <v>A</v>
      </c>
      <c r="L60" s="323" t="str">
        <f t="shared" ca="1" si="4"/>
        <v>Mexico</v>
      </c>
      <c r="M60" s="324" t="str">
        <f t="shared" ca="1" si="5"/>
        <v>Czechia</v>
      </c>
      <c r="N60" s="330">
        <f>Results!X55</f>
        <v>0.15007341604999999</v>
      </c>
      <c r="O60" s="330">
        <f>Results!Y55</f>
        <v>0.16207316790000006</v>
      </c>
      <c r="P60" s="330">
        <f>Results!Z55</f>
        <v>0.68785341604999994</v>
      </c>
      <c r="Q60" s="99"/>
      <c r="R60" s="347">
        <v>2</v>
      </c>
      <c r="S60" s="348" t="str">
        <f ca="1">FGrpH!B46</f>
        <v>Cabo Verde</v>
      </c>
      <c r="T60" s="98">
        <f>FGrpH!C46</f>
        <v>3</v>
      </c>
      <c r="U60" s="98">
        <f ca="1">FGrpH!D46</f>
        <v>1</v>
      </c>
      <c r="V60" s="98">
        <f ca="1">FGrpH!E46</f>
        <v>2</v>
      </c>
      <c r="W60" s="98">
        <f ca="1">FGrpH!F46</f>
        <v>0</v>
      </c>
      <c r="X60" s="98">
        <f ca="1">FGrpH!G46</f>
        <v>2</v>
      </c>
      <c r="Y60" s="98">
        <f ca="1">FGrpH!H46</f>
        <v>1</v>
      </c>
      <c r="Z60" s="349">
        <f ca="1">FGrpH!I46</f>
        <v>1</v>
      </c>
      <c r="AA60" s="350">
        <f ca="1">FGrpH!J46</f>
        <v>5</v>
      </c>
      <c r="AC60" s="351" t="str">
        <f ca="1">FGrpH!K46</f>
        <v>Cabo Verde</v>
      </c>
      <c r="AD60" s="353" t="str">
        <f ca="1">FGrpH!L46</f>
        <v>0-0</v>
      </c>
      <c r="AE60" s="352"/>
      <c r="AF60" s="353" t="str">
        <f ca="1">FGrpH!N46</f>
        <v>1-1</v>
      </c>
      <c r="AG60" s="353" t="str">
        <f ca="1">FGrpH!O46</f>
        <v>1-0</v>
      </c>
      <c r="AH60" s="354">
        <f ca="1">AA60</f>
        <v>5</v>
      </c>
    </row>
    <row r="61" spans="1:34" ht="14.25" customHeight="1" x14ac:dyDescent="0.2">
      <c r="A61" s="422" t="s">
        <v>597</v>
      </c>
      <c r="B61" s="427">
        <v>46198</v>
      </c>
      <c r="C61" s="326">
        <v>8.3333333333333329E-2</v>
      </c>
      <c r="D61" s="327" t="str">
        <f t="shared" si="2"/>
        <v>A</v>
      </c>
      <c r="E61" s="100" t="str">
        <f t="shared" si="0"/>
        <v>South Africa</v>
      </c>
      <c r="F61" s="434">
        <f ca="1">IF(Poster!F61="",FResults!AB56,Poster!F61)</f>
        <v>0</v>
      </c>
      <c r="G61" s="328" t="str">
        <f>IF(Poster!G61="",FResults!AB56,Poster!G61)</f>
        <v>-</v>
      </c>
      <c r="H61" s="435">
        <f ca="1">IF(Poster!H61="",FResults!AC56,Poster!H61)</f>
        <v>1</v>
      </c>
      <c r="I61" s="101" t="str">
        <f t="shared" si="1"/>
        <v>Korea Republic</v>
      </c>
      <c r="J61" s="101" t="str">
        <f>Stadium5</f>
        <v>Estadio Monterrey</v>
      </c>
      <c r="K61" s="329" t="str">
        <f t="shared" si="3"/>
        <v>A</v>
      </c>
      <c r="L61" s="323" t="str">
        <f t="shared" ca="1" si="4"/>
        <v>Korea Republic</v>
      </c>
      <c r="M61" s="324" t="str">
        <f t="shared" ca="1" si="5"/>
        <v>South Africa</v>
      </c>
      <c r="N61" s="330">
        <f>Results!X56</f>
        <v>0.17414884445000001</v>
      </c>
      <c r="O61" s="330">
        <f>Results!Y56</f>
        <v>0.1783623111</v>
      </c>
      <c r="P61" s="330">
        <f>Results!Z56</f>
        <v>0.64748884444999999</v>
      </c>
      <c r="Q61" s="99"/>
      <c r="R61" s="347">
        <v>3</v>
      </c>
      <c r="S61" s="348" t="str">
        <f ca="1">FGrpH!B47</f>
        <v>Saudi Arabia</v>
      </c>
      <c r="T61" s="98">
        <f>FGrpH!C47</f>
        <v>3</v>
      </c>
      <c r="U61" s="98">
        <f ca="1">FGrpH!D47</f>
        <v>0</v>
      </c>
      <c r="V61" s="98">
        <f ca="1">FGrpH!E47</f>
        <v>2</v>
      </c>
      <c r="W61" s="98">
        <f ca="1">FGrpH!F47</f>
        <v>1</v>
      </c>
      <c r="X61" s="98">
        <f ca="1">FGrpH!G47</f>
        <v>2</v>
      </c>
      <c r="Y61" s="98">
        <f ca="1">FGrpH!H47</f>
        <v>3</v>
      </c>
      <c r="Z61" s="349">
        <f ca="1">FGrpH!I47</f>
        <v>-1</v>
      </c>
      <c r="AA61" s="350">
        <f ca="1">FGrpH!J47</f>
        <v>2</v>
      </c>
      <c r="AC61" s="351" t="str">
        <f ca="1">FGrpH!K47</f>
        <v>Saudi Arabia</v>
      </c>
      <c r="AD61" s="353" t="str">
        <f ca="1">FGrpH!L47</f>
        <v>0-1</v>
      </c>
      <c r="AE61" s="353" t="str">
        <f ca="1">FGrpH!M47</f>
        <v>1-1</v>
      </c>
      <c r="AF61" s="352"/>
      <c r="AG61" s="353" t="str">
        <f ca="1">FGrpH!O47</f>
        <v>1-1</v>
      </c>
      <c r="AH61" s="354">
        <f ca="1">AA61</f>
        <v>2</v>
      </c>
    </row>
    <row r="62" spans="1:34" ht="14.25" customHeight="1" x14ac:dyDescent="0.2">
      <c r="A62" s="422" t="s">
        <v>598</v>
      </c>
      <c r="B62" s="427">
        <v>46198</v>
      </c>
      <c r="C62" s="326">
        <v>0.875</v>
      </c>
      <c r="D62" s="327" t="str">
        <f t="shared" si="2"/>
        <v>E</v>
      </c>
      <c r="E62" s="100" t="str">
        <f t="shared" si="0"/>
        <v>Curaçao</v>
      </c>
      <c r="F62" s="434">
        <f ca="1">IF(Poster!F62="",FResults!AB57,Poster!F62)</f>
        <v>1</v>
      </c>
      <c r="G62" s="328" t="str">
        <f>IF(Poster!G62="",FResults!AB57,Poster!G62)</f>
        <v>-</v>
      </c>
      <c r="H62" s="435">
        <f ca="1">IF(Poster!H62="",FResults!AC57,Poster!H62)</f>
        <v>2</v>
      </c>
      <c r="I62" s="101" t="str">
        <f t="shared" si="1"/>
        <v>Cote d'Ivorie</v>
      </c>
      <c r="J62" s="101" t="str">
        <f>Stadium14</f>
        <v>Philadelphia Stadium</v>
      </c>
      <c r="K62" s="329" t="str">
        <f t="shared" si="3"/>
        <v>E</v>
      </c>
      <c r="L62" s="323" t="str">
        <f t="shared" ca="1" si="4"/>
        <v>Cote d'Ivorie</v>
      </c>
      <c r="M62" s="324" t="str">
        <f t="shared" ca="1" si="5"/>
        <v>Curaçao</v>
      </c>
      <c r="N62" s="330">
        <f>Results!X57</f>
        <v>0.1657299642</v>
      </c>
      <c r="O62" s="330">
        <f>Results!Y57</f>
        <v>0.17298007159999992</v>
      </c>
      <c r="P62" s="330">
        <f>Results!Z57</f>
        <v>0.66128996420000008</v>
      </c>
      <c r="Q62" s="99"/>
      <c r="R62" s="347">
        <v>4</v>
      </c>
      <c r="S62" s="355" t="str">
        <f ca="1">FGrpH!B48</f>
        <v>Uruguay</v>
      </c>
      <c r="T62" s="356">
        <f>FGrpH!C48</f>
        <v>3</v>
      </c>
      <c r="U62" s="356">
        <f ca="1">FGrpH!D48</f>
        <v>0</v>
      </c>
      <c r="V62" s="356">
        <f ca="1">FGrpH!E48</f>
        <v>1</v>
      </c>
      <c r="W62" s="356">
        <f ca="1">FGrpH!F48</f>
        <v>2</v>
      </c>
      <c r="X62" s="356">
        <f ca="1">FGrpH!G48</f>
        <v>1</v>
      </c>
      <c r="Y62" s="356">
        <f ca="1">FGrpH!H48</f>
        <v>4</v>
      </c>
      <c r="Z62" s="357">
        <f ca="1">FGrpH!I48</f>
        <v>-3</v>
      </c>
      <c r="AA62" s="358">
        <f ca="1">FGrpH!J48</f>
        <v>1</v>
      </c>
      <c r="AC62" s="359" t="str">
        <f ca="1">FGrpH!K48</f>
        <v>Uruguay</v>
      </c>
      <c r="AD62" s="360" t="str">
        <f ca="1">FGrpH!L48</f>
        <v>0-2</v>
      </c>
      <c r="AE62" s="360" t="str">
        <f ca="1">FGrpH!M48</f>
        <v>0-1</v>
      </c>
      <c r="AF62" s="360" t="str">
        <f ca="1">FGrpH!N48</f>
        <v>1-1</v>
      </c>
      <c r="AG62" s="361"/>
      <c r="AH62" s="362">
        <f ca="1">AA62</f>
        <v>1</v>
      </c>
    </row>
    <row r="63" spans="1:34" ht="14.25" customHeight="1" x14ac:dyDescent="0.2">
      <c r="A63" s="422" t="s">
        <v>599</v>
      </c>
      <c r="B63" s="427">
        <v>46198</v>
      </c>
      <c r="C63" s="326">
        <v>0.875</v>
      </c>
      <c r="D63" s="327" t="str">
        <f t="shared" si="2"/>
        <v>E</v>
      </c>
      <c r="E63" s="100" t="str">
        <f t="shared" si="0"/>
        <v>Ecuador</v>
      </c>
      <c r="F63" s="434">
        <f ca="1">IF(Poster!F63="",FResults!AB58,Poster!F63)</f>
        <v>1</v>
      </c>
      <c r="G63" s="328" t="str">
        <f>IF(Poster!G63="",FResults!AB58,Poster!G63)</f>
        <v>-</v>
      </c>
      <c r="H63" s="435">
        <f ca="1">IF(Poster!H63="",FResults!AC58,Poster!H63)</f>
        <v>0</v>
      </c>
      <c r="I63" s="101" t="str">
        <f t="shared" si="1"/>
        <v>Germany</v>
      </c>
      <c r="J63" s="101" t="str">
        <f>Stadium13</f>
        <v>MetLife Stadium</v>
      </c>
      <c r="K63" s="329" t="str">
        <f t="shared" si="3"/>
        <v>E</v>
      </c>
      <c r="L63" s="323" t="str">
        <f t="shared" ca="1" si="4"/>
        <v>Ecuador</v>
      </c>
      <c r="M63" s="324" t="str">
        <f t="shared" ca="1" si="5"/>
        <v>Germany</v>
      </c>
      <c r="N63" s="330">
        <f>Results!X58</f>
        <v>0.16908724445000001</v>
      </c>
      <c r="O63" s="330">
        <f>Results!Y58</f>
        <v>0.1751655111</v>
      </c>
      <c r="P63" s="330">
        <f>Results!Z58</f>
        <v>0.65574724444999999</v>
      </c>
      <c r="Q63" s="99"/>
      <c r="T63" s="98"/>
      <c r="U63" s="98"/>
      <c r="V63" s="98"/>
      <c r="W63" s="98"/>
      <c r="X63" s="98"/>
      <c r="Y63" s="98"/>
      <c r="Z63" s="349"/>
      <c r="AA63" s="311"/>
      <c r="AD63" s="98"/>
      <c r="AE63" s="98"/>
      <c r="AF63" s="98"/>
      <c r="AG63" s="98"/>
      <c r="AH63" s="98"/>
    </row>
    <row r="64" spans="1:34" ht="14.25" customHeight="1" x14ac:dyDescent="0.2">
      <c r="A64" s="422" t="s">
        <v>600</v>
      </c>
      <c r="B64" s="427">
        <v>46199</v>
      </c>
      <c r="C64" s="326">
        <v>0</v>
      </c>
      <c r="D64" s="327" t="str">
        <f t="shared" si="2"/>
        <v>F</v>
      </c>
      <c r="E64" s="100" t="str">
        <f t="shared" si="0"/>
        <v>Japan</v>
      </c>
      <c r="F64" s="434">
        <f ca="1">IF(Poster!F64="",FResults!AB59,Poster!F64)</f>
        <v>1</v>
      </c>
      <c r="G64" s="328" t="str">
        <f>IF(Poster!G64="",FResults!AB59,Poster!G64)</f>
        <v>-</v>
      </c>
      <c r="H64" s="435">
        <f ca="1">IF(Poster!H64="",FResults!AC59,Poster!H64)</f>
        <v>0</v>
      </c>
      <c r="I64" s="101" t="str">
        <f t="shared" si="1"/>
        <v>Sweden</v>
      </c>
      <c r="J64" s="101" t="str">
        <f>Stadium8</f>
        <v>Dallas Stadium</v>
      </c>
      <c r="K64" s="329" t="str">
        <f t="shared" si="3"/>
        <v>F</v>
      </c>
      <c r="L64" s="323" t="str">
        <f t="shared" ca="1" si="4"/>
        <v>Japan</v>
      </c>
      <c r="M64" s="324" t="str">
        <f t="shared" ca="1" si="5"/>
        <v>Sweden</v>
      </c>
      <c r="N64" s="330">
        <f>Results!X59</f>
        <v>0.51844062499999999</v>
      </c>
      <c r="O64" s="330">
        <f>Results!Y59</f>
        <v>0.21811875000000003</v>
      </c>
      <c r="P64" s="330">
        <f>Results!Z59</f>
        <v>0.26344062499999998</v>
      </c>
      <c r="Q64" s="99"/>
      <c r="R64" s="331"/>
      <c r="S64" s="332" t="s">
        <v>527</v>
      </c>
      <c r="T64" s="333"/>
      <c r="U64" s="333"/>
      <c r="V64" s="333"/>
      <c r="W64" s="333"/>
      <c r="X64" s="333"/>
      <c r="Y64" s="333"/>
      <c r="Z64" s="334"/>
      <c r="AA64" s="335"/>
      <c r="AC64" s="336" t="str">
        <f>S64</f>
        <v>Group I</v>
      </c>
      <c r="AD64" s="337"/>
      <c r="AE64" s="337"/>
      <c r="AF64" s="337"/>
      <c r="AG64" s="337"/>
      <c r="AH64" s="338"/>
    </row>
    <row r="65" spans="1:34" ht="14.25" customHeight="1" x14ac:dyDescent="0.2">
      <c r="A65" s="422" t="s">
        <v>601</v>
      </c>
      <c r="B65" s="427">
        <v>46199</v>
      </c>
      <c r="C65" s="326">
        <v>0</v>
      </c>
      <c r="D65" s="327" t="str">
        <f t="shared" si="2"/>
        <v>F</v>
      </c>
      <c r="E65" s="100" t="str">
        <f t="shared" si="0"/>
        <v>Tunisia</v>
      </c>
      <c r="F65" s="434">
        <f ca="1">IF(Poster!F65="",FResults!AB60,Poster!F65)</f>
        <v>0</v>
      </c>
      <c r="G65" s="328" t="str">
        <f>IF(Poster!G65="",FResults!AB60,Poster!G65)</f>
        <v>-</v>
      </c>
      <c r="H65" s="435">
        <f ca="1">IF(Poster!H65="",FResults!AC60,Poster!H65)</f>
        <v>3</v>
      </c>
      <c r="I65" s="101" t="str">
        <f t="shared" si="1"/>
        <v>Netherlands</v>
      </c>
      <c r="J65" s="101" t="str">
        <f>Stadium10</f>
        <v>Kansas City Stadium</v>
      </c>
      <c r="K65" s="329" t="str">
        <f t="shared" si="3"/>
        <v>F</v>
      </c>
      <c r="L65" s="323" t="str">
        <f t="shared" ca="1" si="4"/>
        <v>Netherlands</v>
      </c>
      <c r="M65" s="324" t="str">
        <f t="shared" ca="1" si="5"/>
        <v>Tunisia</v>
      </c>
      <c r="N65" s="330">
        <f>Results!X60</f>
        <v>0.12086250000000001</v>
      </c>
      <c r="O65" s="330">
        <f>Results!Y60</f>
        <v>0.13827500000000001</v>
      </c>
      <c r="P65" s="330">
        <f>Results!Z60</f>
        <v>0.74086249999999998</v>
      </c>
      <c r="Q65" s="99"/>
      <c r="R65" s="339" t="s">
        <v>325</v>
      </c>
      <c r="S65" s="340" t="s">
        <v>310</v>
      </c>
      <c r="T65" s="341" t="s">
        <v>311</v>
      </c>
      <c r="U65" s="341" t="s">
        <v>305</v>
      </c>
      <c r="V65" s="341" t="s">
        <v>15</v>
      </c>
      <c r="W65" s="341" t="s">
        <v>306</v>
      </c>
      <c r="X65" s="341" t="s">
        <v>307</v>
      </c>
      <c r="Y65" s="341" t="s">
        <v>16</v>
      </c>
      <c r="Z65" s="342" t="s">
        <v>308</v>
      </c>
      <c r="AA65" s="343" t="s">
        <v>566</v>
      </c>
      <c r="AC65" s="344" t="s">
        <v>310</v>
      </c>
      <c r="AD65" s="345" t="str">
        <f ca="1">LEFT($AC66,3)</f>
        <v>Sen</v>
      </c>
      <c r="AE65" s="345" t="str">
        <f ca="1">LEFT($AC67,3)</f>
        <v>Fra</v>
      </c>
      <c r="AF65" s="345" t="str">
        <f ca="1">LEFT($AC68,3)</f>
        <v>Ira</v>
      </c>
      <c r="AG65" s="345" t="str">
        <f ca="1">LEFT($AC69,3)</f>
        <v>Nor</v>
      </c>
      <c r="AH65" s="346" t="s">
        <v>566</v>
      </c>
    </row>
    <row r="66" spans="1:34" ht="14.25" customHeight="1" x14ac:dyDescent="0.2">
      <c r="A66" s="422" t="s">
        <v>602</v>
      </c>
      <c r="B66" s="427">
        <v>46199</v>
      </c>
      <c r="C66" s="326">
        <v>0.125</v>
      </c>
      <c r="D66" s="327" t="str">
        <f t="shared" si="2"/>
        <v>D</v>
      </c>
      <c r="E66" s="100" t="str">
        <f t="shared" si="0"/>
        <v>Turkiye</v>
      </c>
      <c r="F66" s="434">
        <f ca="1">IF(Poster!F66="",FResults!AB61,Poster!F66)</f>
        <v>2</v>
      </c>
      <c r="G66" s="328" t="str">
        <f>IF(Poster!G66="",FResults!AB61,Poster!G66)</f>
        <v>-</v>
      </c>
      <c r="H66" s="435">
        <f ca="1">IF(Poster!H66="",FResults!AC61,Poster!H66)</f>
        <v>1</v>
      </c>
      <c r="I66" s="101" t="str">
        <f t="shared" si="1"/>
        <v>USA</v>
      </c>
      <c r="J66" s="101" t="str">
        <f>Stadium11</f>
        <v>Los Angeles Stadium</v>
      </c>
      <c r="K66" s="329" t="str">
        <f t="shared" si="3"/>
        <v>D</v>
      </c>
      <c r="L66" s="323" t="str">
        <f t="shared" ca="1" si="4"/>
        <v>Turkiye</v>
      </c>
      <c r="M66" s="324" t="str">
        <f t="shared" ca="1" si="5"/>
        <v>USA</v>
      </c>
      <c r="N66" s="330">
        <f>Results!X61</f>
        <v>0.27001249999999999</v>
      </c>
      <c r="O66" s="330">
        <f>Results!Y61</f>
        <v>0.21997500000000003</v>
      </c>
      <c r="P66" s="330">
        <f>Results!Z61</f>
        <v>0.51001249999999998</v>
      </c>
      <c r="Q66" s="99"/>
      <c r="R66" s="347">
        <v>1</v>
      </c>
      <c r="S66" s="348" t="str">
        <f ca="1">FGrpI!B45</f>
        <v>Senegal</v>
      </c>
      <c r="T66" s="98">
        <f>FGrpI!C45</f>
        <v>3</v>
      </c>
      <c r="U66" s="98">
        <f ca="1">FGrpI!D45</f>
        <v>2</v>
      </c>
      <c r="V66" s="98">
        <f ca="1">FGrpI!E45</f>
        <v>1</v>
      </c>
      <c r="W66" s="98">
        <f ca="1">FGrpI!F45</f>
        <v>0</v>
      </c>
      <c r="X66" s="98">
        <f ca="1">FGrpI!G45</f>
        <v>7</v>
      </c>
      <c r="Y66" s="98">
        <f ca="1">FGrpI!H45</f>
        <v>1</v>
      </c>
      <c r="Z66" s="349">
        <f ca="1">FGrpI!I45</f>
        <v>6</v>
      </c>
      <c r="AA66" s="350">
        <f ca="1">FGrpI!J45</f>
        <v>7</v>
      </c>
      <c r="AC66" s="351" t="str">
        <f ca="1">FGrpI!K45</f>
        <v>Senegal</v>
      </c>
      <c r="AD66" s="352"/>
      <c r="AE66" s="353" t="str">
        <f ca="1">FGrpI!M45</f>
        <v>1-1</v>
      </c>
      <c r="AF66" s="353" t="str">
        <f ca="1">FGrpI!N45</f>
        <v>2-0</v>
      </c>
      <c r="AG66" s="353" t="str">
        <f ca="1">FGrpI!O45</f>
        <v>4-0</v>
      </c>
      <c r="AH66" s="354">
        <f ca="1">AA66</f>
        <v>7</v>
      </c>
    </row>
    <row r="67" spans="1:34" ht="14.25" customHeight="1" x14ac:dyDescent="0.2">
      <c r="A67" s="422" t="s">
        <v>603</v>
      </c>
      <c r="B67" s="427">
        <v>46199</v>
      </c>
      <c r="C67" s="326">
        <v>0.125</v>
      </c>
      <c r="D67" s="327" t="str">
        <f t="shared" si="2"/>
        <v>D</v>
      </c>
      <c r="E67" s="100" t="str">
        <f t="shared" si="0"/>
        <v>Paraguay</v>
      </c>
      <c r="F67" s="434">
        <f ca="1">IF(Poster!F67="",FResults!AB62,Poster!F67)</f>
        <v>1</v>
      </c>
      <c r="G67" s="328" t="str">
        <f>IF(Poster!G67="",FResults!AB62,Poster!G67)</f>
        <v>-</v>
      </c>
      <c r="H67" s="435">
        <f ca="1">IF(Poster!H67="",FResults!AC62,Poster!H67)</f>
        <v>2</v>
      </c>
      <c r="I67" s="101" t="str">
        <f t="shared" si="1"/>
        <v>Australia</v>
      </c>
      <c r="J67" s="101" t="str">
        <f>Stadium15</f>
        <v>San Franciso Bay Stadium</v>
      </c>
      <c r="K67" s="329" t="str">
        <f t="shared" si="3"/>
        <v>D</v>
      </c>
      <c r="L67" s="323" t="str">
        <f t="shared" ca="1" si="4"/>
        <v>Australia</v>
      </c>
      <c r="M67" s="324" t="str">
        <f t="shared" ca="1" si="5"/>
        <v>Paraguay</v>
      </c>
      <c r="N67" s="330">
        <f>Results!X62</f>
        <v>0.34361249999999999</v>
      </c>
      <c r="O67" s="330">
        <f>Results!Y62</f>
        <v>0.23277500000000007</v>
      </c>
      <c r="P67" s="330">
        <f>Results!Z62</f>
        <v>0.4236125</v>
      </c>
      <c r="Q67" s="99"/>
      <c r="R67" s="347">
        <v>2</v>
      </c>
      <c r="S67" s="348" t="str">
        <f ca="1">FGrpI!B46</f>
        <v>France</v>
      </c>
      <c r="T67" s="98">
        <f>FGrpI!C46</f>
        <v>3</v>
      </c>
      <c r="U67" s="98">
        <f ca="1">FGrpI!D46</f>
        <v>2</v>
      </c>
      <c r="V67" s="98">
        <f ca="1">FGrpI!E46</f>
        <v>1</v>
      </c>
      <c r="W67" s="98">
        <f ca="1">FGrpI!F46</f>
        <v>0</v>
      </c>
      <c r="X67" s="98">
        <f ca="1">FGrpI!G46</f>
        <v>5</v>
      </c>
      <c r="Y67" s="98">
        <f ca="1">FGrpI!H46</f>
        <v>2</v>
      </c>
      <c r="Z67" s="349">
        <f ca="1">FGrpI!I46</f>
        <v>3</v>
      </c>
      <c r="AA67" s="350">
        <f ca="1">FGrpI!J46</f>
        <v>7</v>
      </c>
      <c r="AC67" s="351" t="str">
        <f ca="1">FGrpI!K46</f>
        <v>France</v>
      </c>
      <c r="AD67" s="353" t="str">
        <f ca="1">FGrpI!L46</f>
        <v>1-1</v>
      </c>
      <c r="AE67" s="352"/>
      <c r="AF67" s="353" t="str">
        <f ca="1">FGrpI!N46</f>
        <v>2-0</v>
      </c>
      <c r="AG67" s="353" t="str">
        <f ca="1">FGrpI!O46</f>
        <v>2-1</v>
      </c>
      <c r="AH67" s="354">
        <f ca="1">AA67</f>
        <v>7</v>
      </c>
    </row>
    <row r="68" spans="1:34" ht="14.25" customHeight="1" x14ac:dyDescent="0.2">
      <c r="A68" s="422" t="s">
        <v>604</v>
      </c>
      <c r="B68" s="427">
        <v>46199</v>
      </c>
      <c r="C68" s="326">
        <v>0.83333333333333337</v>
      </c>
      <c r="D68" s="327" t="str">
        <f t="shared" si="2"/>
        <v>I</v>
      </c>
      <c r="E68" s="100" t="str">
        <f t="shared" si="0"/>
        <v>Norway</v>
      </c>
      <c r="F68" s="434">
        <f ca="1">IF(Poster!F68="",FResults!AB63,Poster!F68)</f>
        <v>1</v>
      </c>
      <c r="G68" s="328" t="str">
        <f>IF(Poster!G68="",FResults!AB63,Poster!G68)</f>
        <v>-</v>
      </c>
      <c r="H68" s="435">
        <f ca="1">IF(Poster!H68="",FResults!AC63,Poster!H68)</f>
        <v>2</v>
      </c>
      <c r="I68" s="101" t="str">
        <f t="shared" si="1"/>
        <v>France</v>
      </c>
      <c r="J68" s="101" t="str">
        <f>Stadium7</f>
        <v>Boston Stadium</v>
      </c>
      <c r="K68" s="329" t="str">
        <f t="shared" si="3"/>
        <v>I</v>
      </c>
      <c r="L68" s="323" t="str">
        <f t="shared" ca="1" si="4"/>
        <v>France</v>
      </c>
      <c r="M68" s="324" t="str">
        <f t="shared" ca="1" si="5"/>
        <v>Norway</v>
      </c>
      <c r="N68" s="330">
        <f>Results!X63</f>
        <v>0.17076951605000001</v>
      </c>
      <c r="O68" s="330">
        <f>Results!Y63</f>
        <v>0.17624096789999999</v>
      </c>
      <c r="P68" s="330">
        <f>Results!Z63</f>
        <v>0.65298951605</v>
      </c>
      <c r="Q68" s="99"/>
      <c r="R68" s="347">
        <v>3</v>
      </c>
      <c r="S68" s="348" t="str">
        <f ca="1">FGrpI!B47</f>
        <v>Iraq</v>
      </c>
      <c r="T68" s="98">
        <f>FGrpI!C47</f>
        <v>3</v>
      </c>
      <c r="U68" s="98">
        <f ca="1">FGrpI!D47</f>
        <v>0</v>
      </c>
      <c r="V68" s="98">
        <f ca="1">FGrpI!E47</f>
        <v>1</v>
      </c>
      <c r="W68" s="98">
        <f ca="1">FGrpI!F47</f>
        <v>2</v>
      </c>
      <c r="X68" s="98">
        <f ca="1">FGrpI!G47</f>
        <v>1</v>
      </c>
      <c r="Y68" s="98">
        <f ca="1">FGrpI!H47</f>
        <v>5</v>
      </c>
      <c r="Z68" s="349">
        <f ca="1">FGrpI!I47</f>
        <v>-4</v>
      </c>
      <c r="AA68" s="350">
        <f ca="1">FGrpI!J47</f>
        <v>1</v>
      </c>
      <c r="AC68" s="351" t="str">
        <f ca="1">FGrpI!K47</f>
        <v>Iraq</v>
      </c>
      <c r="AD68" s="353" t="str">
        <f ca="1">FGrpI!L47</f>
        <v>0-2</v>
      </c>
      <c r="AE68" s="353" t="str">
        <f ca="1">FGrpI!M47</f>
        <v>0-2</v>
      </c>
      <c r="AF68" s="352"/>
      <c r="AG68" s="353" t="str">
        <f ca="1">FGrpI!O47</f>
        <v>1-1</v>
      </c>
      <c r="AH68" s="354">
        <f ca="1">AA68</f>
        <v>1</v>
      </c>
    </row>
    <row r="69" spans="1:34" ht="14.25" customHeight="1" x14ac:dyDescent="0.2">
      <c r="A69" s="422" t="s">
        <v>605</v>
      </c>
      <c r="B69" s="427">
        <v>46199</v>
      </c>
      <c r="C69" s="326">
        <v>0.83333333333333337</v>
      </c>
      <c r="D69" s="327" t="str">
        <f t="shared" si="2"/>
        <v>I</v>
      </c>
      <c r="E69" s="100" t="str">
        <f t="shared" si="0"/>
        <v>Senegal</v>
      </c>
      <c r="F69" s="434">
        <f ca="1">IF(Poster!F69="",FResults!AB64,Poster!F69)</f>
        <v>2</v>
      </c>
      <c r="G69" s="328" t="str">
        <f>IF(Poster!G69="",FResults!AB64,Poster!G69)</f>
        <v>-</v>
      </c>
      <c r="H69" s="435">
        <f ca="1">IF(Poster!H69="",FResults!AC64,Poster!H69)</f>
        <v>0</v>
      </c>
      <c r="I69" s="101" t="str">
        <f t="shared" si="1"/>
        <v>Iraq</v>
      </c>
      <c r="J69" s="101" t="str">
        <f>Stadium1</f>
        <v>Toronto Stadium</v>
      </c>
      <c r="K69" s="329" t="str">
        <f t="shared" si="3"/>
        <v>I</v>
      </c>
      <c r="L69" s="323" t="str">
        <f t="shared" ca="1" si="4"/>
        <v>Senegal</v>
      </c>
      <c r="M69" s="324" t="str">
        <f t="shared" ca="1" si="5"/>
        <v>Iraq</v>
      </c>
      <c r="N69" s="330">
        <f>Results!X64</f>
        <v>0.69067281604999997</v>
      </c>
      <c r="O69" s="330">
        <f>Results!Y64</f>
        <v>0.16087436789999998</v>
      </c>
      <c r="P69" s="330">
        <f>Results!Z64</f>
        <v>0.14845281604999999</v>
      </c>
      <c r="Q69" s="99"/>
      <c r="R69" s="347">
        <v>4</v>
      </c>
      <c r="S69" s="355" t="str">
        <f ca="1">FGrpI!B48</f>
        <v>Norway</v>
      </c>
      <c r="T69" s="356">
        <f>FGrpI!C48</f>
        <v>3</v>
      </c>
      <c r="U69" s="356">
        <f ca="1">FGrpI!D48</f>
        <v>0</v>
      </c>
      <c r="V69" s="356">
        <f ca="1">FGrpI!E48</f>
        <v>1</v>
      </c>
      <c r="W69" s="356">
        <f ca="1">FGrpI!F48</f>
        <v>2</v>
      </c>
      <c r="X69" s="356">
        <f ca="1">FGrpI!G48</f>
        <v>2</v>
      </c>
      <c r="Y69" s="356">
        <f ca="1">FGrpI!H48</f>
        <v>7</v>
      </c>
      <c r="Z69" s="357">
        <f ca="1">FGrpI!I48</f>
        <v>-5</v>
      </c>
      <c r="AA69" s="358">
        <f ca="1">FGrpI!J48</f>
        <v>1</v>
      </c>
      <c r="AC69" s="359" t="str">
        <f ca="1">FGrpI!K48</f>
        <v>Norway</v>
      </c>
      <c r="AD69" s="360" t="str">
        <f ca="1">FGrpI!L48</f>
        <v>0-4</v>
      </c>
      <c r="AE69" s="360" t="str">
        <f ca="1">FGrpI!M48</f>
        <v>1-2</v>
      </c>
      <c r="AF69" s="360" t="str">
        <f ca="1">FGrpI!N48</f>
        <v>1-1</v>
      </c>
      <c r="AG69" s="361"/>
      <c r="AH69" s="362">
        <f ca="1">AA69</f>
        <v>1</v>
      </c>
    </row>
    <row r="70" spans="1:34" ht="14.25" customHeight="1" x14ac:dyDescent="0.2">
      <c r="A70" s="422" t="s">
        <v>606</v>
      </c>
      <c r="B70" s="427">
        <v>46200</v>
      </c>
      <c r="C70" s="326">
        <v>4.1666666666666664E-2</v>
      </c>
      <c r="D70" s="327" t="str">
        <f t="shared" si="2"/>
        <v>H</v>
      </c>
      <c r="E70" s="100" t="str">
        <f t="shared" si="0"/>
        <v>Cabo Verde</v>
      </c>
      <c r="F70" s="434">
        <f ca="1">IF(Poster!F70="",FResults!AB65,Poster!F70)</f>
        <v>1</v>
      </c>
      <c r="G70" s="328" t="str">
        <f>IF(Poster!G70="",FResults!AB65,Poster!G70)</f>
        <v>-</v>
      </c>
      <c r="H70" s="435">
        <f ca="1">IF(Poster!H70="",FResults!AC65,Poster!H70)</f>
        <v>1</v>
      </c>
      <c r="I70" s="101" t="str">
        <f t="shared" si="1"/>
        <v>Saudi Arabia</v>
      </c>
      <c r="J70" s="101" t="str">
        <f>Stadium9</f>
        <v>Houston Stadium</v>
      </c>
      <c r="K70" s="329" t="str">
        <f t="shared" si="3"/>
        <v>H</v>
      </c>
      <c r="L70" s="323" t="str">
        <f t="shared" ca="1" si="4"/>
        <v>DCabo Verde</v>
      </c>
      <c r="M70" s="324" t="str">
        <f t="shared" ca="1" si="5"/>
        <v>DSaudi Arabia</v>
      </c>
      <c r="N70" s="330">
        <f>Results!X65</f>
        <v>0.30486328125000001</v>
      </c>
      <c r="O70" s="330">
        <f>Results!Y65</f>
        <v>0.22777343750000006</v>
      </c>
      <c r="P70" s="330">
        <f>Results!Z65</f>
        <v>0.46736328124999993</v>
      </c>
      <c r="Q70" s="99"/>
      <c r="T70" s="98"/>
      <c r="U70" s="98"/>
      <c r="V70" s="98"/>
      <c r="W70" s="98"/>
      <c r="X70" s="98"/>
      <c r="Y70" s="98"/>
      <c r="Z70" s="349"/>
      <c r="AA70" s="311"/>
      <c r="AD70" s="98"/>
      <c r="AE70" s="98"/>
      <c r="AF70" s="98"/>
      <c r="AG70" s="98"/>
      <c r="AH70" s="98"/>
    </row>
    <row r="71" spans="1:34" ht="14.25" customHeight="1" x14ac:dyDescent="0.2">
      <c r="A71" s="422" t="s">
        <v>607</v>
      </c>
      <c r="B71" s="427">
        <v>46200</v>
      </c>
      <c r="C71" s="326">
        <v>4.1666666666666664E-2</v>
      </c>
      <c r="D71" s="327" t="str">
        <f t="shared" si="2"/>
        <v>H</v>
      </c>
      <c r="E71" s="100" t="str">
        <f t="shared" si="0"/>
        <v>Uruguay</v>
      </c>
      <c r="F71" s="434">
        <f ca="1">IF(Poster!F71="",FResults!AB66,Poster!F71)</f>
        <v>0</v>
      </c>
      <c r="G71" s="328" t="str">
        <f>IF(Poster!G71="",FResults!AB66,Poster!G71)</f>
        <v>-</v>
      </c>
      <c r="H71" s="435">
        <f ca="1">IF(Poster!H71="",FResults!AC66,Poster!H71)</f>
        <v>2</v>
      </c>
      <c r="I71" s="101" t="str">
        <f t="shared" si="1"/>
        <v>Spain</v>
      </c>
      <c r="J71" s="101" t="str">
        <f>Stadium4</f>
        <v>Estadio Guadalajara</v>
      </c>
      <c r="K71" s="329" t="str">
        <f t="shared" si="3"/>
        <v>H</v>
      </c>
      <c r="L71" s="323" t="str">
        <f t="shared" ca="1" si="4"/>
        <v>Spain</v>
      </c>
      <c r="M71" s="324" t="str">
        <f t="shared" ca="1" si="5"/>
        <v>Uruguay</v>
      </c>
      <c r="N71" s="330">
        <f>Results!X66</f>
        <v>0.19585078124999999</v>
      </c>
      <c r="O71" s="330">
        <f>Results!Y66</f>
        <v>0.19079843750000003</v>
      </c>
      <c r="P71" s="330">
        <f>Results!Z66</f>
        <v>0.61335078124999998</v>
      </c>
      <c r="Q71" s="99"/>
      <c r="R71" s="331"/>
      <c r="S71" s="332" t="s">
        <v>528</v>
      </c>
      <c r="T71" s="333"/>
      <c r="U71" s="333"/>
      <c r="V71" s="333"/>
      <c r="W71" s="333"/>
      <c r="X71" s="333"/>
      <c r="Y71" s="333"/>
      <c r="Z71" s="334"/>
      <c r="AA71" s="335"/>
      <c r="AC71" s="336" t="str">
        <f>S71</f>
        <v>Group J</v>
      </c>
      <c r="AD71" s="337"/>
      <c r="AE71" s="337"/>
      <c r="AF71" s="337"/>
      <c r="AG71" s="337"/>
      <c r="AH71" s="338"/>
    </row>
    <row r="72" spans="1:34" ht="14.25" customHeight="1" x14ac:dyDescent="0.2">
      <c r="A72" s="422" t="s">
        <v>608</v>
      </c>
      <c r="B72" s="427">
        <v>46200</v>
      </c>
      <c r="C72" s="326">
        <v>0.16666666666666666</v>
      </c>
      <c r="D72" s="327" t="str">
        <f t="shared" si="2"/>
        <v>G</v>
      </c>
      <c r="E72" s="100" t="str">
        <f t="shared" ref="E72:E79" si="7">VLOOKUP(LEFT(A72,2),Lookup08,2)</f>
        <v>Egypt</v>
      </c>
      <c r="F72" s="434">
        <f ca="1">IF(Poster!F72="",FResults!AB67,Poster!F72)</f>
        <v>2</v>
      </c>
      <c r="G72" s="328" t="str">
        <f>IF(Poster!G72="",FResults!AB67,Poster!G72)</f>
        <v>-</v>
      </c>
      <c r="H72" s="435">
        <f ca="1">IF(Poster!H72="",FResults!AC67,Poster!H72)</f>
        <v>2</v>
      </c>
      <c r="I72" s="101" t="str">
        <f t="shared" ref="I72:I79" si="8">VLOOKUP(RIGHT(A72,2),Lookup08,2)</f>
        <v>IR Iran</v>
      </c>
      <c r="J72" s="101" t="str">
        <f>Stadium16</f>
        <v>Seattle Stadium</v>
      </c>
      <c r="K72" s="329" t="str">
        <f t="shared" si="3"/>
        <v>G</v>
      </c>
      <c r="L72" s="323" t="str">
        <f t="shared" ca="1" si="4"/>
        <v>DEgypt</v>
      </c>
      <c r="M72" s="324" t="str">
        <f t="shared" ca="1" si="5"/>
        <v>DIR Iran</v>
      </c>
      <c r="N72" s="330">
        <f>Results!X67</f>
        <v>0.39575518979999996</v>
      </c>
      <c r="O72" s="330">
        <f>Results!Y67</f>
        <v>0.2342096204000001</v>
      </c>
      <c r="P72" s="330">
        <f>Results!Z67</f>
        <v>0.37003518979999994</v>
      </c>
      <c r="Q72" s="99"/>
      <c r="R72" s="339" t="s">
        <v>325</v>
      </c>
      <c r="S72" s="340" t="s">
        <v>310</v>
      </c>
      <c r="T72" s="341" t="s">
        <v>311</v>
      </c>
      <c r="U72" s="341" t="s">
        <v>305</v>
      </c>
      <c r="V72" s="341" t="s">
        <v>15</v>
      </c>
      <c r="W72" s="341" t="s">
        <v>306</v>
      </c>
      <c r="X72" s="341" t="s">
        <v>307</v>
      </c>
      <c r="Y72" s="341" t="s">
        <v>16</v>
      </c>
      <c r="Z72" s="342" t="s">
        <v>308</v>
      </c>
      <c r="AA72" s="343" t="s">
        <v>566</v>
      </c>
      <c r="AC72" s="344" t="s">
        <v>310</v>
      </c>
      <c r="AD72" s="345" t="str">
        <f ca="1">LEFT($AC73,3)</f>
        <v>Arg</v>
      </c>
      <c r="AE72" s="345" t="str">
        <f ca="1">LEFT($AC74,3)</f>
        <v>Aus</v>
      </c>
      <c r="AF72" s="345" t="str">
        <f ca="1">LEFT($AC75,3)</f>
        <v>Alg</v>
      </c>
      <c r="AG72" s="345" t="str">
        <f ca="1">LEFT($AC76,3)</f>
        <v>Jor</v>
      </c>
      <c r="AH72" s="346" t="s">
        <v>566</v>
      </c>
    </row>
    <row r="73" spans="1:34" ht="14.25" customHeight="1" x14ac:dyDescent="0.2">
      <c r="A73" s="422" t="s">
        <v>609</v>
      </c>
      <c r="B73" s="427">
        <v>46200</v>
      </c>
      <c r="C73" s="326">
        <v>0.16666666666666666</v>
      </c>
      <c r="D73" s="327" t="str">
        <f t="shared" ref="D73:D79" si="9">LEFT(A73)</f>
        <v>G</v>
      </c>
      <c r="E73" s="100" t="str">
        <f t="shared" si="7"/>
        <v>New Zealand</v>
      </c>
      <c r="F73" s="434">
        <f ca="1">IF(Poster!F73="",FResults!AB68,Poster!F73)</f>
        <v>0</v>
      </c>
      <c r="G73" s="328" t="str">
        <f>IF(Poster!G73="",FResults!AB68,Poster!G73)</f>
        <v>-</v>
      </c>
      <c r="H73" s="435">
        <f ca="1">IF(Poster!H73="",FResults!AC68,Poster!H73)</f>
        <v>1</v>
      </c>
      <c r="I73" s="101" t="str">
        <f t="shared" si="8"/>
        <v>Belgium</v>
      </c>
      <c r="J73" s="101" t="str">
        <f>Stadium2</f>
        <v>BC Place Vancouver</v>
      </c>
      <c r="K73" s="329" t="str">
        <f t="shared" ref="K73:K79" si="10">D73</f>
        <v>G</v>
      </c>
      <c r="L73" s="323" t="str">
        <f t="shared" ref="L73:L79" ca="1" si="11">IF(F73&lt;&gt;"",IF(F73&gt;H73,E73,IF(H73&gt;F73,I73,"D"&amp;E73)),"")</f>
        <v>Belgium</v>
      </c>
      <c r="M73" s="324" t="str">
        <f t="shared" ref="M73:M79" ca="1" si="12">IF(F73&lt;&gt;"",IF(F73&lt;H73,E73,IF(H73&lt;F73,I73,"D"&amp;I73)),"")</f>
        <v>New Zealand</v>
      </c>
      <c r="N73" s="330">
        <f>Results!X68</f>
        <v>3.6591988199999988E-2</v>
      </c>
      <c r="O73" s="330">
        <f>Results!Y68</f>
        <v>3.5976023600000066E-2</v>
      </c>
      <c r="P73" s="330">
        <f>Results!Z68</f>
        <v>0.92743198819999995</v>
      </c>
      <c r="Q73" s="99"/>
      <c r="R73" s="347">
        <v>1</v>
      </c>
      <c r="S73" s="348" t="str">
        <f ca="1">FGrpJ!B45</f>
        <v>Argentina</v>
      </c>
      <c r="T73" s="98">
        <f>FGrpJ!C45</f>
        <v>3</v>
      </c>
      <c r="U73" s="98">
        <f ca="1">FGrpJ!D45</f>
        <v>2</v>
      </c>
      <c r="V73" s="98">
        <f ca="1">FGrpJ!E45</f>
        <v>1</v>
      </c>
      <c r="W73" s="98">
        <f ca="1">FGrpJ!F45</f>
        <v>0</v>
      </c>
      <c r="X73" s="98">
        <f ca="1">FGrpJ!G45</f>
        <v>7</v>
      </c>
      <c r="Y73" s="98">
        <f ca="1">FGrpJ!H45</f>
        <v>2</v>
      </c>
      <c r="Z73" s="349">
        <f ca="1">FGrpJ!I45</f>
        <v>5</v>
      </c>
      <c r="AA73" s="350">
        <f ca="1">FGrpJ!J45</f>
        <v>7</v>
      </c>
      <c r="AC73" s="351" t="str">
        <f ca="1">FGrpJ!K45</f>
        <v>Argentina</v>
      </c>
      <c r="AD73" s="352"/>
      <c r="AE73" s="353" t="str">
        <f ca="1">FGrpJ!M45</f>
        <v>1-1</v>
      </c>
      <c r="AF73" s="353" t="str">
        <f ca="1">FGrpJ!N45</f>
        <v>4-1</v>
      </c>
      <c r="AG73" s="353" t="str">
        <f ca="1">FGrpJ!O45</f>
        <v>2-0</v>
      </c>
      <c r="AH73" s="354">
        <f ca="1">AA73</f>
        <v>7</v>
      </c>
    </row>
    <row r="74" spans="1:34" ht="14.25" customHeight="1" x14ac:dyDescent="0.2">
      <c r="A74" s="422" t="s">
        <v>610</v>
      </c>
      <c r="B74" s="427">
        <v>46200</v>
      </c>
      <c r="C74" s="326">
        <v>0.91666666666666663</v>
      </c>
      <c r="D74" s="327" t="str">
        <f t="shared" si="9"/>
        <v>L</v>
      </c>
      <c r="E74" s="100" t="str">
        <f t="shared" si="7"/>
        <v>Panama</v>
      </c>
      <c r="F74" s="434">
        <f ca="1">IF(Poster!F74="",FResults!AB69,Poster!F74)</f>
        <v>2</v>
      </c>
      <c r="G74" s="328" t="str">
        <f>IF(Poster!G74="",FResults!AB69,Poster!G74)</f>
        <v>-</v>
      </c>
      <c r="H74" s="435">
        <f ca="1">IF(Poster!H74="",FResults!AC69,Poster!H74)</f>
        <v>3</v>
      </c>
      <c r="I74" s="101" t="str">
        <f t="shared" si="8"/>
        <v>England</v>
      </c>
      <c r="J74" s="101" t="str">
        <f>Stadium13</f>
        <v>MetLife Stadium</v>
      </c>
      <c r="K74" s="329" t="str">
        <f t="shared" si="10"/>
        <v>L</v>
      </c>
      <c r="L74" s="323" t="str">
        <f t="shared" ca="1" si="11"/>
        <v>England</v>
      </c>
      <c r="M74" s="324" t="str">
        <f t="shared" ca="1" si="12"/>
        <v>Panama</v>
      </c>
      <c r="N74" s="330">
        <f>Results!X69</f>
        <v>0.129917</v>
      </c>
      <c r="O74" s="330">
        <f>Results!Y69</f>
        <v>0.14616600000000007</v>
      </c>
      <c r="P74" s="330">
        <f>Results!Z69</f>
        <v>0.72391699999999992</v>
      </c>
      <c r="Q74" s="99"/>
      <c r="R74" s="347">
        <v>2</v>
      </c>
      <c r="S74" s="348" t="str">
        <f ca="1">FGrpJ!B46</f>
        <v>Austria</v>
      </c>
      <c r="T74" s="98">
        <f>FGrpJ!C46</f>
        <v>3</v>
      </c>
      <c r="U74" s="98">
        <f ca="1">FGrpJ!D46</f>
        <v>2</v>
      </c>
      <c r="V74" s="98">
        <f ca="1">FGrpJ!E46</f>
        <v>1</v>
      </c>
      <c r="W74" s="98">
        <f ca="1">FGrpJ!F46</f>
        <v>0</v>
      </c>
      <c r="X74" s="98">
        <f ca="1">FGrpJ!G46</f>
        <v>7</v>
      </c>
      <c r="Y74" s="98">
        <f ca="1">FGrpJ!H46</f>
        <v>3</v>
      </c>
      <c r="Z74" s="349">
        <f ca="1">FGrpJ!I46</f>
        <v>4</v>
      </c>
      <c r="AA74" s="350">
        <f ca="1">FGrpJ!J46</f>
        <v>7</v>
      </c>
      <c r="AC74" s="351" t="str">
        <f ca="1">FGrpJ!K46</f>
        <v>Austria</v>
      </c>
      <c r="AD74" s="353" t="str">
        <f ca="1">FGrpJ!L46</f>
        <v>1-1</v>
      </c>
      <c r="AE74" s="352"/>
      <c r="AF74" s="353" t="str">
        <f ca="1">FGrpJ!N46</f>
        <v>3-1</v>
      </c>
      <c r="AG74" s="353" t="str">
        <f ca="1">FGrpJ!O46</f>
        <v>3-1</v>
      </c>
      <c r="AH74" s="354">
        <f ca="1">AA74</f>
        <v>7</v>
      </c>
    </row>
    <row r="75" spans="1:34" ht="14.25" customHeight="1" x14ac:dyDescent="0.2">
      <c r="A75" s="422" t="s">
        <v>611</v>
      </c>
      <c r="B75" s="427">
        <v>46200</v>
      </c>
      <c r="C75" s="326">
        <v>0.91666666666666663</v>
      </c>
      <c r="D75" s="327" t="str">
        <f t="shared" si="9"/>
        <v>L</v>
      </c>
      <c r="E75" s="100" t="str">
        <f t="shared" si="7"/>
        <v>Croatia</v>
      </c>
      <c r="F75" s="434">
        <f ca="1">IF(Poster!F75="",FResults!AB70,Poster!F75)</f>
        <v>1</v>
      </c>
      <c r="G75" s="328" t="str">
        <f>IF(Poster!G75="",FResults!AB70,Poster!G75)</f>
        <v>-</v>
      </c>
      <c r="H75" s="435">
        <f ca="1">IF(Poster!H75="",FResults!AC70,Poster!H75)</f>
        <v>0</v>
      </c>
      <c r="I75" s="101" t="str">
        <f t="shared" si="8"/>
        <v>Ghana</v>
      </c>
      <c r="J75" s="101" t="str">
        <f>Stadium14</f>
        <v>Philadelphia Stadium</v>
      </c>
      <c r="K75" s="329" t="str">
        <f t="shared" si="10"/>
        <v>L</v>
      </c>
      <c r="L75" s="323" t="str">
        <f t="shared" ca="1" si="11"/>
        <v>Croatia</v>
      </c>
      <c r="M75" s="324" t="str">
        <f t="shared" ca="1" si="12"/>
        <v>Ghana</v>
      </c>
      <c r="N75" s="330">
        <f>Results!X70</f>
        <v>0.74324835619999996</v>
      </c>
      <c r="O75" s="330">
        <f>Results!Y70</f>
        <v>0.13714328759999994</v>
      </c>
      <c r="P75" s="330">
        <f>Results!Z70</f>
        <v>0.11960835620000004</v>
      </c>
      <c r="Q75" s="99"/>
      <c r="R75" s="347">
        <v>3</v>
      </c>
      <c r="S75" s="348" t="str">
        <f ca="1">FGrpJ!B47</f>
        <v>Algeria</v>
      </c>
      <c r="T75" s="98">
        <f>FGrpJ!C47</f>
        <v>3</v>
      </c>
      <c r="U75" s="98">
        <f ca="1">FGrpJ!D47</f>
        <v>1</v>
      </c>
      <c r="V75" s="98">
        <f ca="1">FGrpJ!E47</f>
        <v>0</v>
      </c>
      <c r="W75" s="98">
        <f ca="1">FGrpJ!F47</f>
        <v>2</v>
      </c>
      <c r="X75" s="98">
        <f ca="1">FGrpJ!G47</f>
        <v>4</v>
      </c>
      <c r="Y75" s="98">
        <f ca="1">FGrpJ!H47</f>
        <v>8</v>
      </c>
      <c r="Z75" s="349">
        <f ca="1">FGrpJ!I47</f>
        <v>-4</v>
      </c>
      <c r="AA75" s="350">
        <f ca="1">FGrpJ!J47</f>
        <v>3</v>
      </c>
      <c r="AC75" s="351" t="str">
        <f ca="1">FGrpJ!K47</f>
        <v>Algeria</v>
      </c>
      <c r="AD75" s="353" t="str">
        <f ca="1">FGrpJ!L47</f>
        <v>1-4</v>
      </c>
      <c r="AE75" s="353" t="str">
        <f ca="1">FGrpJ!M47</f>
        <v>1-3</v>
      </c>
      <c r="AF75" s="352"/>
      <c r="AG75" s="353" t="str">
        <f ca="1">FGrpJ!O47</f>
        <v>2-1</v>
      </c>
      <c r="AH75" s="354">
        <f ca="1">AA75</f>
        <v>3</v>
      </c>
    </row>
    <row r="76" spans="1:34" ht="14.25" customHeight="1" x14ac:dyDescent="0.2">
      <c r="A76" s="422" t="s">
        <v>612</v>
      </c>
      <c r="B76" s="427">
        <v>46201</v>
      </c>
      <c r="C76" s="326">
        <v>2.0833333333333332E-2</v>
      </c>
      <c r="D76" s="327" t="str">
        <f t="shared" si="9"/>
        <v>K</v>
      </c>
      <c r="E76" s="100" t="str">
        <f t="shared" si="7"/>
        <v>Colombia</v>
      </c>
      <c r="F76" s="434">
        <f ca="1">IF(Poster!F76="",FResults!AB71,Poster!F76)</f>
        <v>0</v>
      </c>
      <c r="G76" s="328" t="str">
        <f>IF(Poster!G76="",FResults!AB71,Poster!G76)</f>
        <v>-</v>
      </c>
      <c r="H76" s="435">
        <f ca="1">IF(Poster!H76="",FResults!AC71,Poster!H76)</f>
        <v>0</v>
      </c>
      <c r="I76" s="101" t="str">
        <f t="shared" si="8"/>
        <v>Portugal</v>
      </c>
      <c r="J76" s="101" t="str">
        <f>Stadium12</f>
        <v>Miami Stadium</v>
      </c>
      <c r="K76" s="329" t="str">
        <f t="shared" si="10"/>
        <v>K</v>
      </c>
      <c r="L76" s="323" t="str">
        <f t="shared" ca="1" si="11"/>
        <v>DColombia</v>
      </c>
      <c r="M76" s="324" t="str">
        <f t="shared" ca="1" si="12"/>
        <v>DPortugal</v>
      </c>
      <c r="N76" s="330">
        <f>Results!X71</f>
        <v>0.28220703125000002</v>
      </c>
      <c r="O76" s="330">
        <f>Results!Y71</f>
        <v>0.22308593750000005</v>
      </c>
      <c r="P76" s="330">
        <f>Results!Z71</f>
        <v>0.49470703124999998</v>
      </c>
      <c r="Q76" s="99"/>
      <c r="R76" s="347">
        <v>4</v>
      </c>
      <c r="S76" s="355" t="str">
        <f ca="1">FGrpJ!B48</f>
        <v>Jordan</v>
      </c>
      <c r="T76" s="356">
        <f>FGrpJ!C48</f>
        <v>3</v>
      </c>
      <c r="U76" s="356">
        <f ca="1">FGrpJ!D48</f>
        <v>0</v>
      </c>
      <c r="V76" s="356">
        <f ca="1">FGrpJ!E48</f>
        <v>0</v>
      </c>
      <c r="W76" s="356">
        <f ca="1">FGrpJ!F48</f>
        <v>3</v>
      </c>
      <c r="X76" s="356">
        <f ca="1">FGrpJ!G48</f>
        <v>2</v>
      </c>
      <c r="Y76" s="356">
        <f ca="1">FGrpJ!H48</f>
        <v>7</v>
      </c>
      <c r="Z76" s="357">
        <f ca="1">FGrpJ!I48</f>
        <v>-5</v>
      </c>
      <c r="AA76" s="358">
        <f ca="1">FGrpJ!J48</f>
        <v>0</v>
      </c>
      <c r="AC76" s="359" t="str">
        <f ca="1">FGrpJ!K48</f>
        <v>Jordan</v>
      </c>
      <c r="AD76" s="360" t="str">
        <f ca="1">FGrpJ!L48</f>
        <v>0-2</v>
      </c>
      <c r="AE76" s="360" t="str">
        <f ca="1">FGrpJ!M48</f>
        <v>1-3</v>
      </c>
      <c r="AF76" s="360" t="str">
        <f ca="1">FGrpJ!N48</f>
        <v>1-2</v>
      </c>
      <c r="AG76" s="361"/>
      <c r="AH76" s="362">
        <f ca="1">AA76</f>
        <v>0</v>
      </c>
    </row>
    <row r="77" spans="1:34" ht="14.25" customHeight="1" x14ac:dyDescent="0.2">
      <c r="A77" s="422" t="s">
        <v>613</v>
      </c>
      <c r="B77" s="427">
        <v>46201</v>
      </c>
      <c r="C77" s="326">
        <v>2.0833333333333332E-2</v>
      </c>
      <c r="D77" s="327" t="str">
        <f t="shared" si="9"/>
        <v>K</v>
      </c>
      <c r="E77" s="100" t="str">
        <f t="shared" si="7"/>
        <v>Congo DR</v>
      </c>
      <c r="F77" s="434">
        <f ca="1">IF(Poster!F77="",FResults!AB72,Poster!F77)</f>
        <v>2</v>
      </c>
      <c r="G77" s="328" t="str">
        <f>IF(Poster!G77="",FResults!AB72,Poster!G77)</f>
        <v>-</v>
      </c>
      <c r="H77" s="435">
        <f ca="1">IF(Poster!H77="",FResults!AC72,Poster!H77)</f>
        <v>1</v>
      </c>
      <c r="I77" s="101" t="str">
        <f t="shared" si="8"/>
        <v>Uzbekistan</v>
      </c>
      <c r="J77" s="101" t="str">
        <f>Stadium6</f>
        <v>Atlanta Stadium</v>
      </c>
      <c r="K77" s="329" t="str">
        <f t="shared" si="10"/>
        <v>K</v>
      </c>
      <c r="L77" s="323" t="str">
        <f t="shared" ca="1" si="11"/>
        <v>Congo DR</v>
      </c>
      <c r="M77" s="324" t="str">
        <f t="shared" ca="1" si="12"/>
        <v>Uzbekistan</v>
      </c>
      <c r="N77" s="330">
        <f>Results!X72</f>
        <v>0.40885300205000003</v>
      </c>
      <c r="O77" s="330">
        <f>Results!Y72</f>
        <v>0.23371399590000003</v>
      </c>
      <c r="P77" s="330">
        <f>Results!Z72</f>
        <v>0.35743300204999995</v>
      </c>
      <c r="Q77" s="99"/>
      <c r="T77" s="98"/>
      <c r="U77" s="98"/>
      <c r="V77" s="98"/>
      <c r="W77" s="98"/>
      <c r="X77" s="98"/>
      <c r="Y77" s="98"/>
      <c r="Z77" s="349"/>
      <c r="AA77" s="311"/>
      <c r="AD77" s="98"/>
      <c r="AE77" s="98"/>
      <c r="AF77" s="98"/>
      <c r="AG77" s="98"/>
      <c r="AH77" s="98"/>
    </row>
    <row r="78" spans="1:34" ht="14.25" customHeight="1" x14ac:dyDescent="0.2">
      <c r="A78" s="422" t="s">
        <v>614</v>
      </c>
      <c r="B78" s="427">
        <v>46201</v>
      </c>
      <c r="C78" s="326">
        <v>0.125</v>
      </c>
      <c r="D78" s="327" t="str">
        <f t="shared" si="9"/>
        <v>J</v>
      </c>
      <c r="E78" s="100" t="str">
        <f t="shared" si="7"/>
        <v>Algeria</v>
      </c>
      <c r="F78" s="434">
        <f ca="1">IF(Poster!F78="",FResults!AB73,Poster!F78)</f>
        <v>1</v>
      </c>
      <c r="G78" s="328" t="str">
        <f>IF(Poster!G78="",FResults!AB73,Poster!G78)</f>
        <v>-</v>
      </c>
      <c r="H78" s="435">
        <f ca="1">IF(Poster!H78="",FResults!AC73,Poster!H78)</f>
        <v>3</v>
      </c>
      <c r="I78" s="101" t="str">
        <f t="shared" si="8"/>
        <v>Austria</v>
      </c>
      <c r="J78" s="101" t="str">
        <f>Stadium10</f>
        <v>Kansas City Stadium</v>
      </c>
      <c r="K78" s="329" t="str">
        <f t="shared" si="10"/>
        <v>J</v>
      </c>
      <c r="L78" s="323" t="str">
        <f t="shared" ca="1" si="11"/>
        <v>Austria</v>
      </c>
      <c r="M78" s="324" t="str">
        <f t="shared" ca="1" si="12"/>
        <v>Algeria</v>
      </c>
      <c r="N78" s="330">
        <f>Results!X73</f>
        <v>0.35743300205</v>
      </c>
      <c r="O78" s="330">
        <f>Results!Y73</f>
        <v>0.23371399590000003</v>
      </c>
      <c r="P78" s="330">
        <f>Results!Z73</f>
        <v>0.40885300204999997</v>
      </c>
      <c r="Q78" s="99"/>
      <c r="R78" s="331"/>
      <c r="S78" s="332" t="s">
        <v>529</v>
      </c>
      <c r="T78" s="333"/>
      <c r="U78" s="333"/>
      <c r="V78" s="333"/>
      <c r="W78" s="333"/>
      <c r="X78" s="333"/>
      <c r="Y78" s="333"/>
      <c r="Z78" s="334"/>
      <c r="AA78" s="335"/>
      <c r="AC78" s="336" t="str">
        <f>S78</f>
        <v>Group K</v>
      </c>
      <c r="AD78" s="337"/>
      <c r="AE78" s="337"/>
      <c r="AF78" s="337"/>
      <c r="AG78" s="337"/>
      <c r="AH78" s="338"/>
    </row>
    <row r="79" spans="1:34" ht="14.25" customHeight="1" x14ac:dyDescent="0.2">
      <c r="A79" s="422" t="s">
        <v>615</v>
      </c>
      <c r="B79" s="427">
        <v>46201</v>
      </c>
      <c r="C79" s="326">
        <v>0.125</v>
      </c>
      <c r="D79" s="327" t="str">
        <f t="shared" si="9"/>
        <v>J</v>
      </c>
      <c r="E79" s="100" t="str">
        <f t="shared" si="7"/>
        <v>Jordan</v>
      </c>
      <c r="F79" s="434">
        <f ca="1">IF(Poster!F79="",FResults!AB74,Poster!F79)</f>
        <v>0</v>
      </c>
      <c r="G79" s="328" t="str">
        <f>IF(Poster!G79="",FResults!AB74,Poster!G79)</f>
        <v>-</v>
      </c>
      <c r="H79" s="435">
        <f ca="1">IF(Poster!H79="",FResults!AC74,Poster!H79)</f>
        <v>2</v>
      </c>
      <c r="I79" s="101" t="str">
        <f t="shared" si="8"/>
        <v>Argentina</v>
      </c>
      <c r="J79" s="101" t="str">
        <f>Stadium8</f>
        <v>Dallas Stadium</v>
      </c>
      <c r="K79" s="329" t="str">
        <f t="shared" si="10"/>
        <v>J</v>
      </c>
      <c r="L79" s="323" t="str">
        <f t="shared" ca="1" si="11"/>
        <v>Argentina</v>
      </c>
      <c r="M79" s="324" t="str">
        <f t="shared" ca="1" si="12"/>
        <v>Jordan</v>
      </c>
      <c r="N79" s="330">
        <f>Results!X74</f>
        <v>4.7837624999999995E-2</v>
      </c>
      <c r="O79" s="330">
        <f>Results!Y74</f>
        <v>5.3324750000000032E-2</v>
      </c>
      <c r="P79" s="330">
        <f>Results!Z74</f>
        <v>0.89883762499999997</v>
      </c>
      <c r="Q79" s="99"/>
      <c r="R79" s="339" t="s">
        <v>325</v>
      </c>
      <c r="S79" s="340" t="s">
        <v>310</v>
      </c>
      <c r="T79" s="341" t="s">
        <v>311</v>
      </c>
      <c r="U79" s="341" t="s">
        <v>305</v>
      </c>
      <c r="V79" s="341" t="s">
        <v>15</v>
      </c>
      <c r="W79" s="341" t="s">
        <v>306</v>
      </c>
      <c r="X79" s="341" t="s">
        <v>307</v>
      </c>
      <c r="Y79" s="341" t="s">
        <v>16</v>
      </c>
      <c r="Z79" s="342" t="s">
        <v>308</v>
      </c>
      <c r="AA79" s="343" t="s">
        <v>566</v>
      </c>
      <c r="AC79" s="344" t="s">
        <v>310</v>
      </c>
      <c r="AD79" s="345" t="str">
        <f ca="1">LEFT($AC80,3)</f>
        <v>Col</v>
      </c>
      <c r="AE79" s="345" t="str">
        <f ca="1">LEFT($AC81,3)</f>
        <v>Por</v>
      </c>
      <c r="AF79" s="345" t="str">
        <f ca="1">LEFT($AC82,3)</f>
        <v>Con</v>
      </c>
      <c r="AG79" s="345" t="str">
        <f ca="1">LEFT($AC83,3)</f>
        <v>Uzb</v>
      </c>
      <c r="AH79" s="346" t="s">
        <v>566</v>
      </c>
    </row>
    <row r="80" spans="1:34" ht="14.25" customHeight="1" x14ac:dyDescent="0.2">
      <c r="A80" s="422"/>
      <c r="B80" s="428"/>
      <c r="D80" s="321"/>
      <c r="E80" s="102"/>
      <c r="F80" s="98"/>
      <c r="G80" s="98"/>
      <c r="H80" s="98"/>
      <c r="K80" s="322"/>
      <c r="L80" s="323"/>
      <c r="M80" s="324"/>
      <c r="N80" s="366"/>
      <c r="O80" s="366"/>
      <c r="P80" s="366"/>
      <c r="Q80" s="99"/>
      <c r="R80" s="347">
        <v>1</v>
      </c>
      <c r="S80" s="348" t="str">
        <f ca="1">FGrpK!B45</f>
        <v>Colombia</v>
      </c>
      <c r="T80" s="98">
        <f>FGrpK!C45</f>
        <v>3</v>
      </c>
      <c r="U80" s="98">
        <f ca="1">FGrpK!D45</f>
        <v>2</v>
      </c>
      <c r="V80" s="98">
        <f ca="1">FGrpK!E45</f>
        <v>1</v>
      </c>
      <c r="W80" s="98">
        <f ca="1">FGrpK!F45</f>
        <v>0</v>
      </c>
      <c r="X80" s="98">
        <f ca="1">FGrpK!G45</f>
        <v>5</v>
      </c>
      <c r="Y80" s="98">
        <f ca="1">FGrpK!H45</f>
        <v>0</v>
      </c>
      <c r="Z80" s="349">
        <f ca="1">FGrpK!I45</f>
        <v>5</v>
      </c>
      <c r="AA80" s="350">
        <f ca="1">FGrpK!J45</f>
        <v>7</v>
      </c>
      <c r="AC80" s="351" t="str">
        <f ca="1">FGrpK!K45</f>
        <v>Colombia</v>
      </c>
      <c r="AD80" s="352"/>
      <c r="AE80" s="353" t="str">
        <f ca="1">FGrpK!M45</f>
        <v>0-0</v>
      </c>
      <c r="AF80" s="353" t="str">
        <f ca="1">FGrpK!N45</f>
        <v>2-0</v>
      </c>
      <c r="AG80" s="353" t="str">
        <f ca="1">FGrpK!O45</f>
        <v>3-0</v>
      </c>
      <c r="AH80" s="354">
        <f ca="1">AA80</f>
        <v>7</v>
      </c>
    </row>
    <row r="81" spans="1:34" ht="14.25" customHeight="1" x14ac:dyDescent="0.2">
      <c r="A81" s="422"/>
      <c r="B81" s="424"/>
      <c r="C81" s="312"/>
      <c r="D81" s="313"/>
      <c r="E81" s="666" t="s">
        <v>532</v>
      </c>
      <c r="F81" s="666"/>
      <c r="G81" s="666"/>
      <c r="H81" s="666"/>
      <c r="I81" s="666"/>
      <c r="J81" s="312"/>
      <c r="K81" s="367"/>
      <c r="L81" s="323"/>
      <c r="M81" s="324"/>
      <c r="N81" s="667" t="s">
        <v>386</v>
      </c>
      <c r="O81" s="667"/>
      <c r="P81" s="667"/>
      <c r="Q81" s="99"/>
      <c r="R81" s="347">
        <v>2</v>
      </c>
      <c r="S81" s="348" t="str">
        <f ca="1">FGrpK!B46</f>
        <v>Portugal</v>
      </c>
      <c r="T81" s="98">
        <f>FGrpK!C46</f>
        <v>3</v>
      </c>
      <c r="U81" s="98">
        <f ca="1">FGrpK!D46</f>
        <v>2</v>
      </c>
      <c r="V81" s="98">
        <f ca="1">FGrpK!E46</f>
        <v>1</v>
      </c>
      <c r="W81" s="98">
        <f ca="1">FGrpK!F46</f>
        <v>0</v>
      </c>
      <c r="X81" s="98">
        <f ca="1">FGrpK!G46</f>
        <v>3</v>
      </c>
      <c r="Y81" s="98">
        <f ca="1">FGrpK!H46</f>
        <v>1</v>
      </c>
      <c r="Z81" s="349">
        <f ca="1">FGrpK!I46</f>
        <v>2</v>
      </c>
      <c r="AA81" s="350">
        <f ca="1">FGrpK!J46</f>
        <v>7</v>
      </c>
      <c r="AC81" s="351" t="str">
        <f ca="1">FGrpK!K46</f>
        <v>Portugal</v>
      </c>
      <c r="AD81" s="353" t="str">
        <f ca="1">FGrpK!L46</f>
        <v>0-0</v>
      </c>
      <c r="AE81" s="352"/>
      <c r="AF81" s="353" t="str">
        <f ca="1">FGrpK!N46</f>
        <v>2-1</v>
      </c>
      <c r="AG81" s="353" t="str">
        <f ca="1">FGrpK!O46</f>
        <v>1-0</v>
      </c>
      <c r="AH81" s="354">
        <f ca="1">AA81</f>
        <v>7</v>
      </c>
    </row>
    <row r="82" spans="1:34" ht="14.25" customHeight="1" x14ac:dyDescent="0.2">
      <c r="A82" s="422"/>
      <c r="B82" s="425" t="s">
        <v>111</v>
      </c>
      <c r="C82" s="315" t="s">
        <v>319</v>
      </c>
      <c r="D82" s="316" t="s">
        <v>618</v>
      </c>
      <c r="E82" s="317"/>
      <c r="F82" s="368" t="s">
        <v>337</v>
      </c>
      <c r="G82" s="317"/>
      <c r="H82" s="317"/>
      <c r="I82" s="317"/>
      <c r="J82" s="318" t="s">
        <v>321</v>
      </c>
      <c r="K82" s="369"/>
      <c r="L82" s="323"/>
      <c r="M82" s="324"/>
      <c r="N82" s="370" t="s">
        <v>1</v>
      </c>
      <c r="O82" s="370" t="s">
        <v>25</v>
      </c>
      <c r="P82" s="370" t="s">
        <v>0</v>
      </c>
      <c r="Q82" s="99"/>
      <c r="R82" s="347">
        <v>3</v>
      </c>
      <c r="S82" s="348" t="str">
        <f ca="1">FGrpK!B47</f>
        <v>Congo DR</v>
      </c>
      <c r="T82" s="98">
        <f>FGrpK!C47</f>
        <v>3</v>
      </c>
      <c r="U82" s="98">
        <f ca="1">FGrpK!D47</f>
        <v>1</v>
      </c>
      <c r="V82" s="98">
        <f ca="1">FGrpK!E47</f>
        <v>0</v>
      </c>
      <c r="W82" s="98">
        <f ca="1">FGrpK!F47</f>
        <v>2</v>
      </c>
      <c r="X82" s="98">
        <f ca="1">FGrpK!G47</f>
        <v>3</v>
      </c>
      <c r="Y82" s="98">
        <f ca="1">FGrpK!H47</f>
        <v>5</v>
      </c>
      <c r="Z82" s="349">
        <f ca="1">FGrpK!I47</f>
        <v>-2</v>
      </c>
      <c r="AA82" s="350">
        <f ca="1">FGrpK!J47</f>
        <v>3</v>
      </c>
      <c r="AC82" s="351" t="str">
        <f ca="1">FGrpK!K47</f>
        <v>Congo DR</v>
      </c>
      <c r="AD82" s="353" t="str">
        <f ca="1">FGrpK!L47</f>
        <v>0-2</v>
      </c>
      <c r="AE82" s="353" t="str">
        <f ca="1">FGrpK!M47</f>
        <v>1-2</v>
      </c>
      <c r="AF82" s="352"/>
      <c r="AG82" s="353" t="str">
        <f ca="1">FGrpK!O47</f>
        <v>2-1</v>
      </c>
      <c r="AH82" s="354">
        <f ca="1">AA82</f>
        <v>3</v>
      </c>
    </row>
    <row r="83" spans="1:34" ht="14.25" customHeight="1" x14ac:dyDescent="0.2">
      <c r="A83" s="422"/>
      <c r="B83" s="428"/>
      <c r="D83" s="321"/>
      <c r="F83" s="98"/>
      <c r="G83" s="98"/>
      <c r="H83" s="98"/>
      <c r="K83" s="322"/>
      <c r="L83" s="323"/>
      <c r="M83" s="324"/>
      <c r="N83" s="366"/>
      <c r="O83" s="366"/>
      <c r="P83" s="366"/>
      <c r="Q83" s="99"/>
      <c r="R83" s="347">
        <v>4</v>
      </c>
      <c r="S83" s="355" t="str">
        <f ca="1">FGrpK!B48</f>
        <v>Uzbekistan</v>
      </c>
      <c r="T83" s="356">
        <f>FGrpK!C48</f>
        <v>3</v>
      </c>
      <c r="U83" s="356">
        <f ca="1">FGrpK!D48</f>
        <v>0</v>
      </c>
      <c r="V83" s="356">
        <f ca="1">FGrpK!E48</f>
        <v>0</v>
      </c>
      <c r="W83" s="356">
        <f ca="1">FGrpK!F48</f>
        <v>3</v>
      </c>
      <c r="X83" s="356">
        <f ca="1">FGrpK!G48</f>
        <v>1</v>
      </c>
      <c r="Y83" s="356">
        <f ca="1">FGrpK!H48</f>
        <v>6</v>
      </c>
      <c r="Z83" s="357">
        <f ca="1">FGrpK!I48</f>
        <v>-5</v>
      </c>
      <c r="AA83" s="358">
        <f ca="1">FGrpK!J48</f>
        <v>0</v>
      </c>
      <c r="AC83" s="359" t="str">
        <f ca="1">FGrpK!K48</f>
        <v>Uzbekistan</v>
      </c>
      <c r="AD83" s="360" t="str">
        <f ca="1">FGrpK!L48</f>
        <v>0-3</v>
      </c>
      <c r="AE83" s="360" t="str">
        <f ca="1">FGrpK!M48</f>
        <v>0-1</v>
      </c>
      <c r="AF83" s="360" t="str">
        <f ca="1">FGrpK!N48</f>
        <v>1-2</v>
      </c>
      <c r="AG83" s="361"/>
      <c r="AH83" s="362">
        <f ca="1">AA83</f>
        <v>0</v>
      </c>
    </row>
    <row r="84" spans="1:34" ht="14.25" customHeight="1" x14ac:dyDescent="0.2">
      <c r="A84" s="422" t="s">
        <v>1206</v>
      </c>
      <c r="B84" s="427">
        <v>46201</v>
      </c>
      <c r="C84" s="326">
        <v>0.83333333333333337</v>
      </c>
      <c r="D84" s="371" t="s">
        <v>1229</v>
      </c>
      <c r="E84" s="100" t="str">
        <f ca="1">IF(FGrpA!C49=12,FGrpA!B46,"Second in Group A")</f>
        <v>Mexico</v>
      </c>
      <c r="F84" s="436">
        <f ca="1">FResults!$H$75</f>
        <v>0</v>
      </c>
      <c r="G84" s="372" t="s">
        <v>536</v>
      </c>
      <c r="H84" s="437">
        <f ca="1">FResults!$I$75</f>
        <v>1</v>
      </c>
      <c r="I84" s="101" t="str">
        <f ca="1">IF(FGrpB!C49=12,FGrpB!B46,"Second in Group B")</f>
        <v>Canada</v>
      </c>
      <c r="J84" s="101" t="str">
        <f>Stadium11</f>
        <v>Los Angeles Stadium</v>
      </c>
      <c r="K84" s="322"/>
      <c r="L84" s="323" t="str">
        <f ca="1">IF(F84&gt;H84,E84,IF(H84&gt;F84,I84,IF(F85&gt;H85,E84,IF(H85&gt;F85,I84,IF(F86&gt;H86,E84,I84)))))</f>
        <v>Canada</v>
      </c>
      <c r="M84" s="324"/>
      <c r="N84" s="330">
        <f ca="1">VLOOKUP($D84,FLookup3,20,FALSE)</f>
        <v>0.57165703125</v>
      </c>
      <c r="O84" s="330">
        <f ca="1">VLOOKUP($D84,FLookup3,21,FALSE)</f>
        <v>0.20418593750000003</v>
      </c>
      <c r="P84" s="330">
        <f ca="1">VLOOKUP($D84,FLookup3,22,FALSE)</f>
        <v>0.22415703124999997</v>
      </c>
      <c r="Q84" s="99"/>
      <c r="T84" s="98"/>
      <c r="U84" s="98"/>
      <c r="V84" s="98"/>
      <c r="W84" s="98"/>
      <c r="X84" s="98"/>
      <c r="Y84" s="98"/>
      <c r="Z84" s="349"/>
      <c r="AA84" s="311"/>
      <c r="AB84" s="97" t="s">
        <v>327</v>
      </c>
      <c r="AD84" s="98"/>
      <c r="AE84" s="98"/>
      <c r="AF84" s="98"/>
      <c r="AG84" s="98"/>
      <c r="AH84" s="98"/>
    </row>
    <row r="85" spans="1:34" ht="14.25" customHeight="1" x14ac:dyDescent="0.2">
      <c r="A85" s="422"/>
      <c r="B85" s="427" t="s">
        <v>110</v>
      </c>
      <c r="C85" s="326"/>
      <c r="D85" s="98" t="str">
        <f ca="1">IF(E85="AET",D84&amp;"E","")</f>
        <v/>
      </c>
      <c r="E85" s="373" t="str">
        <f ca="1">IF(AND(F84=H84,F84&lt;&gt;""),"AET","")</f>
        <v/>
      </c>
      <c r="F85" s="374" t="str">
        <f ca="1">IF($E85="AET",FResults!$J$75,"")</f>
        <v/>
      </c>
      <c r="G85" s="374" t="str">
        <f ca="1">IF($E85="","","-")</f>
        <v/>
      </c>
      <c r="H85" s="374" t="str">
        <f ca="1">IF($E85="AET",FResults!$K$75,"")</f>
        <v/>
      </c>
      <c r="I85" s="101"/>
      <c r="J85" s="101"/>
      <c r="K85" s="322"/>
      <c r="L85" s="323"/>
      <c r="M85" s="324"/>
      <c r="N85" s="366"/>
      <c r="O85" s="366"/>
      <c r="P85" s="366"/>
      <c r="Q85" s="99"/>
      <c r="R85" s="331"/>
      <c r="S85" s="332" t="s">
        <v>530</v>
      </c>
      <c r="T85" s="333"/>
      <c r="U85" s="333"/>
      <c r="V85" s="333"/>
      <c r="W85" s="333"/>
      <c r="X85" s="333"/>
      <c r="Y85" s="333"/>
      <c r="Z85" s="334"/>
      <c r="AA85" s="335"/>
      <c r="AC85" s="336" t="str">
        <f>S85</f>
        <v>Group L</v>
      </c>
      <c r="AD85" s="337"/>
      <c r="AE85" s="337"/>
      <c r="AF85" s="337"/>
      <c r="AG85" s="337"/>
      <c r="AH85" s="338"/>
    </row>
    <row r="86" spans="1:34" ht="14.25" customHeight="1" x14ac:dyDescent="0.2">
      <c r="A86" s="422"/>
      <c r="B86" s="427" t="s">
        <v>110</v>
      </c>
      <c r="C86" s="326"/>
      <c r="D86" s="98" t="str">
        <f ca="1">IF(E86="Penalties",D84&amp;"P","")</f>
        <v/>
      </c>
      <c r="E86" s="375" t="str">
        <f ca="1">IF(AND(F85=H85,F85&lt;&gt;""),"Penalties","")</f>
        <v/>
      </c>
      <c r="F86" s="438" t="str">
        <f ca="1">IF($E86="Penalties",FResults!$L$75,"")</f>
        <v/>
      </c>
      <c r="G86" s="374" t="str">
        <f ca="1">IF($E86="","","-")</f>
        <v/>
      </c>
      <c r="H86" s="438" t="str">
        <f ca="1">IF($E86="Penalties",FResults!$M$75,"")</f>
        <v/>
      </c>
      <c r="I86" s="101"/>
      <c r="J86" s="101"/>
      <c r="K86" s="322"/>
      <c r="L86" s="323"/>
      <c r="M86" s="324"/>
      <c r="N86" s="366"/>
      <c r="O86" s="366"/>
      <c r="P86" s="366"/>
      <c r="Q86" s="99"/>
      <c r="R86" s="339" t="s">
        <v>325</v>
      </c>
      <c r="S86" s="340" t="s">
        <v>310</v>
      </c>
      <c r="T86" s="341" t="s">
        <v>311</v>
      </c>
      <c r="U86" s="341" t="s">
        <v>305</v>
      </c>
      <c r="V86" s="341" t="s">
        <v>15</v>
      </c>
      <c r="W86" s="341" t="s">
        <v>306</v>
      </c>
      <c r="X86" s="341" t="s">
        <v>307</v>
      </c>
      <c r="Y86" s="341" t="s">
        <v>16</v>
      </c>
      <c r="Z86" s="342" t="s">
        <v>308</v>
      </c>
      <c r="AA86" s="343" t="s">
        <v>566</v>
      </c>
      <c r="AC86" s="344" t="s">
        <v>310</v>
      </c>
      <c r="AD86" s="345" t="str">
        <f ca="1">LEFT($AC87,3)</f>
        <v>Eng</v>
      </c>
      <c r="AE86" s="345" t="str">
        <f ca="1">LEFT($AC88,3)</f>
        <v>Cro</v>
      </c>
      <c r="AF86" s="345" t="str">
        <f ca="1">LEFT($AC89,3)</f>
        <v>Pan</v>
      </c>
      <c r="AG86" s="345" t="str">
        <f ca="1">LEFT($AC90,3)</f>
        <v>Gha</v>
      </c>
      <c r="AH86" s="346" t="s">
        <v>566</v>
      </c>
    </row>
    <row r="87" spans="1:34" ht="14.25" customHeight="1" x14ac:dyDescent="0.2">
      <c r="A87" s="422" t="s">
        <v>1207</v>
      </c>
      <c r="B87" s="427">
        <v>46202</v>
      </c>
      <c r="C87" s="326">
        <v>0.75</v>
      </c>
      <c r="D87" s="371" t="s">
        <v>1231</v>
      </c>
      <c r="E87" s="100" t="str">
        <f ca="1">IF(FGrpC!C49=12,FGrpC!B45,"Winner Group C")</f>
        <v>Morocco</v>
      </c>
      <c r="F87" s="436">
        <f ca="1">FResults!$H$76</f>
        <v>3</v>
      </c>
      <c r="G87" s="372" t="s">
        <v>536</v>
      </c>
      <c r="H87" s="437">
        <f ca="1">FResults!$I$76</f>
        <v>0</v>
      </c>
      <c r="I87" s="101" t="str">
        <f ca="1">IF(FGrpF!C49=12,FGrpF!B46,"Second in Group F")</f>
        <v>Japan</v>
      </c>
      <c r="J87" s="101" t="str">
        <f>Stadium9</f>
        <v>Houston Stadium</v>
      </c>
      <c r="K87" s="322"/>
      <c r="L87" s="323" t="str">
        <f ca="1">IF(F87&gt;H87,E87,IF(H87&gt;F87,I87,IF(F88&gt;H88,E87,IF(H88&gt;F88,I87,IF(F89&gt;H89,E87,I87)))))</f>
        <v>Morocco</v>
      </c>
      <c r="M87" s="324"/>
      <c r="N87" s="330">
        <f ca="1">VLOOKUP($D87,FLookup3,20,FALSE)</f>
        <v>0.43406250000000002</v>
      </c>
      <c r="O87" s="330">
        <f ca="1">VLOOKUP($D87,FLookup3,21,FALSE)</f>
        <v>0.23187500000000005</v>
      </c>
      <c r="P87" s="330">
        <f ca="1">VLOOKUP($D87,FLookup3,22,FALSE)</f>
        <v>0.33406249999999998</v>
      </c>
      <c r="Q87" s="99"/>
      <c r="R87" s="347">
        <v>1</v>
      </c>
      <c r="S87" s="348" t="str">
        <f ca="1">FGrpL!B45</f>
        <v>England</v>
      </c>
      <c r="T87" s="98">
        <f>FGrpL!C45</f>
        <v>3</v>
      </c>
      <c r="U87" s="98">
        <f ca="1">FGrpL!D45</f>
        <v>3</v>
      </c>
      <c r="V87" s="98">
        <f ca="1">FGrpL!E45</f>
        <v>0</v>
      </c>
      <c r="W87" s="98">
        <f ca="1">FGrpL!F45</f>
        <v>0</v>
      </c>
      <c r="X87" s="98">
        <f ca="1">FGrpL!G45</f>
        <v>8</v>
      </c>
      <c r="Y87" s="98">
        <f ca="1">FGrpL!H45</f>
        <v>3</v>
      </c>
      <c r="Z87" s="349">
        <f ca="1">FGrpL!I45</f>
        <v>5</v>
      </c>
      <c r="AA87" s="350">
        <f ca="1">FGrpL!J45</f>
        <v>9</v>
      </c>
      <c r="AC87" s="351" t="str">
        <f ca="1">FGrpL!K45</f>
        <v>England</v>
      </c>
      <c r="AD87" s="352"/>
      <c r="AE87" s="353" t="str">
        <f ca="1">FGrpL!M45</f>
        <v>3-0</v>
      </c>
      <c r="AF87" s="353" t="str">
        <f ca="1">FGrpL!N45</f>
        <v>3-2</v>
      </c>
      <c r="AG87" s="353" t="str">
        <f ca="1">FGrpL!O45</f>
        <v>2-1</v>
      </c>
      <c r="AH87" s="354">
        <f ca="1">AA87</f>
        <v>9</v>
      </c>
    </row>
    <row r="88" spans="1:34" ht="14.25" customHeight="1" x14ac:dyDescent="0.2">
      <c r="A88" s="422"/>
      <c r="B88" s="427" t="s">
        <v>110</v>
      </c>
      <c r="C88" s="326"/>
      <c r="D88" s="98" t="str">
        <f ca="1">IF(E88="AET",D87&amp;"E","")</f>
        <v/>
      </c>
      <c r="E88" s="373" t="str">
        <f ca="1">IF(AND(F87=H87,F87&lt;&gt;""),"AET","")</f>
        <v/>
      </c>
      <c r="F88" s="374" t="str">
        <f ca="1">IF($E88="AET",FResults!$J$76,"")</f>
        <v/>
      </c>
      <c r="G88" s="374" t="str">
        <f ca="1">IF($E88="","","-")</f>
        <v/>
      </c>
      <c r="H88" s="374" t="str">
        <f ca="1">IF($E88="AET",FResults!$K$76,"")</f>
        <v/>
      </c>
      <c r="I88" s="101"/>
      <c r="J88" s="101"/>
      <c r="K88" s="322"/>
      <c r="L88" s="323"/>
      <c r="M88" s="324"/>
      <c r="N88" s="366"/>
      <c r="O88" s="366"/>
      <c r="P88" s="366"/>
      <c r="Q88" s="99"/>
      <c r="R88" s="347">
        <v>2</v>
      </c>
      <c r="S88" s="348" t="str">
        <f ca="1">FGrpL!B46</f>
        <v>Croatia</v>
      </c>
      <c r="T88" s="98">
        <f>FGrpL!C46</f>
        <v>3</v>
      </c>
      <c r="U88" s="98">
        <f ca="1">FGrpL!D46</f>
        <v>2</v>
      </c>
      <c r="V88" s="98">
        <f ca="1">FGrpL!E46</f>
        <v>0</v>
      </c>
      <c r="W88" s="98">
        <f ca="1">FGrpL!F46</f>
        <v>1</v>
      </c>
      <c r="X88" s="98">
        <f ca="1">FGrpL!G46</f>
        <v>4</v>
      </c>
      <c r="Y88" s="98">
        <f ca="1">FGrpL!H46</f>
        <v>3</v>
      </c>
      <c r="Z88" s="349">
        <f ca="1">FGrpL!I46</f>
        <v>1</v>
      </c>
      <c r="AA88" s="350">
        <f ca="1">FGrpL!J46</f>
        <v>6</v>
      </c>
      <c r="AC88" s="351" t="str">
        <f ca="1">FGrpL!K46</f>
        <v>Croatia</v>
      </c>
      <c r="AD88" s="353" t="str">
        <f ca="1">FGrpL!L46</f>
        <v>0-3</v>
      </c>
      <c r="AE88" s="352"/>
      <c r="AF88" s="353" t="str">
        <f ca="1">FGrpL!N46</f>
        <v>3-0</v>
      </c>
      <c r="AG88" s="353" t="str">
        <f ca="1">FGrpL!O46</f>
        <v>1-0</v>
      </c>
      <c r="AH88" s="354">
        <f ca="1">AA88</f>
        <v>6</v>
      </c>
    </row>
    <row r="89" spans="1:34" ht="14.25" customHeight="1" x14ac:dyDescent="0.2">
      <c r="A89" s="422"/>
      <c r="B89" s="427" t="s">
        <v>110</v>
      </c>
      <c r="C89" s="326"/>
      <c r="D89" s="98" t="str">
        <f ca="1">IF(E89="Penalties",D87&amp;"P","")</f>
        <v/>
      </c>
      <c r="E89" s="375" t="str">
        <f ca="1">IF(AND(F88=H88,F88&lt;&gt;""),"Penalties","")</f>
        <v/>
      </c>
      <c r="F89" s="438" t="str">
        <f ca="1">IF($E89="Penalties",FResults!$L$76,"")</f>
        <v/>
      </c>
      <c r="G89" s="374" t="str">
        <f ca="1">IF($E89="","","-")</f>
        <v/>
      </c>
      <c r="H89" s="438" t="str">
        <f ca="1">IF($E89="Penalties",FResults!$M$76,"")</f>
        <v/>
      </c>
      <c r="I89" s="101"/>
      <c r="J89" s="101"/>
      <c r="K89" s="322"/>
      <c r="L89" s="323"/>
      <c r="M89" s="324"/>
      <c r="N89" s="366"/>
      <c r="O89" s="366"/>
      <c r="P89" s="366"/>
      <c r="Q89" s="99"/>
      <c r="R89" s="347">
        <v>3</v>
      </c>
      <c r="S89" s="348" t="str">
        <f ca="1">FGrpL!B47</f>
        <v>Panama</v>
      </c>
      <c r="T89" s="98">
        <f>FGrpL!C47</f>
        <v>3</v>
      </c>
      <c r="U89" s="98">
        <f ca="1">FGrpL!D47</f>
        <v>1</v>
      </c>
      <c r="V89" s="98">
        <f ca="1">FGrpL!E47</f>
        <v>0</v>
      </c>
      <c r="W89" s="98">
        <f ca="1">FGrpL!F47</f>
        <v>2</v>
      </c>
      <c r="X89" s="98">
        <f ca="1">FGrpL!G47</f>
        <v>3</v>
      </c>
      <c r="Y89" s="98">
        <f ca="1">FGrpL!H47</f>
        <v>6</v>
      </c>
      <c r="Z89" s="349">
        <f ca="1">FGrpL!I47</f>
        <v>-3</v>
      </c>
      <c r="AA89" s="350">
        <f ca="1">FGrpL!J47</f>
        <v>3</v>
      </c>
      <c r="AC89" s="351" t="str">
        <f ca="1">FGrpL!K47</f>
        <v>Panama</v>
      </c>
      <c r="AD89" s="353" t="str">
        <f ca="1">FGrpL!L47</f>
        <v>2-3</v>
      </c>
      <c r="AE89" s="353" t="str">
        <f ca="1">FGrpL!M47</f>
        <v>0-3</v>
      </c>
      <c r="AF89" s="352"/>
      <c r="AG89" s="353" t="str">
        <f ca="1">FGrpL!O47</f>
        <v>1-0</v>
      </c>
      <c r="AH89" s="354">
        <f ca="1">AA89</f>
        <v>3</v>
      </c>
    </row>
    <row r="90" spans="1:34" ht="14.25" customHeight="1" x14ac:dyDescent="0.2">
      <c r="A90" s="422" t="str">
        <f>"1E3"&amp;ThirdPlace!G22</f>
        <v>1E3C</v>
      </c>
      <c r="B90" s="427">
        <v>46202</v>
      </c>
      <c r="C90" s="326">
        <v>0.89583333333333337</v>
      </c>
      <c r="D90" s="371" t="s">
        <v>1232</v>
      </c>
      <c r="E90" s="100" t="str">
        <f ca="1">IF(FGrpE!C49=12,FGrpE!B45,"Winner Group E")</f>
        <v>Cote d'Ivorie</v>
      </c>
      <c r="F90" s="436">
        <f ca="1">FResults!$H$77</f>
        <v>1</v>
      </c>
      <c r="G90" s="372" t="s">
        <v>536</v>
      </c>
      <c r="H90" s="437">
        <f ca="1">FResults!$I$77</f>
        <v>0</v>
      </c>
      <c r="I90" s="101" t="str">
        <f ca="1">IF(FThirdPlace!D15=36,FThirdPlace!H22,"Third Place ABCDF")</f>
        <v>Paraguay</v>
      </c>
      <c r="J90" s="101" t="str">
        <f>Stadium7</f>
        <v>Boston Stadium</v>
      </c>
      <c r="K90" s="322"/>
      <c r="L90" s="323" t="str">
        <f ca="1">IF(F90&gt;H90,E90,IF(H90&gt;F90,I90,IF(F91&gt;H91,E90,IF(H91&gt;F91,I90,IF(F92&gt;H92,E90,I90)))))</f>
        <v>Cote d'Ivorie</v>
      </c>
      <c r="M90" s="324"/>
      <c r="N90" s="330">
        <f ca="1">VLOOKUP($D90,FLookup3,20,FALSE)</f>
        <v>0.301425</v>
      </c>
      <c r="O90" s="330">
        <f ca="1">VLOOKUP($D90,FLookup3,21,FALSE)</f>
        <v>0.22715000000000002</v>
      </c>
      <c r="P90" s="330">
        <f ca="1">VLOOKUP($D90,FLookup3,22,FALSE)</f>
        <v>0.47142499999999998</v>
      </c>
      <c r="Q90" s="99"/>
      <c r="R90" s="347">
        <v>4</v>
      </c>
      <c r="S90" s="355" t="str">
        <f ca="1">FGrpL!B48</f>
        <v>Ghana</v>
      </c>
      <c r="T90" s="356">
        <f>FGrpL!C48</f>
        <v>3</v>
      </c>
      <c r="U90" s="356">
        <f ca="1">FGrpL!D48</f>
        <v>0</v>
      </c>
      <c r="V90" s="356">
        <f ca="1">FGrpL!E48</f>
        <v>0</v>
      </c>
      <c r="W90" s="356">
        <f ca="1">FGrpL!F48</f>
        <v>3</v>
      </c>
      <c r="X90" s="356">
        <f ca="1">FGrpL!G48</f>
        <v>1</v>
      </c>
      <c r="Y90" s="356">
        <f ca="1">FGrpL!H48</f>
        <v>4</v>
      </c>
      <c r="Z90" s="357">
        <f ca="1">FGrpL!I48</f>
        <v>-3</v>
      </c>
      <c r="AA90" s="358">
        <f ca="1">FGrpL!J48</f>
        <v>0</v>
      </c>
      <c r="AC90" s="359" t="str">
        <f ca="1">FGrpL!K48</f>
        <v>Ghana</v>
      </c>
      <c r="AD90" s="360" t="str">
        <f ca="1">FGrpL!L48</f>
        <v>1-2</v>
      </c>
      <c r="AE90" s="360" t="str">
        <f ca="1">FGrpL!M48</f>
        <v>0-1</v>
      </c>
      <c r="AF90" s="360" t="str">
        <f ca="1">FGrpL!N48</f>
        <v>0-1</v>
      </c>
      <c r="AG90" s="361"/>
      <c r="AH90" s="362">
        <f ca="1">AA90</f>
        <v>0</v>
      </c>
    </row>
    <row r="91" spans="1:34" ht="14.25" customHeight="1" x14ac:dyDescent="0.2">
      <c r="A91" s="422"/>
      <c r="B91" s="427" t="s">
        <v>110</v>
      </c>
      <c r="C91" s="326"/>
      <c r="D91" s="98" t="str">
        <f ca="1">IF(E91="AET",D90&amp;"E","")</f>
        <v/>
      </c>
      <c r="E91" s="373" t="str">
        <f ca="1">IF(AND(F90=H90,F90&lt;&gt;""),"AET","")</f>
        <v/>
      </c>
      <c r="F91" s="374" t="str">
        <f ca="1">IF($E91="AET",FResults!$J$77,"")</f>
        <v/>
      </c>
      <c r="G91" s="374" t="str">
        <f ca="1">IF($E91="","","-")</f>
        <v/>
      </c>
      <c r="H91" s="374" t="str">
        <f ca="1">IF($E91="AET",FResults!$K$77,"")</f>
        <v/>
      </c>
      <c r="I91" s="101"/>
      <c r="J91" s="101"/>
      <c r="K91" s="322"/>
      <c r="L91" s="323"/>
      <c r="M91" s="324"/>
      <c r="N91" s="366"/>
      <c r="O91" s="366"/>
      <c r="P91" s="366"/>
      <c r="Q91" s="99"/>
      <c r="AA91" s="96"/>
    </row>
    <row r="92" spans="1:34" ht="14.25" customHeight="1" x14ac:dyDescent="0.25">
      <c r="A92" s="422"/>
      <c r="B92" s="427" t="s">
        <v>110</v>
      </c>
      <c r="C92" s="326"/>
      <c r="D92" s="98" t="str">
        <f ca="1">IF(E92="Penalties",D90&amp;"P","")</f>
        <v/>
      </c>
      <c r="E92" s="375" t="str">
        <f ca="1">IF(AND(F91=H91,F91&lt;&gt;""),"Penalties","")</f>
        <v/>
      </c>
      <c r="F92" s="438" t="str">
        <f ca="1">IF($E92="Penalties",FResults!$L$77,"")</f>
        <v/>
      </c>
      <c r="G92" s="374" t="str">
        <f ca="1">IF($E92="","","-")</f>
        <v/>
      </c>
      <c r="H92" s="438" t="str">
        <f ca="1">IF($E92="Penalties",FResults!$M$77,"")</f>
        <v/>
      </c>
      <c r="I92" s="101"/>
      <c r="J92" s="101"/>
      <c r="K92" s="322"/>
      <c r="L92" s="323"/>
      <c r="M92" s="324"/>
      <c r="N92" s="366"/>
      <c r="O92" s="366"/>
      <c r="P92" s="366"/>
      <c r="Q92" s="99"/>
      <c r="R92" s="376"/>
      <c r="S92" s="636" t="s">
        <v>535</v>
      </c>
      <c r="T92" s="637"/>
      <c r="U92" s="637"/>
      <c r="V92" s="637"/>
      <c r="W92" s="637"/>
      <c r="X92" s="637"/>
      <c r="Y92" s="637"/>
      <c r="Z92" s="637"/>
      <c r="AA92" s="637"/>
      <c r="AB92" s="637"/>
      <c r="AC92" s="637"/>
      <c r="AD92" s="637"/>
      <c r="AE92" s="637"/>
      <c r="AF92" s="638"/>
    </row>
    <row r="93" spans="1:34" ht="14.25" customHeight="1" x14ac:dyDescent="0.2">
      <c r="A93" s="422" t="s">
        <v>1208</v>
      </c>
      <c r="B93" s="427">
        <v>46203</v>
      </c>
      <c r="C93" s="326">
        <v>8.3333333333333329E-2</v>
      </c>
      <c r="D93" s="371" t="s">
        <v>1230</v>
      </c>
      <c r="E93" s="100" t="str">
        <f ca="1">IF(FGrpF!C49=12,FGrpF!B45,"Winner Group F")</f>
        <v>Netherlands</v>
      </c>
      <c r="F93" s="436">
        <f ca="1">FResults!$H$78</f>
        <v>1</v>
      </c>
      <c r="G93" s="372" t="s">
        <v>536</v>
      </c>
      <c r="H93" s="437">
        <f ca="1">FResults!$I$78</f>
        <v>4</v>
      </c>
      <c r="I93" s="101" t="str">
        <f ca="1">IF(FGrpC!C49=12,FGrpC!B46,"Second in Group C")</f>
        <v>Brazil</v>
      </c>
      <c r="J93" s="101" t="str">
        <f>Stadium5</f>
        <v>Estadio Monterrey</v>
      </c>
      <c r="K93" s="322"/>
      <c r="L93" s="323" t="str">
        <f ca="1">IF(F93&gt;H93,E93,IF(H93&gt;F93,I93,IF(F94&gt;H94,E93,IF(H94&gt;F94,I93,IF(F95&gt;H95,E93,I93)))))</f>
        <v>Brazil</v>
      </c>
      <c r="M93" s="324"/>
      <c r="N93" s="330">
        <f ca="1">VLOOKUP($D93,FLookup3,20,FALSE)</f>
        <v>0.3273049898</v>
      </c>
      <c r="O93" s="330">
        <f ca="1">VLOOKUP($D93,FLookup3,21,FALSE)</f>
        <v>0.23111002040000006</v>
      </c>
      <c r="P93" s="330">
        <f ca="1">VLOOKUP($D93,FLookup3,22,FALSE)</f>
        <v>0.44158498979999999</v>
      </c>
      <c r="Q93" s="99"/>
      <c r="R93" s="339" t="s">
        <v>325</v>
      </c>
      <c r="S93" s="377" t="s">
        <v>310</v>
      </c>
      <c r="T93" s="311" t="s">
        <v>311</v>
      </c>
      <c r="U93" s="311" t="s">
        <v>305</v>
      </c>
      <c r="V93" s="311" t="s">
        <v>15</v>
      </c>
      <c r="W93" s="311" t="s">
        <v>306</v>
      </c>
      <c r="X93" s="311" t="s">
        <v>307</v>
      </c>
      <c r="Y93" s="311" t="s">
        <v>16</v>
      </c>
      <c r="Z93" s="378" t="s">
        <v>308</v>
      </c>
      <c r="AA93" s="350" t="s">
        <v>566</v>
      </c>
      <c r="AC93" s="379" t="s">
        <v>310</v>
      </c>
      <c r="AD93" s="311" t="s">
        <v>1216</v>
      </c>
      <c r="AE93" s="311" t="s">
        <v>616</v>
      </c>
      <c r="AF93" s="380" t="s">
        <v>325</v>
      </c>
    </row>
    <row r="94" spans="1:34" ht="14.25" customHeight="1" x14ac:dyDescent="0.2">
      <c r="A94" s="422"/>
      <c r="B94" s="427" t="s">
        <v>110</v>
      </c>
      <c r="C94" s="326"/>
      <c r="D94" s="98" t="str">
        <f ca="1">IF(E94="AET",D93&amp;"E","")</f>
        <v/>
      </c>
      <c r="E94" s="373" t="str">
        <f ca="1">IF(AND(F93=H93,F93&lt;&gt;""),"AET","")</f>
        <v/>
      </c>
      <c r="F94" s="374" t="str">
        <f ca="1">IF($E94="AET",FResults!$J$78,"")</f>
        <v/>
      </c>
      <c r="G94" s="374" t="str">
        <f ca="1">IF($E94="","","-")</f>
        <v/>
      </c>
      <c r="H94" s="374" t="str">
        <f ca="1">IF($E94="AET",FResults!$K$78,"")</f>
        <v/>
      </c>
      <c r="I94" s="101"/>
      <c r="J94" s="101"/>
      <c r="K94" s="322"/>
      <c r="L94" s="323"/>
      <c r="M94" s="324"/>
      <c r="N94" s="366"/>
      <c r="O94" s="366"/>
      <c r="P94" s="366"/>
      <c r="Q94" s="99"/>
      <c r="R94" s="347">
        <v>1</v>
      </c>
      <c r="S94" s="381" t="str">
        <f t="shared" ref="S94:S105" ca="1" si="13">VLOOKUP($R94,Lookup19,3,FALSE)</f>
        <v>Belgium</v>
      </c>
      <c r="T94" s="382">
        <f t="shared" ref="T94:T105" ca="1" si="14">VLOOKUP($R94,Lookup19,4,FALSE)</f>
        <v>3</v>
      </c>
      <c r="U94" s="382">
        <f t="shared" ref="U94:U105" ca="1" si="15">VLOOKUP($R94,Lookup19,5,FALSE)</f>
        <v>1</v>
      </c>
      <c r="V94" s="382">
        <f t="shared" ref="V94:V105" ca="1" si="16">VLOOKUP($R94,Lookup19,6,FALSE)</f>
        <v>1</v>
      </c>
      <c r="W94" s="382">
        <f t="shared" ref="W94:W105" ca="1" si="17">VLOOKUP($R94,Lookup19,7,FALSE)</f>
        <v>1</v>
      </c>
      <c r="X94" s="382">
        <f t="shared" ref="X94:X105" ca="1" si="18">VLOOKUP($R94,Lookup19,8,FALSE)</f>
        <v>3</v>
      </c>
      <c r="Y94" s="382">
        <f t="shared" ref="Y94:Y105" ca="1" si="19">VLOOKUP($R94,Lookup19,9,FALSE)</f>
        <v>3</v>
      </c>
      <c r="Z94" s="383">
        <f t="shared" ref="Z94:Z105" ca="1" si="20">VLOOKUP($R94,Lookup19,10,FALSE)</f>
        <v>0</v>
      </c>
      <c r="AA94" s="384">
        <f t="shared" ref="AA94:AA105" ca="1" si="21">VLOOKUP($R94,Lookup19,11,FALSE)</f>
        <v>4</v>
      </c>
      <c r="AC94" s="385" t="str">
        <f ca="1">S94</f>
        <v>Belgium</v>
      </c>
      <c r="AD94" s="382" t="str">
        <f t="shared" ref="AD94:AD105" ca="1" si="22">VLOOKUP($AC94,Lookup11,4,FALSE)</f>
        <v>G</v>
      </c>
      <c r="AE94" s="382">
        <f t="shared" ref="AE94:AE105" ca="1" si="23">VLOOKUP($AC94,Lookup11,3,FALSE)</f>
        <v>2</v>
      </c>
      <c r="AF94" s="386">
        <f t="shared" ref="AF94:AF105" ca="1" si="24">VLOOKUP($AC94,Lookup11,2,FALSE)</f>
        <v>9</v>
      </c>
    </row>
    <row r="95" spans="1:34" ht="14.25" customHeight="1" x14ac:dyDescent="0.2">
      <c r="A95" s="422"/>
      <c r="B95" s="427" t="s">
        <v>110</v>
      </c>
      <c r="C95" s="326"/>
      <c r="D95" s="98" t="str">
        <f ca="1">IF(E95="Penalties",D93&amp;"P","")</f>
        <v/>
      </c>
      <c r="E95" s="375" t="str">
        <f ca="1">IF(AND(F94=H94,F94&lt;&gt;""),"Penalties","")</f>
        <v/>
      </c>
      <c r="F95" s="438" t="str">
        <f ca="1">IF($E95="Penalties",FResults!$L$78,"")</f>
        <v/>
      </c>
      <c r="G95" s="374" t="str">
        <f ca="1">IF($E95="","","-")</f>
        <v/>
      </c>
      <c r="H95" s="438" t="str">
        <f ca="1">IF($E95="Penalties",FResults!$M$78,"")</f>
        <v/>
      </c>
      <c r="I95" s="101"/>
      <c r="J95" s="101"/>
      <c r="K95" s="322"/>
      <c r="L95" s="323"/>
      <c r="M95" s="324"/>
      <c r="N95" s="366"/>
      <c r="O95" s="366"/>
      <c r="P95" s="366"/>
      <c r="Q95" s="99"/>
      <c r="R95" s="347">
        <v>2</v>
      </c>
      <c r="S95" s="381" t="str">
        <f t="shared" ca="1" si="13"/>
        <v>Sweden</v>
      </c>
      <c r="T95" s="382">
        <f t="shared" ca="1" si="14"/>
        <v>3</v>
      </c>
      <c r="U95" s="382">
        <f t="shared" ca="1" si="15"/>
        <v>1</v>
      </c>
      <c r="V95" s="382">
        <f t="shared" ca="1" si="16"/>
        <v>0</v>
      </c>
      <c r="W95" s="382">
        <f t="shared" ca="1" si="17"/>
        <v>2</v>
      </c>
      <c r="X95" s="382">
        <f t="shared" ca="1" si="18"/>
        <v>5</v>
      </c>
      <c r="Y95" s="382">
        <f t="shared" ca="1" si="19"/>
        <v>5</v>
      </c>
      <c r="Z95" s="383">
        <f t="shared" ca="1" si="20"/>
        <v>0</v>
      </c>
      <c r="AA95" s="384">
        <f t="shared" ca="1" si="21"/>
        <v>3</v>
      </c>
      <c r="AC95" s="385" t="str">
        <f t="shared" ref="AC95:AC105" ca="1" si="25">S95</f>
        <v>Sweden</v>
      </c>
      <c r="AD95" s="382" t="str">
        <f t="shared" ca="1" si="22"/>
        <v>F</v>
      </c>
      <c r="AE95" s="382">
        <f t="shared" ca="1" si="23"/>
        <v>0</v>
      </c>
      <c r="AF95" s="386">
        <f t="shared" ca="1" si="24"/>
        <v>31</v>
      </c>
    </row>
    <row r="96" spans="1:34" ht="14.25" customHeight="1" x14ac:dyDescent="0.2">
      <c r="A96" s="422" t="s">
        <v>1209</v>
      </c>
      <c r="B96" s="427">
        <v>46203</v>
      </c>
      <c r="C96" s="326">
        <v>0.75</v>
      </c>
      <c r="D96" s="371" t="s">
        <v>1233</v>
      </c>
      <c r="E96" s="100" t="str">
        <f ca="1">IF(FGrpE!C49=12,FGrpE!B46,"Second in Group E")</f>
        <v>Germany</v>
      </c>
      <c r="F96" s="436">
        <f ca="1">FResults!$H$79</f>
        <v>0</v>
      </c>
      <c r="G96" s="372" t="s">
        <v>536</v>
      </c>
      <c r="H96" s="437">
        <f ca="1">FResults!$I$79</f>
        <v>0</v>
      </c>
      <c r="I96" s="101" t="str">
        <f ca="1">IF(FGrpI!C49=12,FGrpI!B46,"Second in Group I")</f>
        <v>France</v>
      </c>
      <c r="J96" s="101" t="str">
        <f>Stadium8</f>
        <v>Dallas Stadium</v>
      </c>
      <c r="K96" s="322"/>
      <c r="L96" s="323" t="str">
        <f ca="1">IF(F96&gt;H96,E96,IF(H96&gt;F96,I96,IF(F97&gt;H97,E96,IF(H97&gt;F97,I96,IF(F98&gt;H98,E96,I96)))))</f>
        <v>France</v>
      </c>
      <c r="M96" s="324"/>
      <c r="N96" s="330">
        <f ca="1">VLOOKUP($D96,FLookup3,20,FALSE)</f>
        <v>0.31659342244999999</v>
      </c>
      <c r="O96" s="330">
        <f ca="1">VLOOKUP($D96,FLookup3,21,FALSE)</f>
        <v>0.22967315509999997</v>
      </c>
      <c r="P96" s="330">
        <f ca="1">VLOOKUP($D96,FLookup3,22,FALSE)</f>
        <v>0.45373342245000003</v>
      </c>
      <c r="Q96" s="99"/>
      <c r="R96" s="347">
        <v>3</v>
      </c>
      <c r="S96" s="381" t="str">
        <f t="shared" ca="1" si="13"/>
        <v>Scotland</v>
      </c>
      <c r="T96" s="382">
        <f t="shared" ca="1" si="14"/>
        <v>3</v>
      </c>
      <c r="U96" s="382">
        <f t="shared" ca="1" si="15"/>
        <v>1</v>
      </c>
      <c r="V96" s="382">
        <f t="shared" ca="1" si="16"/>
        <v>0</v>
      </c>
      <c r="W96" s="382">
        <f t="shared" ca="1" si="17"/>
        <v>2</v>
      </c>
      <c r="X96" s="382">
        <f t="shared" ca="1" si="18"/>
        <v>2</v>
      </c>
      <c r="Y96" s="382">
        <f t="shared" ca="1" si="19"/>
        <v>3</v>
      </c>
      <c r="Z96" s="383">
        <f t="shared" ca="1" si="20"/>
        <v>-1</v>
      </c>
      <c r="AA96" s="384">
        <f t="shared" ca="1" si="21"/>
        <v>3</v>
      </c>
      <c r="AC96" s="385" t="str">
        <f t="shared" ca="1" si="25"/>
        <v>Scotland</v>
      </c>
      <c r="AD96" s="382" t="str">
        <f t="shared" ca="1" si="22"/>
        <v>C</v>
      </c>
      <c r="AE96" s="382">
        <f t="shared" ca="1" si="23"/>
        <v>3</v>
      </c>
      <c r="AF96" s="386">
        <f t="shared" ca="1" si="24"/>
        <v>34</v>
      </c>
    </row>
    <row r="97" spans="1:34" ht="14.25" customHeight="1" x14ac:dyDescent="0.2">
      <c r="A97" s="422"/>
      <c r="B97" s="427" t="s">
        <v>110</v>
      </c>
      <c r="C97" s="326"/>
      <c r="D97" s="98" t="str">
        <f ca="1">IF(E97="AET",D96&amp;"E","")</f>
        <v>78E</v>
      </c>
      <c r="E97" s="373" t="str">
        <f ca="1">IF(AND(F96=H96,F96&lt;&gt;""),"AET","")</f>
        <v>AET</v>
      </c>
      <c r="F97" s="374">
        <f ca="1">IF($E97="AET",FResults!$J$79,"")</f>
        <v>0</v>
      </c>
      <c r="G97" s="374" t="str">
        <f ca="1">IF($E97="","","-")</f>
        <v>-</v>
      </c>
      <c r="H97" s="374">
        <f ca="1">IF($E97="AET",FResults!$K$79,"")</f>
        <v>1</v>
      </c>
      <c r="I97" s="101"/>
      <c r="J97" s="101"/>
      <c r="K97" s="322"/>
      <c r="L97" s="323"/>
      <c r="M97" s="324"/>
      <c r="N97" s="366"/>
      <c r="O97" s="366"/>
      <c r="P97" s="366"/>
      <c r="Q97" s="99"/>
      <c r="R97" s="347">
        <v>4</v>
      </c>
      <c r="S97" s="381" t="str">
        <f t="shared" ca="1" si="13"/>
        <v>Congo DR</v>
      </c>
      <c r="T97" s="382">
        <f t="shared" ca="1" si="14"/>
        <v>3</v>
      </c>
      <c r="U97" s="382">
        <f t="shared" ca="1" si="15"/>
        <v>1</v>
      </c>
      <c r="V97" s="382">
        <f t="shared" ca="1" si="16"/>
        <v>0</v>
      </c>
      <c r="W97" s="382">
        <f t="shared" ca="1" si="17"/>
        <v>2</v>
      </c>
      <c r="X97" s="382">
        <f t="shared" ca="1" si="18"/>
        <v>3</v>
      </c>
      <c r="Y97" s="382">
        <f t="shared" ca="1" si="19"/>
        <v>5</v>
      </c>
      <c r="Z97" s="383">
        <f t="shared" ca="1" si="20"/>
        <v>-2</v>
      </c>
      <c r="AA97" s="384">
        <f t="shared" ca="1" si="21"/>
        <v>3</v>
      </c>
      <c r="AC97" s="385" t="str">
        <f t="shared" ca="1" si="25"/>
        <v>Congo DR</v>
      </c>
      <c r="AD97" s="382" t="str">
        <f t="shared" ca="1" si="22"/>
        <v>K</v>
      </c>
      <c r="AE97" s="382">
        <f t="shared" ca="1" si="23"/>
        <v>0</v>
      </c>
      <c r="AF97" s="386">
        <f t="shared" ca="1" si="24"/>
        <v>36</v>
      </c>
    </row>
    <row r="98" spans="1:34" ht="14.25" customHeight="1" x14ac:dyDescent="0.2">
      <c r="A98" s="422"/>
      <c r="B98" s="427" t="s">
        <v>110</v>
      </c>
      <c r="C98" s="326"/>
      <c r="D98" s="98" t="str">
        <f ca="1">IF(E98="Penalties",D96&amp;"P","")</f>
        <v/>
      </c>
      <c r="E98" s="375" t="str">
        <f ca="1">IF(AND(F97=H97,F97&lt;&gt;""),"Penalties","")</f>
        <v/>
      </c>
      <c r="F98" s="438" t="str">
        <f ca="1">IF($E98="Penalties",FResults!$L$79,"")</f>
        <v/>
      </c>
      <c r="G98" s="374" t="str">
        <f ca="1">IF($E98="","","-")</f>
        <v/>
      </c>
      <c r="H98" s="438" t="str">
        <f ca="1">IF($E98="Penalties",FResults!$M$79,"")</f>
        <v/>
      </c>
      <c r="I98" s="101"/>
      <c r="J98" s="101"/>
      <c r="K98" s="322"/>
      <c r="L98" s="323"/>
      <c r="M98" s="324"/>
      <c r="N98" s="366"/>
      <c r="O98" s="366"/>
      <c r="P98" s="366"/>
      <c r="Q98" s="99"/>
      <c r="R98" s="347">
        <v>5</v>
      </c>
      <c r="S98" s="381" t="str">
        <f t="shared" ca="1" si="13"/>
        <v>South Africa</v>
      </c>
      <c r="T98" s="382">
        <f t="shared" ca="1" si="14"/>
        <v>3</v>
      </c>
      <c r="U98" s="382">
        <f t="shared" ca="1" si="15"/>
        <v>1</v>
      </c>
      <c r="V98" s="382">
        <f t="shared" ca="1" si="16"/>
        <v>0</v>
      </c>
      <c r="W98" s="382">
        <f t="shared" ca="1" si="17"/>
        <v>2</v>
      </c>
      <c r="X98" s="382">
        <f t="shared" ca="1" si="18"/>
        <v>3</v>
      </c>
      <c r="Y98" s="382">
        <f t="shared" ca="1" si="19"/>
        <v>5</v>
      </c>
      <c r="Z98" s="383">
        <f t="shared" ca="1" si="20"/>
        <v>-2</v>
      </c>
      <c r="AA98" s="384">
        <f t="shared" ca="1" si="21"/>
        <v>3</v>
      </c>
      <c r="AC98" s="385" t="str">
        <f t="shared" ca="1" si="25"/>
        <v>South Africa</v>
      </c>
      <c r="AD98" s="382" t="str">
        <f t="shared" ca="1" si="22"/>
        <v>A</v>
      </c>
      <c r="AE98" s="382">
        <f t="shared" ca="1" si="23"/>
        <v>10</v>
      </c>
      <c r="AF98" s="386">
        <f t="shared" ca="1" si="24"/>
        <v>40</v>
      </c>
    </row>
    <row r="99" spans="1:34" ht="14.25" customHeight="1" x14ac:dyDescent="0.2">
      <c r="A99" s="422" t="str">
        <f>"1I3"&amp;ThirdPlace!G24</f>
        <v>1I3F</v>
      </c>
      <c r="B99" s="427">
        <v>46203</v>
      </c>
      <c r="C99" s="326">
        <v>0.91666666666666663</v>
      </c>
      <c r="D99" s="371" t="s">
        <v>1234</v>
      </c>
      <c r="E99" s="100" t="str">
        <f ca="1">IF(FGrpI!C49=12,FGrpI!B45,"Winner Group I")</f>
        <v>Senegal</v>
      </c>
      <c r="F99" s="436">
        <f ca="1">FResults!$H$80</f>
        <v>1</v>
      </c>
      <c r="G99" s="372" t="s">
        <v>536</v>
      </c>
      <c r="H99" s="437">
        <f ca="1">FResults!$I$80</f>
        <v>2</v>
      </c>
      <c r="I99" s="101" t="str">
        <f ca="1">IF(FThirdPlace!D15=36,FThirdPlace!H24,"Third Place CDFGH")</f>
        <v>Sweden</v>
      </c>
      <c r="J99" s="101" t="str">
        <f>Stadium13</f>
        <v>MetLife Stadium</v>
      </c>
      <c r="K99" s="322"/>
      <c r="L99" s="323" t="str">
        <f ca="1">IF(F99&gt;H99,E99,IF(H99&gt;F99,I99,IF(F100&gt;H100,E99,IF(H100&gt;F100,I99,IF(F101&gt;H101,E99,I99)))))</f>
        <v>Sweden</v>
      </c>
      <c r="M99" s="324"/>
      <c r="N99" s="330">
        <f ca="1">VLOOKUP($D99,FLookup3,20,FALSE)</f>
        <v>0.50363360204999996</v>
      </c>
      <c r="O99" s="330">
        <f ca="1">VLOOKUP($D99,FLookup3,21,FALSE)</f>
        <v>0.22131279589999997</v>
      </c>
      <c r="P99" s="330">
        <f ca="1">VLOOKUP($D99,FLookup3,22,FALSE)</f>
        <v>0.27505360205000007</v>
      </c>
      <c r="Q99" s="99"/>
      <c r="R99" s="347">
        <v>6</v>
      </c>
      <c r="S99" s="381" t="str">
        <f t="shared" ca="1" si="13"/>
        <v>Paraguay</v>
      </c>
      <c r="T99" s="382">
        <f t="shared" ca="1" si="14"/>
        <v>3</v>
      </c>
      <c r="U99" s="382">
        <f t="shared" ca="1" si="15"/>
        <v>1</v>
      </c>
      <c r="V99" s="382">
        <f t="shared" ca="1" si="16"/>
        <v>0</v>
      </c>
      <c r="W99" s="382">
        <f t="shared" ca="1" si="17"/>
        <v>2</v>
      </c>
      <c r="X99" s="382">
        <f t="shared" ca="1" si="18"/>
        <v>4</v>
      </c>
      <c r="Y99" s="382">
        <f t="shared" ca="1" si="19"/>
        <v>7</v>
      </c>
      <c r="Z99" s="383">
        <f t="shared" ca="1" si="20"/>
        <v>-3</v>
      </c>
      <c r="AA99" s="384">
        <f t="shared" ca="1" si="21"/>
        <v>3</v>
      </c>
      <c r="AC99" s="385" t="str">
        <f t="shared" ca="1" si="25"/>
        <v>Paraguay</v>
      </c>
      <c r="AD99" s="382" t="str">
        <f t="shared" ca="1" si="22"/>
        <v>D</v>
      </c>
      <c r="AE99" s="382">
        <f t="shared" ca="1" si="23"/>
        <v>5</v>
      </c>
      <c r="AF99" s="386">
        <f t="shared" ca="1" si="24"/>
        <v>33</v>
      </c>
    </row>
    <row r="100" spans="1:34" ht="14.25" customHeight="1" x14ac:dyDescent="0.2">
      <c r="A100" s="422"/>
      <c r="B100" s="427" t="s">
        <v>110</v>
      </c>
      <c r="C100" s="326"/>
      <c r="D100" s="98" t="str">
        <f ca="1">IF(E100="AET",D99&amp;"E","")</f>
        <v/>
      </c>
      <c r="E100" s="373" t="str">
        <f ca="1">IF(AND(F99=H99,F99&lt;&gt;""),"AET","")</f>
        <v/>
      </c>
      <c r="F100" s="374" t="str">
        <f ca="1">IF($E100="AET",FResults!$J$80,"")</f>
        <v/>
      </c>
      <c r="G100" s="374" t="str">
        <f ca="1">IF($E100="","","-")</f>
        <v/>
      </c>
      <c r="H100" s="374" t="str">
        <f ca="1">IF($E100="AET",FResults!$K$80,"")</f>
        <v/>
      </c>
      <c r="I100" s="101"/>
      <c r="J100" s="101"/>
      <c r="K100" s="322"/>
      <c r="L100" s="323"/>
      <c r="M100" s="324"/>
      <c r="N100" s="366"/>
      <c r="O100" s="366"/>
      <c r="P100" s="366"/>
      <c r="Q100" s="99"/>
      <c r="R100" s="347">
        <v>7</v>
      </c>
      <c r="S100" s="381" t="str">
        <f t="shared" ca="1" si="13"/>
        <v>Panama</v>
      </c>
      <c r="T100" s="382">
        <f t="shared" ca="1" si="14"/>
        <v>3</v>
      </c>
      <c r="U100" s="382">
        <f t="shared" ca="1" si="15"/>
        <v>1</v>
      </c>
      <c r="V100" s="382">
        <f t="shared" ca="1" si="16"/>
        <v>0</v>
      </c>
      <c r="W100" s="382">
        <f t="shared" ca="1" si="17"/>
        <v>2</v>
      </c>
      <c r="X100" s="382">
        <f t="shared" ca="1" si="18"/>
        <v>3</v>
      </c>
      <c r="Y100" s="382">
        <f t="shared" ca="1" si="19"/>
        <v>6</v>
      </c>
      <c r="Z100" s="383">
        <f t="shared" ca="1" si="20"/>
        <v>-3</v>
      </c>
      <c r="AA100" s="384">
        <f t="shared" ca="1" si="21"/>
        <v>3</v>
      </c>
      <c r="AC100" s="385" t="str">
        <f t="shared" ca="1" si="25"/>
        <v>Panama</v>
      </c>
      <c r="AD100" s="382" t="str">
        <f t="shared" ca="1" si="22"/>
        <v>L</v>
      </c>
      <c r="AE100" s="382">
        <f t="shared" ca="1" si="23"/>
        <v>0</v>
      </c>
      <c r="AF100" s="386">
        <f t="shared" ca="1" si="24"/>
        <v>30</v>
      </c>
    </row>
    <row r="101" spans="1:34" ht="14.25" customHeight="1" x14ac:dyDescent="0.2">
      <c r="A101" s="422"/>
      <c r="B101" s="427" t="s">
        <v>110</v>
      </c>
      <c r="C101" s="326"/>
      <c r="D101" s="98" t="str">
        <f ca="1">IF(E101="Penalties",D99&amp;"P","")</f>
        <v/>
      </c>
      <c r="E101" s="375" t="str">
        <f ca="1">IF(AND(F100=H100,F100&lt;&gt;""),"Penalties","")</f>
        <v/>
      </c>
      <c r="F101" s="438" t="str">
        <f ca="1">IF($E101="Penalties",FResults!$L$80,"")</f>
        <v/>
      </c>
      <c r="G101" s="374" t="str">
        <f ca="1">IF($E101="","","-")</f>
        <v/>
      </c>
      <c r="H101" s="438" t="str">
        <f ca="1">IF($E101="Penalties",FResults!$M$80,"")</f>
        <v/>
      </c>
      <c r="I101" s="101"/>
      <c r="J101" s="101"/>
      <c r="K101" s="322"/>
      <c r="L101" s="323"/>
      <c r="M101" s="324"/>
      <c r="N101" s="366"/>
      <c r="O101" s="366"/>
      <c r="P101" s="366"/>
      <c r="Q101" s="99"/>
      <c r="R101" s="347">
        <v>8</v>
      </c>
      <c r="S101" s="381" t="str">
        <f t="shared" ca="1" si="13"/>
        <v>Ecuador</v>
      </c>
      <c r="T101" s="382">
        <f t="shared" ca="1" si="14"/>
        <v>3</v>
      </c>
      <c r="U101" s="382">
        <f t="shared" ca="1" si="15"/>
        <v>1</v>
      </c>
      <c r="V101" s="382">
        <f t="shared" ca="1" si="16"/>
        <v>0</v>
      </c>
      <c r="W101" s="382">
        <f t="shared" ca="1" si="17"/>
        <v>2</v>
      </c>
      <c r="X101" s="382">
        <f t="shared" ca="1" si="18"/>
        <v>1</v>
      </c>
      <c r="Y101" s="382">
        <f t="shared" ca="1" si="19"/>
        <v>4</v>
      </c>
      <c r="Z101" s="383">
        <f t="shared" ca="1" si="20"/>
        <v>-3</v>
      </c>
      <c r="AA101" s="384">
        <f t="shared" ca="1" si="21"/>
        <v>3</v>
      </c>
      <c r="AC101" s="385" t="str">
        <f t="shared" ca="1" si="25"/>
        <v>Ecuador</v>
      </c>
      <c r="AD101" s="382" t="str">
        <f t="shared" ca="1" si="22"/>
        <v>E</v>
      </c>
      <c r="AE101" s="382">
        <f t="shared" ca="1" si="23"/>
        <v>1</v>
      </c>
      <c r="AF101" s="386">
        <f t="shared" ca="1" si="24"/>
        <v>21</v>
      </c>
    </row>
    <row r="102" spans="1:34" ht="14.25" customHeight="1" x14ac:dyDescent="0.2">
      <c r="A102" s="422" t="str">
        <f>"1A3"&amp;ThirdPlace!G19</f>
        <v>1A3H</v>
      </c>
      <c r="B102" s="427">
        <v>46204</v>
      </c>
      <c r="C102" s="326">
        <v>8.3333333333333329E-2</v>
      </c>
      <c r="D102" s="371" t="s">
        <v>1235</v>
      </c>
      <c r="E102" s="100" t="str">
        <f ca="1">IF(FGrpA!C49=12,FGrpA!B45,"Winner Group A")</f>
        <v>Korea Republic</v>
      </c>
      <c r="F102" s="436">
        <f ca="1">FResults!$H$81</f>
        <v>1</v>
      </c>
      <c r="G102" s="372" t="s">
        <v>536</v>
      </c>
      <c r="H102" s="437">
        <f ca="1">FResults!$I$81</f>
        <v>3</v>
      </c>
      <c r="I102" s="101" t="str">
        <f ca="1">IF(FThirdPlace!D15=36,FThirdPlace!H19,"Third Place CEFHI")</f>
        <v>Scotland</v>
      </c>
      <c r="J102" s="101" t="str">
        <f>Stadium3</f>
        <v>Mexico City Stadium</v>
      </c>
      <c r="K102" s="322"/>
      <c r="L102" s="323" t="str">
        <f ca="1">IF(F102&gt;H102,E102,IF(H102&gt;F102,I102,IF(F103&gt;H103,E102,IF(H103&gt;F103,I102,IF(F104&gt;H104,E102,I102)))))</f>
        <v>Scotland</v>
      </c>
      <c r="M102" s="324"/>
      <c r="N102" s="330">
        <f ca="1">VLOOKUP($D102,FLookup3,20,FALSE)</f>
        <v>0.4846705898</v>
      </c>
      <c r="O102" s="330">
        <f ca="1">VLOOKUP($D102,FLookup3,21,FALSE)</f>
        <v>0.22493882040000002</v>
      </c>
      <c r="P102" s="330">
        <f ca="1">VLOOKUP($D102,FLookup3,22,FALSE)</f>
        <v>0.29039058979999999</v>
      </c>
      <c r="Q102" s="99"/>
      <c r="R102" s="347">
        <v>9</v>
      </c>
      <c r="S102" s="387" t="str">
        <f t="shared" ca="1" si="13"/>
        <v>Algeria</v>
      </c>
      <c r="T102" s="388">
        <f t="shared" ca="1" si="14"/>
        <v>3</v>
      </c>
      <c r="U102" s="388">
        <f t="shared" ca="1" si="15"/>
        <v>1</v>
      </c>
      <c r="V102" s="388">
        <f t="shared" ca="1" si="16"/>
        <v>0</v>
      </c>
      <c r="W102" s="388">
        <f t="shared" ca="1" si="17"/>
        <v>2</v>
      </c>
      <c r="X102" s="388">
        <f t="shared" ca="1" si="18"/>
        <v>4</v>
      </c>
      <c r="Y102" s="388">
        <f t="shared" ca="1" si="19"/>
        <v>8</v>
      </c>
      <c r="Z102" s="389">
        <f t="shared" ca="1" si="20"/>
        <v>-4</v>
      </c>
      <c r="AA102" s="390">
        <f t="shared" ca="1" si="21"/>
        <v>3</v>
      </c>
      <c r="AC102" s="391" t="str">
        <f t="shared" ca="1" si="25"/>
        <v>Algeria</v>
      </c>
      <c r="AD102" s="388" t="str">
        <f t="shared" ca="1" si="22"/>
        <v>J</v>
      </c>
      <c r="AE102" s="388">
        <f t="shared" ca="1" si="23"/>
        <v>0</v>
      </c>
      <c r="AF102" s="392">
        <f t="shared" ca="1" si="24"/>
        <v>25</v>
      </c>
    </row>
    <row r="103" spans="1:34" ht="14.25" customHeight="1" x14ac:dyDescent="0.2">
      <c r="A103" s="422"/>
      <c r="B103" s="427"/>
      <c r="C103" s="326"/>
      <c r="D103" s="98" t="str">
        <f ca="1">IF(E103="AET",D102&amp;"E","")</f>
        <v/>
      </c>
      <c r="E103" s="373" t="str">
        <f ca="1">IF(AND(F102=H102,F102&lt;&gt;""),"AET","")</f>
        <v/>
      </c>
      <c r="F103" s="374" t="str">
        <f ca="1">IF($E103="AET",FResults!$J$81,"")</f>
        <v/>
      </c>
      <c r="G103" s="374" t="str">
        <f ca="1">IF($E103="","","-")</f>
        <v/>
      </c>
      <c r="H103" s="374" t="str">
        <f ca="1">IF($E103="AET",FResults!$K$81,"")</f>
        <v/>
      </c>
      <c r="I103" s="101"/>
      <c r="J103" s="101"/>
      <c r="K103" s="322"/>
      <c r="L103" s="323"/>
      <c r="M103" s="324"/>
      <c r="N103" s="366"/>
      <c r="O103" s="366"/>
      <c r="P103" s="366"/>
      <c r="Q103" s="99"/>
      <c r="R103" s="347">
        <v>10</v>
      </c>
      <c r="S103" s="387" t="str">
        <f t="shared" ca="1" si="13"/>
        <v>Saudi Arabia</v>
      </c>
      <c r="T103" s="388">
        <f t="shared" ca="1" si="14"/>
        <v>3</v>
      </c>
      <c r="U103" s="388">
        <f t="shared" ca="1" si="15"/>
        <v>0</v>
      </c>
      <c r="V103" s="388">
        <f t="shared" ca="1" si="16"/>
        <v>2</v>
      </c>
      <c r="W103" s="388">
        <f t="shared" ca="1" si="17"/>
        <v>1</v>
      </c>
      <c r="X103" s="388">
        <f t="shared" ca="1" si="18"/>
        <v>2</v>
      </c>
      <c r="Y103" s="388">
        <f t="shared" ca="1" si="19"/>
        <v>3</v>
      </c>
      <c r="Z103" s="389">
        <f t="shared" ca="1" si="20"/>
        <v>-1</v>
      </c>
      <c r="AA103" s="390">
        <f t="shared" ca="1" si="21"/>
        <v>2</v>
      </c>
      <c r="AB103" s="97" t="s">
        <v>331</v>
      </c>
      <c r="AC103" s="391" t="str">
        <f t="shared" ca="1" si="25"/>
        <v>Saudi Arabia</v>
      </c>
      <c r="AD103" s="388" t="str">
        <f t="shared" ca="1" si="22"/>
        <v>H</v>
      </c>
      <c r="AE103" s="388">
        <f t="shared" ca="1" si="23"/>
        <v>1</v>
      </c>
      <c r="AF103" s="392">
        <f t="shared" ca="1" si="24"/>
        <v>41</v>
      </c>
    </row>
    <row r="104" spans="1:34" ht="14.25" customHeight="1" x14ac:dyDescent="0.2">
      <c r="A104" s="422"/>
      <c r="B104" s="427"/>
      <c r="C104" s="326"/>
      <c r="D104" s="98" t="str">
        <f ca="1">IF(E104="Penalties",D102&amp;"P","")</f>
        <v/>
      </c>
      <c r="E104" s="375" t="str">
        <f ca="1">IF(AND(F103=H103,F103&lt;&gt;""),"Penalties","")</f>
        <v/>
      </c>
      <c r="F104" s="438" t="str">
        <f ca="1">IF($E104="Penalties",FResults!$L$81,"")</f>
        <v/>
      </c>
      <c r="G104" s="374" t="str">
        <f ca="1">IF($E104="","","-")</f>
        <v/>
      </c>
      <c r="H104" s="438" t="str">
        <f ca="1">IF($E104="Penalties",FResults!$M$81,"")</f>
        <v/>
      </c>
      <c r="I104" s="101"/>
      <c r="J104" s="101"/>
      <c r="K104" s="322"/>
      <c r="L104" s="323"/>
      <c r="M104" s="324"/>
      <c r="N104" s="366"/>
      <c r="O104" s="366"/>
      <c r="P104" s="366"/>
      <c r="Q104" s="99"/>
      <c r="R104" s="347">
        <v>11</v>
      </c>
      <c r="S104" s="387" t="str">
        <f t="shared" ca="1" si="13"/>
        <v>Qatar</v>
      </c>
      <c r="T104" s="388">
        <f t="shared" ca="1" si="14"/>
        <v>3</v>
      </c>
      <c r="U104" s="388">
        <f t="shared" ca="1" si="15"/>
        <v>0</v>
      </c>
      <c r="V104" s="388">
        <f t="shared" ca="1" si="16"/>
        <v>2</v>
      </c>
      <c r="W104" s="388">
        <f t="shared" ca="1" si="17"/>
        <v>1</v>
      </c>
      <c r="X104" s="388">
        <f t="shared" ca="1" si="18"/>
        <v>2</v>
      </c>
      <c r="Y104" s="388">
        <f t="shared" ca="1" si="19"/>
        <v>3</v>
      </c>
      <c r="Z104" s="389">
        <f t="shared" ca="1" si="20"/>
        <v>-1</v>
      </c>
      <c r="AA104" s="390">
        <f t="shared" ca="1" si="21"/>
        <v>2</v>
      </c>
      <c r="AC104" s="391" t="str">
        <f t="shared" ca="1" si="25"/>
        <v>Qatar</v>
      </c>
      <c r="AD104" s="388" t="str">
        <f t="shared" ca="1" si="22"/>
        <v>B</v>
      </c>
      <c r="AE104" s="388">
        <f t="shared" ca="1" si="23"/>
        <v>2</v>
      </c>
      <c r="AF104" s="392">
        <f t="shared" ca="1" si="24"/>
        <v>38</v>
      </c>
    </row>
    <row r="105" spans="1:34" ht="14.25" customHeight="1" x14ac:dyDescent="0.2">
      <c r="A105" s="422" t="str">
        <f>"1L3"&amp;ThirdPlace!G26</f>
        <v>1L3I</v>
      </c>
      <c r="B105" s="427">
        <v>46204</v>
      </c>
      <c r="C105" s="326">
        <v>0.70833333333333337</v>
      </c>
      <c r="D105" s="371" t="s">
        <v>1236</v>
      </c>
      <c r="E105" s="100" t="str">
        <f ca="1">IF(FGrpL!C49=12,FGrpL!B45,"Winner Group L")</f>
        <v>England</v>
      </c>
      <c r="F105" s="436">
        <f ca="1">FResults!$H$82</f>
        <v>2</v>
      </c>
      <c r="G105" s="372" t="s">
        <v>536</v>
      </c>
      <c r="H105" s="437">
        <f ca="1">FResults!$I$82</f>
        <v>1</v>
      </c>
      <c r="I105" s="101" t="str">
        <f ca="1">IF(FThirdPlace!D15=36,FThirdPlace!H26,"Third Place EHIJK")</f>
        <v>Congo DR</v>
      </c>
      <c r="J105" s="101" t="str">
        <f>Stadium6</f>
        <v>Atlanta Stadium</v>
      </c>
      <c r="K105" s="322"/>
      <c r="L105" s="323" t="str">
        <f ca="1">IF(F105&gt;H105,E105,IF(H105&gt;F105,I105,IF(F106&gt;H106,E105,IF(H106&gt;F106,I105,IF(F107&gt;H107,E105,I105)))))</f>
        <v>England</v>
      </c>
      <c r="M105" s="324"/>
      <c r="N105" s="330">
        <f ca="1">VLOOKUP($D105,FLookup3,20,FALSE)</f>
        <v>0.83501250000000005</v>
      </c>
      <c r="O105" s="330">
        <f ca="1">VLOOKUP($D105,FLookup3,21,FALSE)</f>
        <v>8.9975000000000027E-2</v>
      </c>
      <c r="P105" s="330">
        <f ca="1">VLOOKUP($D105,FLookup3,22,FALSE)</f>
        <v>7.5012499999999954E-2</v>
      </c>
      <c r="Q105" s="99"/>
      <c r="R105" s="347">
        <v>12</v>
      </c>
      <c r="S105" s="393" t="str">
        <f t="shared" ca="1" si="13"/>
        <v>Iraq</v>
      </c>
      <c r="T105" s="394">
        <f t="shared" ca="1" si="14"/>
        <v>3</v>
      </c>
      <c r="U105" s="394">
        <f t="shared" ca="1" si="15"/>
        <v>0</v>
      </c>
      <c r="V105" s="394">
        <f t="shared" ca="1" si="16"/>
        <v>1</v>
      </c>
      <c r="W105" s="394">
        <f t="shared" ca="1" si="17"/>
        <v>2</v>
      </c>
      <c r="X105" s="394">
        <f t="shared" ca="1" si="18"/>
        <v>1</v>
      </c>
      <c r="Y105" s="394">
        <f t="shared" ca="1" si="19"/>
        <v>5</v>
      </c>
      <c r="Z105" s="395">
        <f t="shared" ca="1" si="20"/>
        <v>-4</v>
      </c>
      <c r="AA105" s="396">
        <f t="shared" ca="1" si="21"/>
        <v>1</v>
      </c>
      <c r="AC105" s="397" t="str">
        <f t="shared" ca="1" si="25"/>
        <v>Iraq</v>
      </c>
      <c r="AD105" s="398" t="str">
        <f t="shared" ca="1" si="22"/>
        <v>I</v>
      </c>
      <c r="AE105" s="398">
        <f t="shared" ca="1" si="23"/>
        <v>0</v>
      </c>
      <c r="AF105" s="399">
        <f t="shared" ca="1" si="24"/>
        <v>39</v>
      </c>
    </row>
    <row r="106" spans="1:34" ht="14.25" customHeight="1" x14ac:dyDescent="0.25">
      <c r="A106" s="422"/>
      <c r="B106" s="428"/>
      <c r="D106" s="98" t="str">
        <f ca="1">IF(E106="AET",D105&amp;"E","")</f>
        <v/>
      </c>
      <c r="E106" s="373" t="str">
        <f ca="1">IF(AND(F105=H105,F105&lt;&gt;""),"AET","")</f>
        <v/>
      </c>
      <c r="F106" s="374" t="str">
        <f ca="1">IF($E$106="AET",FResults!$J$82,"")</f>
        <v/>
      </c>
      <c r="G106" s="374" t="str">
        <f ca="1">IF($E106="","","-")</f>
        <v/>
      </c>
      <c r="H106" s="374" t="str">
        <f ca="1">IF($E106="AET",FResults!$K$82,"")</f>
        <v/>
      </c>
      <c r="K106" s="322"/>
      <c r="L106" s="323"/>
      <c r="M106" s="324"/>
      <c r="N106" s="366"/>
      <c r="O106" s="366"/>
      <c r="P106" s="366"/>
      <c r="Q106" s="99"/>
      <c r="R106" s="650"/>
      <c r="S106" s="651"/>
      <c r="T106" s="651"/>
      <c r="U106" s="651"/>
      <c r="V106" s="651"/>
      <c r="W106" s="651"/>
      <c r="X106" s="651"/>
      <c r="Y106" s="651"/>
      <c r="Z106" s="651"/>
      <c r="AA106" s="651"/>
      <c r="AB106" s="651"/>
      <c r="AC106" s="651"/>
      <c r="AD106" s="651"/>
      <c r="AE106" s="651"/>
      <c r="AF106" s="651"/>
      <c r="AG106" s="651"/>
      <c r="AH106" s="651"/>
    </row>
    <row r="107" spans="1:34" ht="14.25" customHeight="1" x14ac:dyDescent="0.2">
      <c r="A107" s="422"/>
      <c r="B107" s="428"/>
      <c r="D107" s="98" t="str">
        <f ca="1">IF(E107="Penalties",D105&amp;"P","")</f>
        <v/>
      </c>
      <c r="E107" s="375" t="str">
        <f ca="1">IF(AND(F106=H106,F106&lt;&gt;""),"Penalties","")</f>
        <v/>
      </c>
      <c r="F107" s="438" t="str">
        <f ca="1">IF($E107="Penalties",FResults!$L$82,"")</f>
        <v/>
      </c>
      <c r="G107" s="374" t="str">
        <f ca="1">IF($E107="","","-")</f>
        <v/>
      </c>
      <c r="H107" s="438" t="str">
        <f ca="1">IF($E107="Penalties",FResults!$M$82,"")</f>
        <v/>
      </c>
      <c r="K107" s="322"/>
      <c r="L107" s="323"/>
      <c r="M107" s="324"/>
      <c r="N107" s="366"/>
      <c r="O107" s="366"/>
      <c r="P107" s="366"/>
      <c r="Q107" s="99"/>
      <c r="R107" s="655" t="s">
        <v>647</v>
      </c>
      <c r="S107" s="656"/>
      <c r="T107" s="656"/>
      <c r="U107" s="656"/>
      <c r="V107" s="656"/>
      <c r="W107" s="656"/>
      <c r="X107" s="656"/>
      <c r="Y107" s="656"/>
      <c r="Z107" s="656"/>
      <c r="AA107" s="656"/>
      <c r="AB107" s="656"/>
      <c r="AC107" s="656"/>
      <c r="AD107" s="656"/>
      <c r="AE107" s="656"/>
      <c r="AF107" s="656"/>
      <c r="AG107" s="656"/>
      <c r="AH107" s="657"/>
    </row>
    <row r="108" spans="1:34" ht="14.25" customHeight="1" x14ac:dyDescent="0.2">
      <c r="A108" s="422" t="str">
        <f>"1G3"&amp;ThirdPlace!G23</f>
        <v>1G3J</v>
      </c>
      <c r="B108" s="427">
        <v>46204</v>
      </c>
      <c r="C108" s="326">
        <v>0.875</v>
      </c>
      <c r="D108" s="371" t="s">
        <v>1237</v>
      </c>
      <c r="E108" s="100" t="str">
        <f ca="1">IF(FGrpG!C49=12,FGrpG!B45,"Winner Group G")</f>
        <v>Egypt</v>
      </c>
      <c r="F108" s="436">
        <f ca="1">FResults!$H$83</f>
        <v>0</v>
      </c>
      <c r="G108" s="372" t="s">
        <v>536</v>
      </c>
      <c r="H108" s="437">
        <f ca="1">FResults!$I$83</f>
        <v>1</v>
      </c>
      <c r="I108" s="101" t="str">
        <f ca="1">IF(FThirdPlace!D15=36,FThirdPlace!H23,"Third Place AEHIJ")</f>
        <v>South Africa</v>
      </c>
      <c r="J108" s="101" t="str">
        <f>Stadium16</f>
        <v>Seattle Stadium</v>
      </c>
      <c r="K108" s="322"/>
      <c r="L108" s="323" t="str">
        <f ca="1">IF(F108&gt;H108,E108,IF(H108&gt;F108,I108,IF(F109&gt;H109,E108,IF(H109&gt;F109,I108,IF(F110&gt;H110,E108,I108)))))</f>
        <v>South Africa</v>
      </c>
      <c r="M108" s="324"/>
      <c r="N108" s="330">
        <f ca="1">VLOOKUP($D108,FLookup3,20,FALSE)</f>
        <v>0.59235078125000007</v>
      </c>
      <c r="O108" s="330">
        <f ca="1">VLOOKUP($D108,FLookup3,21,FALSE)</f>
        <v>0.19779843750000003</v>
      </c>
      <c r="P108" s="330">
        <f ca="1">VLOOKUP($D108,FLookup3,22,FALSE)</f>
        <v>0.20985078124999995</v>
      </c>
      <c r="Q108" s="99"/>
      <c r="R108" s="642" t="s">
        <v>656</v>
      </c>
      <c r="S108" s="652"/>
      <c r="T108" s="652"/>
      <c r="U108" s="652"/>
      <c r="V108" s="652"/>
      <c r="W108" s="652"/>
      <c r="X108" s="652"/>
      <c r="Y108" s="652"/>
      <c r="Z108" s="652"/>
      <c r="AA108" s="652"/>
      <c r="AB108" s="652"/>
      <c r="AC108" s="652"/>
      <c r="AD108" s="652"/>
      <c r="AE108" s="652"/>
      <c r="AF108" s="652"/>
      <c r="AG108" s="652"/>
      <c r="AH108" s="653"/>
    </row>
    <row r="109" spans="1:34" ht="14.25" customHeight="1" x14ac:dyDescent="0.2">
      <c r="A109" s="422"/>
      <c r="B109" s="427" t="s">
        <v>110</v>
      </c>
      <c r="C109" s="326"/>
      <c r="D109" s="98" t="str">
        <f ca="1">IF(E109="AET",D108&amp;"E","")</f>
        <v/>
      </c>
      <c r="E109" s="373" t="str">
        <f ca="1">IF(AND(F108=H108,F108&lt;&gt;""),"AET","")</f>
        <v/>
      </c>
      <c r="F109" s="374" t="str">
        <f ca="1">IF($E109="AET",FResults!$J$83,"")</f>
        <v/>
      </c>
      <c r="G109" s="374" t="str">
        <f ca="1">IF($E109="","","-")</f>
        <v/>
      </c>
      <c r="H109" s="374" t="str">
        <f ca="1">IF($E109="AET",FResults!$K$83,"")</f>
        <v/>
      </c>
      <c r="I109" s="101"/>
      <c r="J109" s="101"/>
      <c r="K109" s="322"/>
      <c r="L109" s="323"/>
      <c r="M109" s="324"/>
      <c r="N109" s="366"/>
      <c r="O109" s="366"/>
      <c r="P109" s="366"/>
      <c r="Q109" s="99"/>
      <c r="R109" s="654"/>
      <c r="S109" s="652"/>
      <c r="T109" s="652"/>
      <c r="U109" s="652"/>
      <c r="V109" s="652"/>
      <c r="W109" s="652"/>
      <c r="X109" s="652"/>
      <c r="Y109" s="652"/>
      <c r="Z109" s="652"/>
      <c r="AA109" s="652"/>
      <c r="AB109" s="652"/>
      <c r="AC109" s="652"/>
      <c r="AD109" s="652"/>
      <c r="AE109" s="652"/>
      <c r="AF109" s="652"/>
      <c r="AG109" s="652"/>
      <c r="AH109" s="653"/>
    </row>
    <row r="110" spans="1:34" ht="14.25" customHeight="1" x14ac:dyDescent="0.2">
      <c r="A110" s="422"/>
      <c r="B110" s="427" t="s">
        <v>110</v>
      </c>
      <c r="C110" s="326"/>
      <c r="D110" s="98" t="str">
        <f ca="1">IF(E110="Penalties",D108&amp;"P","")</f>
        <v/>
      </c>
      <c r="E110" s="375" t="str">
        <f ca="1">IF(AND(F109=H109,F109&lt;&gt;""),"Penalties","")</f>
        <v/>
      </c>
      <c r="F110" s="438" t="str">
        <f ca="1">IF($E110="Penalties",FResults!$L$83,"")</f>
        <v/>
      </c>
      <c r="G110" s="374" t="str">
        <f ca="1">IF($E110="","","-")</f>
        <v/>
      </c>
      <c r="H110" s="438" t="str">
        <f ca="1">IF($E110="Penalties",FResults!$M$83,"")</f>
        <v/>
      </c>
      <c r="I110" s="101"/>
      <c r="J110" s="101"/>
      <c r="K110" s="322"/>
      <c r="L110" s="323"/>
      <c r="M110" s="324"/>
      <c r="N110" s="366"/>
      <c r="O110" s="366"/>
      <c r="P110" s="366"/>
      <c r="Q110" s="99"/>
      <c r="R110" s="654"/>
      <c r="S110" s="652"/>
      <c r="T110" s="652"/>
      <c r="U110" s="652"/>
      <c r="V110" s="652"/>
      <c r="W110" s="652"/>
      <c r="X110" s="652"/>
      <c r="Y110" s="652"/>
      <c r="Z110" s="652"/>
      <c r="AA110" s="652"/>
      <c r="AB110" s="652"/>
      <c r="AC110" s="652"/>
      <c r="AD110" s="652"/>
      <c r="AE110" s="652"/>
      <c r="AF110" s="652"/>
      <c r="AG110" s="652"/>
      <c r="AH110" s="653"/>
    </row>
    <row r="111" spans="1:34" ht="14.25" customHeight="1" x14ac:dyDescent="0.2">
      <c r="A111" s="422" t="str">
        <f>"1D3"&amp;ThirdPlace!G21</f>
        <v>1D3B</v>
      </c>
      <c r="B111" s="427">
        <v>46205</v>
      </c>
      <c r="C111" s="326">
        <v>4.1666666666666664E-2</v>
      </c>
      <c r="D111" s="371" t="s">
        <v>1238</v>
      </c>
      <c r="E111" s="100" t="str">
        <f ca="1">IF(FGrpD!C49=12,FGrpD!B45,"Winner Group D")</f>
        <v>USA</v>
      </c>
      <c r="F111" s="436">
        <f ca="1">FResults!$H$84</f>
        <v>2</v>
      </c>
      <c r="G111" s="372" t="s">
        <v>536</v>
      </c>
      <c r="H111" s="437">
        <f ca="1">FResults!$I$84</f>
        <v>1</v>
      </c>
      <c r="I111" s="101" t="str">
        <f ca="1">IF(FThirdPlace!D15=36,FThirdPlace!H21,"Third Place BEFIJ")</f>
        <v>Ecuador</v>
      </c>
      <c r="J111" s="101" t="str">
        <f>Stadium15</f>
        <v>San Franciso Bay Stadium</v>
      </c>
      <c r="K111" s="322"/>
      <c r="L111" s="323" t="str">
        <f ca="1">IF(F111&gt;H111,E111,IF(H111&gt;F111,I111,IF(F112&gt;H112,E111,IF(H112&gt;F112,I111,IF(F113&gt;H113,E111,I111)))))</f>
        <v>USA</v>
      </c>
      <c r="M111" s="324"/>
      <c r="N111" s="330">
        <f ca="1">VLOOKUP($D111,FLookup3,20,FALSE)</f>
        <v>0.52126249999999996</v>
      </c>
      <c r="O111" s="330">
        <f ca="1">VLOOKUP($D111,FLookup3,21,FALSE)</f>
        <v>0.21747499999999997</v>
      </c>
      <c r="P111" s="330">
        <f ca="1">VLOOKUP($D111,FLookup3,22,FALSE)</f>
        <v>0.26126250000000006</v>
      </c>
      <c r="Q111" s="99"/>
      <c r="R111" s="658" t="s">
        <v>648</v>
      </c>
      <c r="S111" s="659"/>
      <c r="T111" s="659"/>
      <c r="U111" s="659"/>
      <c r="V111" s="659"/>
      <c r="W111" s="659"/>
      <c r="X111" s="659"/>
      <c r="Y111" s="659"/>
      <c r="Z111" s="659"/>
      <c r="AA111" s="659"/>
      <c r="AB111" s="659"/>
      <c r="AC111" s="659"/>
      <c r="AD111" s="659"/>
      <c r="AE111" s="659"/>
      <c r="AF111" s="659"/>
      <c r="AG111" s="659"/>
      <c r="AH111" s="660"/>
    </row>
    <row r="112" spans="1:34" ht="14.25" customHeight="1" x14ac:dyDescent="0.2">
      <c r="A112" s="422"/>
      <c r="B112" s="427" t="s">
        <v>110</v>
      </c>
      <c r="C112" s="326"/>
      <c r="D112" s="98" t="str">
        <f ca="1">IF(E112="AET",D111&amp;"E","")</f>
        <v/>
      </c>
      <c r="E112" s="373" t="str">
        <f ca="1">IF(AND(F111=H111,F111&lt;&gt;""),"AET","")</f>
        <v/>
      </c>
      <c r="F112" s="374" t="str">
        <f ca="1">IF($E112="AET",FResults!$J$84,"")</f>
        <v/>
      </c>
      <c r="G112" s="374" t="str">
        <f ca="1">IF($E112="","","-")</f>
        <v/>
      </c>
      <c r="H112" s="374" t="str">
        <f ca="1">IF($E112="AET",FResults!$K$84,"")</f>
        <v/>
      </c>
      <c r="I112" s="101"/>
      <c r="J112" s="101"/>
      <c r="K112" s="322"/>
      <c r="L112" s="323"/>
      <c r="M112" s="324"/>
      <c r="N112" s="366"/>
      <c r="O112" s="366"/>
      <c r="P112" s="366"/>
      <c r="Q112" s="99"/>
      <c r="R112" s="661" t="s">
        <v>657</v>
      </c>
      <c r="S112" s="659"/>
      <c r="T112" s="659"/>
      <c r="U112" s="659"/>
      <c r="V112" s="659"/>
      <c r="W112" s="659"/>
      <c r="X112" s="659"/>
      <c r="Y112" s="659"/>
      <c r="Z112" s="659"/>
      <c r="AA112" s="659"/>
      <c r="AB112" s="659"/>
      <c r="AC112" s="659"/>
      <c r="AD112" s="659"/>
      <c r="AE112" s="659"/>
      <c r="AF112" s="659"/>
      <c r="AG112" s="659"/>
      <c r="AH112" s="660"/>
    </row>
    <row r="113" spans="1:34" ht="14.25" customHeight="1" x14ac:dyDescent="0.2">
      <c r="A113" s="422"/>
      <c r="B113" s="427" t="s">
        <v>110</v>
      </c>
      <c r="C113" s="326"/>
      <c r="D113" s="98" t="str">
        <f ca="1">IF(E113="Penalties",D111&amp;"P","")</f>
        <v/>
      </c>
      <c r="E113" s="375" t="str">
        <f ca="1">IF(AND(F112=H112,F112&lt;&gt;""),"Penalties","")</f>
        <v/>
      </c>
      <c r="F113" s="438" t="str">
        <f ca="1">IF($E113="Penalties",FResults!$L$84,"")</f>
        <v/>
      </c>
      <c r="G113" s="374" t="str">
        <f ca="1">IF($E113="","","-")</f>
        <v/>
      </c>
      <c r="H113" s="438" t="str">
        <f ca="1">IF($E113="Penalties",FResults!$M$84,"")</f>
        <v/>
      </c>
      <c r="I113" s="101"/>
      <c r="J113" s="101"/>
      <c r="K113" s="322"/>
      <c r="L113" s="323"/>
      <c r="M113" s="324"/>
      <c r="N113" s="366"/>
      <c r="O113" s="366"/>
      <c r="P113" s="366"/>
      <c r="Q113" s="99"/>
      <c r="R113" s="448" t="s">
        <v>658</v>
      </c>
      <c r="S113" s="449"/>
      <c r="T113" s="449"/>
      <c r="U113" s="449"/>
      <c r="V113" s="449"/>
      <c r="W113" s="449"/>
      <c r="X113" s="449"/>
      <c r="Y113" s="449"/>
      <c r="Z113" s="449"/>
      <c r="AA113" s="449"/>
      <c r="AB113" s="449"/>
      <c r="AC113" s="449"/>
      <c r="AD113" s="449"/>
      <c r="AE113" s="449"/>
      <c r="AF113" s="449"/>
      <c r="AG113" s="449"/>
      <c r="AH113" s="450"/>
    </row>
    <row r="114" spans="1:34" ht="14.25" customHeight="1" x14ac:dyDescent="0.2">
      <c r="A114" s="422" t="s">
        <v>1217</v>
      </c>
      <c r="B114" s="427">
        <v>46205</v>
      </c>
      <c r="C114" s="326">
        <v>0.83333333333333337</v>
      </c>
      <c r="D114" s="371" t="s">
        <v>1239</v>
      </c>
      <c r="E114" s="100" t="str">
        <f ca="1">IF(FGrpH!C49=12,FGrpH!B45,"Winner Group H")</f>
        <v>Spain</v>
      </c>
      <c r="F114" s="436">
        <f ca="1">FResults!$H$85</f>
        <v>3</v>
      </c>
      <c r="G114" s="372" t="s">
        <v>536</v>
      </c>
      <c r="H114" s="437">
        <f ca="1">FResults!$I$85</f>
        <v>0</v>
      </c>
      <c r="I114" s="101" t="str">
        <f ca="1">IF(FGrpJ!C49=12,FGrpJ!B46,"Second in Group J")</f>
        <v>Austria</v>
      </c>
      <c r="J114" s="101" t="str">
        <f>Stadium11</f>
        <v>Los Angeles Stadium</v>
      </c>
      <c r="K114" s="322"/>
      <c r="L114" s="323" t="str">
        <f ca="1">IF(F114&gt;H114,E114,IF(H114&gt;F114,I114,IF(F115&gt;H115,E114,IF(H115&gt;F115,I114,IF(F116&gt;H116,E114,I114)))))</f>
        <v>Spain</v>
      </c>
      <c r="M114" s="324"/>
      <c r="N114" s="330">
        <f ca="1">VLOOKUP($D114,FLookup3,20,FALSE)</f>
        <v>0.69917336419999998</v>
      </c>
      <c r="O114" s="330">
        <f ca="1">VLOOKUP($D114,FLookup3,21,FALSE)</f>
        <v>0.15721327159999998</v>
      </c>
      <c r="P114" s="330">
        <f ca="1">VLOOKUP($D114,FLookup3,22,FALSE)</f>
        <v>0.14361336420000004</v>
      </c>
      <c r="Q114" s="99"/>
      <c r="R114" s="448" t="s">
        <v>659</v>
      </c>
      <c r="S114" s="451"/>
      <c r="T114" s="451"/>
      <c r="U114" s="451"/>
      <c r="V114" s="451"/>
      <c r="W114" s="451"/>
      <c r="X114" s="451"/>
      <c r="Y114" s="451"/>
      <c r="Z114" s="451"/>
      <c r="AA114" s="451"/>
      <c r="AB114" s="451"/>
      <c r="AC114" s="451"/>
      <c r="AD114" s="451"/>
      <c r="AE114" s="451"/>
      <c r="AF114" s="451"/>
      <c r="AG114" s="451"/>
      <c r="AH114" s="452"/>
    </row>
    <row r="115" spans="1:34" ht="14.25" customHeight="1" x14ac:dyDescent="0.2">
      <c r="A115" s="422"/>
      <c r="B115" s="427" t="s">
        <v>110</v>
      </c>
      <c r="C115" s="326"/>
      <c r="D115" s="98" t="str">
        <f ca="1">IF(E115="AET",D114&amp;"E","")</f>
        <v/>
      </c>
      <c r="E115" s="373" t="str">
        <f ca="1">IF(AND(F114=H114,F114&lt;&gt;""),"AET","")</f>
        <v/>
      </c>
      <c r="F115" s="374" t="str">
        <f ca="1">IF($E115="AET",FResults!$J$85,"")</f>
        <v/>
      </c>
      <c r="G115" s="374" t="str">
        <f ca="1">IF($E115="","","-")</f>
        <v/>
      </c>
      <c r="H115" s="374" t="str">
        <f ca="1">IF($E115="AET",FResults!$K$85,"")</f>
        <v/>
      </c>
      <c r="I115" s="101"/>
      <c r="J115" s="101"/>
      <c r="K115" s="322"/>
      <c r="L115" s="323"/>
      <c r="M115" s="324"/>
      <c r="N115" s="366"/>
      <c r="O115" s="366"/>
      <c r="P115" s="366"/>
      <c r="Q115" s="99"/>
      <c r="R115" s="448"/>
      <c r="S115" s="449"/>
      <c r="T115" s="449"/>
      <c r="U115" s="449"/>
      <c r="V115" s="449"/>
      <c r="W115" s="449"/>
      <c r="X115" s="449"/>
      <c r="Y115" s="449"/>
      <c r="Z115" s="449"/>
      <c r="AA115" s="449"/>
      <c r="AB115" s="449"/>
      <c r="AC115" s="449"/>
      <c r="AD115" s="449"/>
      <c r="AE115" s="449"/>
      <c r="AF115" s="449"/>
      <c r="AG115" s="449"/>
      <c r="AH115" s="450"/>
    </row>
    <row r="116" spans="1:34" ht="14.25" customHeight="1" x14ac:dyDescent="0.2">
      <c r="A116" s="422"/>
      <c r="B116" s="427" t="s">
        <v>110</v>
      </c>
      <c r="C116" s="326"/>
      <c r="D116" s="98" t="str">
        <f ca="1">IF(E116="Penalties",D114&amp;"P","")</f>
        <v/>
      </c>
      <c r="E116" s="375" t="str">
        <f ca="1">IF(AND(F115=H115,F115&lt;&gt;""),"Penalties","")</f>
        <v/>
      </c>
      <c r="F116" s="438" t="str">
        <f ca="1">IF($E116="Penalties",FResults!$L$85,"")</f>
        <v/>
      </c>
      <c r="G116" s="374" t="str">
        <f ca="1">IF($E116="","","-")</f>
        <v/>
      </c>
      <c r="H116" s="438" t="str">
        <f ca="1">IF($E116="Penalties",FResults!$M$85,"")</f>
        <v/>
      </c>
      <c r="I116" s="101"/>
      <c r="J116" s="101"/>
      <c r="K116" s="322"/>
      <c r="L116" s="323"/>
      <c r="M116" s="324"/>
      <c r="N116" s="366"/>
      <c r="O116" s="366"/>
      <c r="P116" s="366"/>
      <c r="Q116" s="99"/>
      <c r="R116" s="447" t="s">
        <v>649</v>
      </c>
      <c r="S116" s="449"/>
      <c r="T116" s="449"/>
      <c r="U116" s="449"/>
      <c r="V116" s="449"/>
      <c r="W116" s="449"/>
      <c r="X116" s="449"/>
      <c r="Y116" s="449"/>
      <c r="Z116" s="449"/>
      <c r="AA116" s="449"/>
      <c r="AB116" s="449"/>
      <c r="AC116" s="449"/>
      <c r="AD116" s="449"/>
      <c r="AE116" s="449"/>
      <c r="AF116" s="449"/>
      <c r="AG116" s="449"/>
      <c r="AH116" s="450"/>
    </row>
    <row r="117" spans="1:34" ht="14.25" customHeight="1" x14ac:dyDescent="0.2">
      <c r="A117" s="422" t="s">
        <v>1218</v>
      </c>
      <c r="B117" s="427">
        <v>46206</v>
      </c>
      <c r="C117" s="326">
        <v>0</v>
      </c>
      <c r="D117" s="371" t="s">
        <v>1240</v>
      </c>
      <c r="E117" s="100" t="str">
        <f ca="1">IF(FGrpK!C49=12,FGrpK!B46,"Second in Group K")</f>
        <v>Portugal</v>
      </c>
      <c r="F117" s="436">
        <f ca="1">FResults!$H$86</f>
        <v>3</v>
      </c>
      <c r="G117" s="372" t="s">
        <v>536</v>
      </c>
      <c r="H117" s="437">
        <f ca="1">FResults!$I$86</f>
        <v>0</v>
      </c>
      <c r="I117" s="101" t="str">
        <f ca="1">IF(FGrpL!C49=12,FGrpL!B46,"Second in Group L")</f>
        <v>Croatia</v>
      </c>
      <c r="J117" s="101" t="str">
        <f>Stadium1</f>
        <v>Toronto Stadium</v>
      </c>
      <c r="K117" s="322"/>
      <c r="L117" s="323" t="str">
        <f ca="1">IF(F117&gt;H117,E117,IF(H117&gt;F117,I117,IF(F118&gt;H118,E117,IF(H118&gt;F118,I117,IF(F119&gt;H119,E117,I117)))))</f>
        <v>Portugal</v>
      </c>
      <c r="M117" s="324"/>
      <c r="N117" s="330">
        <f ca="1">VLOOKUP($D117,FLookup3,20,FALSE)</f>
        <v>0.53832500000000005</v>
      </c>
      <c r="O117" s="330">
        <f ca="1">VLOOKUP($D117,FLookup3,21,FALSE)</f>
        <v>0.21335000000000004</v>
      </c>
      <c r="P117" s="330">
        <f ca="1">VLOOKUP($D117,FLookup3,22,FALSE)</f>
        <v>0.24832499999999996</v>
      </c>
      <c r="Q117" s="99"/>
      <c r="R117" s="642" t="s">
        <v>660</v>
      </c>
      <c r="S117" s="647"/>
      <c r="T117" s="647"/>
      <c r="U117" s="647"/>
      <c r="V117" s="647"/>
      <c r="W117" s="647"/>
      <c r="X117" s="647"/>
      <c r="Y117" s="647"/>
      <c r="Z117" s="647"/>
      <c r="AA117" s="647"/>
      <c r="AB117" s="647"/>
      <c r="AC117" s="647"/>
      <c r="AD117" s="647"/>
      <c r="AE117" s="647"/>
      <c r="AF117" s="647"/>
      <c r="AG117" s="647"/>
      <c r="AH117" s="648"/>
    </row>
    <row r="118" spans="1:34" ht="14.25" customHeight="1" x14ac:dyDescent="0.2">
      <c r="A118" s="422"/>
      <c r="B118" s="427" t="s">
        <v>110</v>
      </c>
      <c r="C118" s="326"/>
      <c r="D118" s="98" t="str">
        <f ca="1">IF(E118="AET",D117&amp;"E","")</f>
        <v/>
      </c>
      <c r="E118" s="373" t="str">
        <f ca="1">IF(AND(F117=H117,F117&lt;&gt;""),"AET","")</f>
        <v/>
      </c>
      <c r="F118" s="374" t="str">
        <f ca="1">IF($E118="AET",FResults!$J$86,"")</f>
        <v/>
      </c>
      <c r="G118" s="374" t="str">
        <f ca="1">IF($E118="","","-")</f>
        <v/>
      </c>
      <c r="H118" s="374" t="str">
        <f ca="1">IF($E118="AET",FResults!$K$86,"")</f>
        <v/>
      </c>
      <c r="I118" s="101"/>
      <c r="J118" s="101"/>
      <c r="K118" s="322"/>
      <c r="L118" s="323"/>
      <c r="M118" s="324"/>
      <c r="N118" s="366"/>
      <c r="O118" s="366"/>
      <c r="P118" s="366"/>
      <c r="Q118" s="99"/>
      <c r="R118" s="649"/>
      <c r="S118" s="647"/>
      <c r="T118" s="647"/>
      <c r="U118" s="647"/>
      <c r="V118" s="647"/>
      <c r="W118" s="647"/>
      <c r="X118" s="647"/>
      <c r="Y118" s="647"/>
      <c r="Z118" s="647"/>
      <c r="AA118" s="647"/>
      <c r="AB118" s="647"/>
      <c r="AC118" s="647"/>
      <c r="AD118" s="647"/>
      <c r="AE118" s="647"/>
      <c r="AF118" s="647"/>
      <c r="AG118" s="647"/>
      <c r="AH118" s="648"/>
    </row>
    <row r="119" spans="1:34" ht="14.25" customHeight="1" x14ac:dyDescent="0.2">
      <c r="A119" s="422"/>
      <c r="B119" s="427" t="s">
        <v>110</v>
      </c>
      <c r="C119" s="326"/>
      <c r="D119" s="98" t="str">
        <f ca="1">IF(E119="Penalties",D117&amp;"P","")</f>
        <v/>
      </c>
      <c r="E119" s="375" t="str">
        <f ca="1">IF(AND(F118=H118,F118&lt;&gt;""),"Penalties","")</f>
        <v/>
      </c>
      <c r="F119" s="438" t="str">
        <f ca="1">IF($E119="Penalties",FResults!$L$86,"")</f>
        <v/>
      </c>
      <c r="G119" s="374" t="str">
        <f ca="1">IF($E119="","","-")</f>
        <v/>
      </c>
      <c r="H119" s="438" t="str">
        <f ca="1">IF($E119="Penalties",FResults!$M$86,"")</f>
        <v/>
      </c>
      <c r="I119" s="101"/>
      <c r="J119" s="101"/>
      <c r="K119" s="322"/>
      <c r="L119" s="323"/>
      <c r="M119" s="324"/>
      <c r="N119" s="366"/>
      <c r="O119" s="366"/>
      <c r="P119" s="366"/>
      <c r="Q119" s="99"/>
      <c r="R119" s="649"/>
      <c r="S119" s="647"/>
      <c r="T119" s="647"/>
      <c r="U119" s="647"/>
      <c r="V119" s="647"/>
      <c r="W119" s="647"/>
      <c r="X119" s="647"/>
      <c r="Y119" s="647"/>
      <c r="Z119" s="647"/>
      <c r="AA119" s="647"/>
      <c r="AB119" s="647"/>
      <c r="AC119" s="647"/>
      <c r="AD119" s="647"/>
      <c r="AE119" s="647"/>
      <c r="AF119" s="647"/>
      <c r="AG119" s="647"/>
      <c r="AH119" s="648"/>
    </row>
    <row r="120" spans="1:34" ht="14.25" customHeight="1" x14ac:dyDescent="0.2">
      <c r="A120" s="422" t="str">
        <f>"1B3"&amp;ThirdPlace!G20</f>
        <v>1B3G</v>
      </c>
      <c r="B120" s="427">
        <v>46206</v>
      </c>
      <c r="C120" s="326">
        <v>0.16666666666666666</v>
      </c>
      <c r="D120" s="371" t="s">
        <v>1241</v>
      </c>
      <c r="E120" s="100" t="str">
        <f ca="1">IF(FGrpB!C49=12,FGrpB!B45,"Winner Group B")</f>
        <v>Switzerland</v>
      </c>
      <c r="F120" s="436">
        <f ca="1">FResults!$H$87</f>
        <v>1</v>
      </c>
      <c r="G120" s="372" t="s">
        <v>536</v>
      </c>
      <c r="H120" s="437">
        <f ca="1">FResults!$I$87</f>
        <v>1</v>
      </c>
      <c r="I120" s="101" t="str">
        <f ca="1">IF(FThirdPlace!D15=36,FThirdPlace!H20,"Third Place EFGIJ")</f>
        <v>Belgium</v>
      </c>
      <c r="J120" s="101" t="str">
        <f>Stadium2</f>
        <v>BC Place Vancouver</v>
      </c>
      <c r="K120" s="322"/>
      <c r="L120" s="323" t="str">
        <f ca="1">IF(F120&gt;H120,E120,IF(H120&gt;F120,I120,IF(F121&gt;H121,E120,IF(H121&gt;F121,I120,IF(F122&gt;H122,E120,I120)))))</f>
        <v>Belgium</v>
      </c>
      <c r="M120" s="324"/>
      <c r="N120" s="330">
        <f ca="1">VLOOKUP($D120,FLookup3,20,FALSE)</f>
        <v>0.27379690205000001</v>
      </c>
      <c r="O120" s="330">
        <f ca="1">VLOOKUP($D120,FLookup3,21,FALSE)</f>
        <v>0.22098619589999996</v>
      </c>
      <c r="P120" s="330">
        <f ca="1">VLOOKUP($D120,FLookup3,22,FALSE)</f>
        <v>0.50521690205000003</v>
      </c>
      <c r="Q120" s="99"/>
      <c r="R120" s="649"/>
      <c r="S120" s="647"/>
      <c r="T120" s="647"/>
      <c r="U120" s="647"/>
      <c r="V120" s="647"/>
      <c r="W120" s="647"/>
      <c r="X120" s="647"/>
      <c r="Y120" s="647"/>
      <c r="Z120" s="647"/>
      <c r="AA120" s="647"/>
      <c r="AB120" s="647"/>
      <c r="AC120" s="647"/>
      <c r="AD120" s="647"/>
      <c r="AE120" s="647"/>
      <c r="AF120" s="647"/>
      <c r="AG120" s="647"/>
      <c r="AH120" s="648"/>
    </row>
    <row r="121" spans="1:34" ht="14.25" customHeight="1" x14ac:dyDescent="0.2">
      <c r="A121" s="422"/>
      <c r="B121" s="427" t="s">
        <v>110</v>
      </c>
      <c r="C121" s="326"/>
      <c r="D121" s="98" t="str">
        <f ca="1">IF(E121="AET",D120&amp;"E","")</f>
        <v>85E</v>
      </c>
      <c r="E121" s="373" t="str">
        <f ca="1">IF(AND(F120=H120,F120&lt;&gt;""),"AET","")</f>
        <v>AET</v>
      </c>
      <c r="F121" s="374">
        <f ca="1">IF($E121="AET",FResults!$J$87,"")</f>
        <v>1</v>
      </c>
      <c r="G121" s="374" t="str">
        <f ca="1">IF($E121="","","-")</f>
        <v>-</v>
      </c>
      <c r="H121" s="374">
        <f ca="1">IF($E121="AET",FResults!$K$87,"")</f>
        <v>2</v>
      </c>
      <c r="I121" s="101"/>
      <c r="J121" s="101"/>
      <c r="K121" s="322"/>
      <c r="L121" s="323"/>
      <c r="M121" s="324"/>
      <c r="N121" s="366"/>
      <c r="O121" s="366"/>
      <c r="P121" s="366"/>
      <c r="Q121" s="99"/>
      <c r="R121" s="448" t="s">
        <v>650</v>
      </c>
      <c r="S121" s="449"/>
      <c r="T121" s="449"/>
      <c r="U121" s="449"/>
      <c r="V121" s="449"/>
      <c r="W121" s="449"/>
      <c r="X121" s="449"/>
      <c r="Y121" s="449"/>
      <c r="Z121" s="449"/>
      <c r="AA121" s="449"/>
      <c r="AB121" s="449"/>
      <c r="AC121" s="449"/>
      <c r="AD121" s="449"/>
      <c r="AE121" s="449"/>
      <c r="AF121" s="449"/>
      <c r="AG121" s="449"/>
      <c r="AH121" s="450"/>
    </row>
    <row r="122" spans="1:34" ht="14.25" customHeight="1" x14ac:dyDescent="0.2">
      <c r="A122" s="422"/>
      <c r="B122" s="427" t="s">
        <v>110</v>
      </c>
      <c r="C122" s="326"/>
      <c r="D122" s="98" t="str">
        <f ca="1">IF(E122="Penalties",D120&amp;"P","")</f>
        <v/>
      </c>
      <c r="E122" s="375" t="str">
        <f ca="1">IF(AND(F121=H121,F121&lt;&gt;""),"Penalties","")</f>
        <v/>
      </c>
      <c r="F122" s="438" t="str">
        <f ca="1">IF($E122="Penalties",FResults!$L$87,"")</f>
        <v/>
      </c>
      <c r="G122" s="374" t="str">
        <f ca="1">IF($E122="","","-")</f>
        <v/>
      </c>
      <c r="H122" s="438" t="str">
        <f ca="1">IF($E122="Penalties",FResults!$M$87,"")</f>
        <v/>
      </c>
      <c r="I122" s="101"/>
      <c r="J122" s="101"/>
      <c r="K122" s="322"/>
      <c r="L122" s="323"/>
      <c r="M122" s="324"/>
      <c r="N122" s="366"/>
      <c r="O122" s="366"/>
      <c r="P122" s="366"/>
      <c r="Q122" s="99"/>
      <c r="R122" s="448" t="s">
        <v>651</v>
      </c>
      <c r="S122" s="449"/>
      <c r="T122" s="449"/>
      <c r="U122" s="449"/>
      <c r="V122" s="449"/>
      <c r="W122" s="449"/>
      <c r="X122" s="449"/>
      <c r="Y122" s="449"/>
      <c r="Z122" s="449"/>
      <c r="AA122" s="449"/>
      <c r="AB122" s="449"/>
      <c r="AC122" s="449"/>
      <c r="AD122" s="449"/>
      <c r="AE122" s="449"/>
      <c r="AF122" s="449"/>
      <c r="AG122" s="449"/>
      <c r="AH122" s="450"/>
    </row>
    <row r="123" spans="1:34" ht="14.25" customHeight="1" x14ac:dyDescent="0.2">
      <c r="A123" s="422" t="s">
        <v>1219</v>
      </c>
      <c r="B123" s="427">
        <v>46206</v>
      </c>
      <c r="C123" s="326">
        <v>0.79166666666666663</v>
      </c>
      <c r="D123" s="371" t="s">
        <v>1242</v>
      </c>
      <c r="E123" s="100" t="str">
        <f ca="1">IF(FGrpD!C49=12,FGrpD!B46,"Second in Group D")</f>
        <v>Australia</v>
      </c>
      <c r="F123" s="436">
        <f ca="1">FResults!$H$88</f>
        <v>1</v>
      </c>
      <c r="G123" s="372" t="s">
        <v>536</v>
      </c>
      <c r="H123" s="437">
        <f ca="1">FResults!$I$88</f>
        <v>2</v>
      </c>
      <c r="I123" s="101" t="str">
        <f ca="1">IF(FGrpG!C49=12,FGrpG!B46,"Second in Group G")</f>
        <v>IR Iran</v>
      </c>
      <c r="J123" s="101" t="str">
        <f>Stadium8</f>
        <v>Dallas Stadium</v>
      </c>
      <c r="K123" s="322"/>
      <c r="L123" s="323" t="str">
        <f ca="1">IF(F123&gt;H123,E123,IF(H123&gt;F123,I123,IF(F124&gt;H124,E123,IF(H124&gt;F124,I123,IF(F125&gt;H125,E123,I123)))))</f>
        <v>IR Iran</v>
      </c>
      <c r="M123" s="324"/>
      <c r="N123" s="330">
        <f ca="1">VLOOKUP($D123,FLookup3,20,FALSE)</f>
        <v>0.39720460205000002</v>
      </c>
      <c r="O123" s="330">
        <f ca="1">VLOOKUP($D123,FLookup3,21,FALSE)</f>
        <v>0.23417079589999995</v>
      </c>
      <c r="P123" s="330">
        <f ca="1">VLOOKUP($D123,FLookup3,22,FALSE)</f>
        <v>0.36862460205000003</v>
      </c>
      <c r="Q123" s="99"/>
      <c r="R123" s="448" t="s">
        <v>1210</v>
      </c>
      <c r="S123" s="449"/>
      <c r="T123" s="449"/>
      <c r="U123" s="449"/>
      <c r="V123" s="449"/>
      <c r="W123" s="449"/>
      <c r="X123" s="449"/>
      <c r="Y123" s="449"/>
      <c r="Z123" s="449"/>
      <c r="AA123" s="449"/>
      <c r="AB123" s="449"/>
      <c r="AC123" s="449"/>
      <c r="AD123" s="449"/>
      <c r="AE123" s="449"/>
      <c r="AF123" s="449"/>
      <c r="AG123" s="449"/>
      <c r="AH123" s="450"/>
    </row>
    <row r="124" spans="1:34" ht="14.25" customHeight="1" x14ac:dyDescent="0.2">
      <c r="A124" s="422"/>
      <c r="B124" s="427" t="s">
        <v>110</v>
      </c>
      <c r="C124" s="326"/>
      <c r="D124" s="98" t="str">
        <f ca="1">IF(E124="AET",D123&amp;"E","")</f>
        <v/>
      </c>
      <c r="E124" s="373" t="str">
        <f ca="1">IF(AND(F123=H123,F123&lt;&gt;""),"AET","")</f>
        <v/>
      </c>
      <c r="F124" s="374" t="str">
        <f ca="1">IF($E124="AET",FResults!$J$88,"")</f>
        <v/>
      </c>
      <c r="G124" s="374" t="str">
        <f ca="1">IF($E124="","","-")</f>
        <v/>
      </c>
      <c r="H124" s="374" t="str">
        <f ca="1">IF($E124="AET",FResults!$K$88,"")</f>
        <v/>
      </c>
      <c r="I124" s="101"/>
      <c r="J124" s="101"/>
      <c r="K124" s="322"/>
      <c r="L124" s="323"/>
      <c r="M124" s="324"/>
      <c r="N124" s="366"/>
      <c r="O124" s="366"/>
      <c r="P124" s="366"/>
      <c r="Q124" s="99"/>
      <c r="R124" s="642" t="s">
        <v>662</v>
      </c>
      <c r="S124" s="647"/>
      <c r="T124" s="647"/>
      <c r="U124" s="647"/>
      <c r="V124" s="647"/>
      <c r="W124" s="647"/>
      <c r="X124" s="647"/>
      <c r="Y124" s="647"/>
      <c r="Z124" s="647"/>
      <c r="AA124" s="647"/>
      <c r="AB124" s="647"/>
      <c r="AC124" s="647"/>
      <c r="AD124" s="647"/>
      <c r="AE124" s="647"/>
      <c r="AF124" s="647"/>
      <c r="AG124" s="647"/>
      <c r="AH124" s="648"/>
    </row>
    <row r="125" spans="1:34" ht="14.25" customHeight="1" x14ac:dyDescent="0.2">
      <c r="A125" s="422"/>
      <c r="B125" s="427" t="s">
        <v>110</v>
      </c>
      <c r="C125" s="326"/>
      <c r="D125" s="98" t="str">
        <f ca="1">IF(E125="Penalties",D123&amp;"P","")</f>
        <v/>
      </c>
      <c r="E125" s="375" t="str">
        <f ca="1">IF(AND(F124=H124,F124&lt;&gt;""),"Penalties","")</f>
        <v/>
      </c>
      <c r="F125" s="438" t="str">
        <f ca="1">IF($E125="Penalties",FResults!$L$88,"")</f>
        <v/>
      </c>
      <c r="G125" s="374" t="str">
        <f ca="1">IF($E125="","","-")</f>
        <v/>
      </c>
      <c r="H125" s="438" t="str">
        <f ca="1">IF($E125="Penalties",FResults!$M$88,"")</f>
        <v/>
      </c>
      <c r="I125" s="101"/>
      <c r="J125" s="101"/>
      <c r="K125" s="322"/>
      <c r="L125" s="323"/>
      <c r="M125" s="324"/>
      <c r="N125" s="366"/>
      <c r="O125" s="366"/>
      <c r="P125" s="366"/>
      <c r="Q125" s="99"/>
      <c r="R125" s="649"/>
      <c r="S125" s="647"/>
      <c r="T125" s="647"/>
      <c r="U125" s="647"/>
      <c r="V125" s="647"/>
      <c r="W125" s="647"/>
      <c r="X125" s="647"/>
      <c r="Y125" s="647"/>
      <c r="Z125" s="647"/>
      <c r="AA125" s="647"/>
      <c r="AB125" s="647"/>
      <c r="AC125" s="647"/>
      <c r="AD125" s="647"/>
      <c r="AE125" s="647"/>
      <c r="AF125" s="647"/>
      <c r="AG125" s="647"/>
      <c r="AH125" s="648"/>
    </row>
    <row r="126" spans="1:34" ht="14.25" customHeight="1" x14ac:dyDescent="0.2">
      <c r="A126" s="422" t="s">
        <v>1220</v>
      </c>
      <c r="B126" s="427">
        <v>46206</v>
      </c>
      <c r="C126" s="326">
        <v>0.95833333333333337</v>
      </c>
      <c r="D126" s="371" t="s">
        <v>1243</v>
      </c>
      <c r="E126" s="100" t="str">
        <f ca="1">IF(FGrpJ!C49=12,FGrpJ!B45,"Winner Group J")</f>
        <v>Argentina</v>
      </c>
      <c r="F126" s="436">
        <f ca="1">FResults!$H$89</f>
        <v>1</v>
      </c>
      <c r="G126" s="372" t="s">
        <v>536</v>
      </c>
      <c r="H126" s="437">
        <f ca="1">FResults!$I$89</f>
        <v>0</v>
      </c>
      <c r="I126" s="101" t="str">
        <f ca="1">IF(FGrpH!C49=12,FGrpH!B46,"Second in Group H")</f>
        <v>Cabo Verde</v>
      </c>
      <c r="J126" s="101" t="str">
        <f>Stadium12</f>
        <v>Miami Stadium</v>
      </c>
      <c r="K126" s="322"/>
      <c r="L126" s="323" t="str">
        <f ca="1">IF(F126&gt;H126,E126,IF(H126&gt;F126,I126,IF(F127&gt;H127,E126,IF(H127&gt;F127,I126,IF(F128&gt;H128,E126,I126)))))</f>
        <v>Argentina</v>
      </c>
      <c r="M126" s="324"/>
      <c r="N126" s="330">
        <f ca="1">VLOOKUP($D126,FLookup3,20,FALSE)</f>
        <v>0.90662145125000004</v>
      </c>
      <c r="O126" s="330">
        <f ca="1">VLOOKUP($D126,FLookup3,21,FALSE)</f>
        <v>4.8657097499999913E-2</v>
      </c>
      <c r="P126" s="330">
        <f ca="1">VLOOKUP($D126,FLookup3,22,FALSE)</f>
        <v>4.4721451250000016E-2</v>
      </c>
      <c r="Q126" s="99"/>
      <c r="R126" s="649"/>
      <c r="S126" s="647"/>
      <c r="T126" s="647"/>
      <c r="U126" s="647"/>
      <c r="V126" s="647"/>
      <c r="W126" s="647"/>
      <c r="X126" s="647"/>
      <c r="Y126" s="647"/>
      <c r="Z126" s="647"/>
      <c r="AA126" s="647"/>
      <c r="AB126" s="647"/>
      <c r="AC126" s="647"/>
      <c r="AD126" s="647"/>
      <c r="AE126" s="647"/>
      <c r="AF126" s="647"/>
      <c r="AG126" s="647"/>
      <c r="AH126" s="648"/>
    </row>
    <row r="127" spans="1:34" ht="14.25" customHeight="1" x14ac:dyDescent="0.2">
      <c r="A127" s="422"/>
      <c r="B127" s="427"/>
      <c r="C127" s="326"/>
      <c r="D127" s="98" t="str">
        <f ca="1">IF(E127="AET",D126&amp;"E","")</f>
        <v/>
      </c>
      <c r="E127" s="373" t="str">
        <f ca="1">IF(AND(F126=H126,F126&lt;&gt;""),"AET","")</f>
        <v/>
      </c>
      <c r="F127" s="374" t="str">
        <f ca="1">IF($E127="AET",FResults!$J$89,"")</f>
        <v/>
      </c>
      <c r="G127" s="374" t="str">
        <f ca="1">IF($E127="","","-")</f>
        <v/>
      </c>
      <c r="H127" s="374" t="str">
        <f ca="1">IF($E127="AET",FResults!$K$89,"")</f>
        <v/>
      </c>
      <c r="I127" s="101"/>
      <c r="J127" s="101"/>
      <c r="K127" s="322"/>
      <c r="L127" s="323"/>
      <c r="M127" s="324"/>
      <c r="N127" s="366"/>
      <c r="O127" s="366"/>
      <c r="P127" s="366"/>
      <c r="Q127" s="99"/>
      <c r="R127" s="649"/>
      <c r="S127" s="647"/>
      <c r="T127" s="647"/>
      <c r="U127" s="647"/>
      <c r="V127" s="647"/>
      <c r="W127" s="647"/>
      <c r="X127" s="647"/>
      <c r="Y127" s="647"/>
      <c r="Z127" s="647"/>
      <c r="AA127" s="647"/>
      <c r="AB127" s="647"/>
      <c r="AC127" s="647"/>
      <c r="AD127" s="647"/>
      <c r="AE127" s="647"/>
      <c r="AF127" s="647"/>
      <c r="AG127" s="647"/>
      <c r="AH127" s="648"/>
    </row>
    <row r="128" spans="1:34" ht="14.25" customHeight="1" x14ac:dyDescent="0.2">
      <c r="A128" s="422"/>
      <c r="B128" s="427"/>
      <c r="C128" s="326"/>
      <c r="D128" s="98" t="str">
        <f ca="1">IF(E128="Penalties",D126&amp;"P","")</f>
        <v/>
      </c>
      <c r="E128" s="375" t="str">
        <f ca="1">IF(AND(F127=H127,F127&lt;&gt;""),"Penalties","")</f>
        <v/>
      </c>
      <c r="F128" s="438" t="str">
        <f ca="1">IF($E128="Penalties",FResults!$L$89,"")</f>
        <v/>
      </c>
      <c r="G128" s="374" t="str">
        <f ca="1">IF($E128="","","-")</f>
        <v/>
      </c>
      <c r="H128" s="438" t="str">
        <f ca="1">IF($E128="Penalties",FResults!$M$89,"")</f>
        <v/>
      </c>
      <c r="I128" s="101"/>
      <c r="J128" s="101"/>
      <c r="K128" s="322"/>
      <c r="L128" s="323"/>
      <c r="M128" s="324"/>
      <c r="N128" s="366"/>
      <c r="O128" s="366"/>
      <c r="P128" s="366"/>
      <c r="Q128" s="99"/>
      <c r="R128" s="649"/>
      <c r="S128" s="647"/>
      <c r="T128" s="647"/>
      <c r="U128" s="647"/>
      <c r="V128" s="647"/>
      <c r="W128" s="647"/>
      <c r="X128" s="647"/>
      <c r="Y128" s="647"/>
      <c r="Z128" s="647"/>
      <c r="AA128" s="647"/>
      <c r="AB128" s="647"/>
      <c r="AC128" s="647"/>
      <c r="AD128" s="647"/>
      <c r="AE128" s="647"/>
      <c r="AF128" s="647"/>
      <c r="AG128" s="647"/>
      <c r="AH128" s="648"/>
    </row>
    <row r="129" spans="1:34" ht="14.25" customHeight="1" x14ac:dyDescent="0.2">
      <c r="A129" s="422" t="str">
        <f>"1K3"&amp;ThirdPlace!G25</f>
        <v>1K3L</v>
      </c>
      <c r="B129" s="427">
        <v>46207</v>
      </c>
      <c r="C129" s="326">
        <v>0.10416666666666667</v>
      </c>
      <c r="D129" s="371" t="s">
        <v>1244</v>
      </c>
      <c r="E129" s="100" t="str">
        <f ca="1">IF(FGrpK!C49=12,FGrpK!B45,"Winner Group K")</f>
        <v>Colombia</v>
      </c>
      <c r="F129" s="436">
        <f ca="1">FResults!$H$90</f>
        <v>2</v>
      </c>
      <c r="G129" s="372" t="s">
        <v>536</v>
      </c>
      <c r="H129" s="437">
        <f ca="1">FResults!$I$90</f>
        <v>0</v>
      </c>
      <c r="I129" s="101" t="str">
        <f ca="1">IF(FThirdPlace!D15=36,FThirdPlace!H25,"Third Place DEIJL")</f>
        <v>Panama</v>
      </c>
      <c r="J129" s="101" t="str">
        <f>Stadium10</f>
        <v>Kansas City Stadium</v>
      </c>
      <c r="K129" s="322"/>
      <c r="L129" s="323" t="str">
        <f ca="1">IF(F129&gt;H129,E129,IF(H129&gt;F129,I129,IF(F130&gt;H130,E129,IF(H130&gt;F130,I129,IF(F131&gt;H131,E129,I129)))))</f>
        <v>Colombia</v>
      </c>
      <c r="M129" s="324"/>
      <c r="N129" s="330">
        <f ca="1">VLOOKUP($D129,FLookup3,20,FALSE)</f>
        <v>0.61486249999999998</v>
      </c>
      <c r="O129" s="330">
        <f ca="1">VLOOKUP($D129,FLookup3,21,FALSE)</f>
        <v>0.19027500000000008</v>
      </c>
      <c r="P129" s="330">
        <f ca="1">VLOOKUP($D129,FLookup3,22,FALSE)</f>
        <v>0.19486249999999999</v>
      </c>
      <c r="Q129" s="99"/>
      <c r="R129" s="649"/>
      <c r="S129" s="647"/>
      <c r="T129" s="647"/>
      <c r="U129" s="647"/>
      <c r="V129" s="647"/>
      <c r="W129" s="647"/>
      <c r="X129" s="647"/>
      <c r="Y129" s="647"/>
      <c r="Z129" s="647"/>
      <c r="AA129" s="647"/>
      <c r="AB129" s="647"/>
      <c r="AC129" s="647"/>
      <c r="AD129" s="647"/>
      <c r="AE129" s="647"/>
      <c r="AF129" s="647"/>
      <c r="AG129" s="647"/>
      <c r="AH129" s="648"/>
    </row>
    <row r="130" spans="1:34" x14ac:dyDescent="0.2">
      <c r="A130" s="422"/>
      <c r="B130" s="428"/>
      <c r="D130" s="98" t="str">
        <f ca="1">IF(E130="AET",D129&amp;"E","")</f>
        <v/>
      </c>
      <c r="E130" s="373" t="str">
        <f ca="1">IF(AND(F129=H129,F129&lt;&gt;""),"AET","")</f>
        <v/>
      </c>
      <c r="F130" s="374" t="str">
        <f ca="1">IF($E130="AET",FResults!$J$90,"")</f>
        <v/>
      </c>
      <c r="G130" s="374" t="str">
        <f ca="1">IF($E130="","","-")</f>
        <v/>
      </c>
      <c r="H130" s="374" t="str">
        <f ca="1">IF($E130="AET",FResults!$K$90,"")</f>
        <v/>
      </c>
      <c r="K130" s="322"/>
      <c r="L130" s="323"/>
      <c r="M130" s="324"/>
      <c r="N130" s="366"/>
      <c r="O130" s="366"/>
      <c r="P130" s="366"/>
      <c r="Q130" s="99"/>
      <c r="R130" s="447" t="s">
        <v>652</v>
      </c>
      <c r="S130" s="449"/>
      <c r="T130" s="449"/>
      <c r="U130" s="449"/>
      <c r="V130" s="449"/>
      <c r="W130" s="449"/>
      <c r="X130" s="449"/>
      <c r="Y130" s="449"/>
      <c r="Z130" s="449"/>
      <c r="AA130" s="449"/>
      <c r="AB130" s="449"/>
      <c r="AC130" s="449"/>
      <c r="AD130" s="449"/>
      <c r="AE130" s="449"/>
      <c r="AF130" s="449"/>
      <c r="AG130" s="449"/>
      <c r="AH130" s="450"/>
    </row>
    <row r="131" spans="1:34" x14ac:dyDescent="0.2">
      <c r="A131" s="422"/>
      <c r="B131" s="428"/>
      <c r="D131" s="98" t="str">
        <f ca="1">IF(E131="Penalties",D129&amp;"P","")</f>
        <v/>
      </c>
      <c r="E131" s="375" t="str">
        <f ca="1">IF(AND(F130=H130,F130&lt;&gt;""),"Penalties","")</f>
        <v/>
      </c>
      <c r="F131" s="438" t="str">
        <f ca="1">IF($E131="Penalties",FResults!$L$90,"")</f>
        <v/>
      </c>
      <c r="G131" s="374" t="str">
        <f ca="1">IF($E131="","","-")</f>
        <v/>
      </c>
      <c r="H131" s="438" t="str">
        <f ca="1">IF($E131="Penalties",FResults!$M$90,"")</f>
        <v/>
      </c>
      <c r="K131" s="322"/>
      <c r="L131" s="323"/>
      <c r="M131" s="324"/>
      <c r="N131" s="366"/>
      <c r="O131" s="366"/>
      <c r="P131" s="366"/>
      <c r="Q131" s="99"/>
      <c r="R131" s="448" t="s">
        <v>663</v>
      </c>
      <c r="S131" s="449"/>
      <c r="T131" s="449"/>
      <c r="U131" s="449"/>
      <c r="V131" s="449"/>
      <c r="W131" s="449"/>
      <c r="X131" s="449"/>
      <c r="Y131" s="449"/>
      <c r="Z131" s="449"/>
      <c r="AA131" s="449"/>
      <c r="AB131" s="449"/>
      <c r="AC131" s="449"/>
      <c r="AD131" s="449"/>
      <c r="AE131" s="449"/>
      <c r="AF131" s="449"/>
      <c r="AG131" s="449"/>
      <c r="AH131" s="450"/>
    </row>
    <row r="132" spans="1:34" ht="15" x14ac:dyDescent="0.2">
      <c r="A132" s="422"/>
      <c r="B132" s="424"/>
      <c r="C132" s="312"/>
      <c r="D132" s="313"/>
      <c r="E132" s="666" t="s">
        <v>531</v>
      </c>
      <c r="F132" s="666"/>
      <c r="G132" s="666"/>
      <c r="H132" s="666"/>
      <c r="I132" s="666"/>
      <c r="J132" s="312"/>
      <c r="K132" s="367"/>
      <c r="L132" s="323"/>
      <c r="M132" s="324"/>
      <c r="N132" s="667" t="s">
        <v>386</v>
      </c>
      <c r="O132" s="667"/>
      <c r="P132" s="667"/>
      <c r="Q132" s="99"/>
      <c r="R132" s="642" t="s">
        <v>664</v>
      </c>
      <c r="S132" s="643"/>
      <c r="T132" s="643"/>
      <c r="U132" s="643"/>
      <c r="V132" s="643"/>
      <c r="W132" s="643"/>
      <c r="X132" s="643"/>
      <c r="Y132" s="643"/>
      <c r="Z132" s="643"/>
      <c r="AA132" s="643"/>
      <c r="AB132" s="643"/>
      <c r="AC132" s="643"/>
      <c r="AD132" s="643"/>
      <c r="AE132" s="643"/>
      <c r="AF132" s="643"/>
      <c r="AG132" s="643"/>
      <c r="AH132" s="644"/>
    </row>
    <row r="133" spans="1:34" ht="15" x14ac:dyDescent="0.2">
      <c r="A133" s="422"/>
      <c r="B133" s="429" t="s">
        <v>111</v>
      </c>
      <c r="C133" s="315" t="s">
        <v>319</v>
      </c>
      <c r="D133" s="316" t="s">
        <v>618</v>
      </c>
      <c r="E133" s="401"/>
      <c r="F133" s="402" t="s">
        <v>337</v>
      </c>
      <c r="G133" s="401"/>
      <c r="H133" s="401"/>
      <c r="I133" s="401"/>
      <c r="J133" s="403" t="s">
        <v>321</v>
      </c>
      <c r="K133" s="369"/>
      <c r="L133" s="323"/>
      <c r="M133" s="324"/>
      <c r="N133" s="370" t="s">
        <v>1</v>
      </c>
      <c r="O133" s="370" t="s">
        <v>25</v>
      </c>
      <c r="P133" s="370" t="s">
        <v>0</v>
      </c>
      <c r="Q133" s="99"/>
      <c r="R133" s="645"/>
      <c r="S133" s="643"/>
      <c r="T133" s="643"/>
      <c r="U133" s="643"/>
      <c r="V133" s="643"/>
      <c r="W133" s="643"/>
      <c r="X133" s="643"/>
      <c r="Y133" s="643"/>
      <c r="Z133" s="643"/>
      <c r="AA133" s="643"/>
      <c r="AB133" s="643"/>
      <c r="AC133" s="643"/>
      <c r="AD133" s="643"/>
      <c r="AE133" s="643"/>
      <c r="AF133" s="643"/>
      <c r="AG133" s="643"/>
      <c r="AH133" s="644"/>
    </row>
    <row r="134" spans="1:34" x14ac:dyDescent="0.2">
      <c r="A134" s="422"/>
      <c r="B134" s="428"/>
      <c r="D134" s="321"/>
      <c r="F134" s="98"/>
      <c r="G134" s="98"/>
      <c r="H134" s="98"/>
      <c r="K134" s="322"/>
      <c r="L134" s="323"/>
      <c r="M134" s="324"/>
      <c r="N134" s="366"/>
      <c r="O134" s="366"/>
      <c r="P134" s="366"/>
      <c r="Q134" s="99"/>
      <c r="R134" s="630" t="s">
        <v>1213</v>
      </c>
      <c r="S134" s="631"/>
      <c r="T134" s="631"/>
      <c r="U134" s="631"/>
      <c r="V134" s="631"/>
      <c r="W134" s="631"/>
      <c r="X134" s="631"/>
      <c r="Y134" s="631"/>
      <c r="Z134" s="631"/>
      <c r="AA134" s="631"/>
      <c r="AB134" s="631"/>
      <c r="AC134" s="631"/>
      <c r="AD134" s="631"/>
      <c r="AE134" s="631"/>
      <c r="AF134" s="631"/>
      <c r="AG134" s="631"/>
      <c r="AH134" s="632"/>
    </row>
    <row r="135" spans="1:34" ht="13.5" x14ac:dyDescent="0.2">
      <c r="A135" s="423" t="s">
        <v>1221</v>
      </c>
      <c r="B135" s="427">
        <v>46207</v>
      </c>
      <c r="C135" s="326">
        <v>0.75</v>
      </c>
      <c r="D135" s="371" t="s">
        <v>1246</v>
      </c>
      <c r="E135" s="100" t="str">
        <f ca="1">L84</f>
        <v>Canada</v>
      </c>
      <c r="F135" s="436">
        <f ca="1">FResults!$H91</f>
        <v>1</v>
      </c>
      <c r="G135" s="372" t="s">
        <v>536</v>
      </c>
      <c r="H135" s="437">
        <f ca="1">FResults!$I$91</f>
        <v>0</v>
      </c>
      <c r="I135" s="101" t="str">
        <f ca="1">L93</f>
        <v>Brazil</v>
      </c>
      <c r="J135" s="101" t="str">
        <f>Stadium9</f>
        <v>Houston Stadium</v>
      </c>
      <c r="K135" s="322"/>
      <c r="L135" s="323" t="str">
        <f ca="1">IF(F135&gt;H135,E135,IF(H135&gt;F135,I135,IF(F136&gt;H136,E135,IF(H136&gt;F136,I135,IF(F137&gt;H137,E135,I135)))))</f>
        <v>Canada</v>
      </c>
      <c r="M135" s="324"/>
      <c r="N135" s="330">
        <f ca="1">VLOOKUP($D135,FLookup3,20,FALSE)</f>
        <v>0.1533367568</v>
      </c>
      <c r="O135" s="330">
        <f ca="1">VLOOKUP($D135,FLookup3,21,FALSE)</f>
        <v>0.16444648640000006</v>
      </c>
      <c r="P135" s="330">
        <f ca="1">VLOOKUP($D135,FLookup3,22,FALSE)</f>
        <v>0.68221675679999993</v>
      </c>
      <c r="Q135" s="99"/>
      <c r="R135" s="646"/>
      <c r="S135" s="631"/>
      <c r="T135" s="631"/>
      <c r="U135" s="631"/>
      <c r="V135" s="631"/>
      <c r="W135" s="631"/>
      <c r="X135" s="631"/>
      <c r="Y135" s="631"/>
      <c r="Z135" s="631"/>
      <c r="AA135" s="631"/>
      <c r="AB135" s="631"/>
      <c r="AC135" s="631"/>
      <c r="AD135" s="631"/>
      <c r="AE135" s="631"/>
      <c r="AF135" s="631"/>
      <c r="AG135" s="631"/>
      <c r="AH135" s="632"/>
    </row>
    <row r="136" spans="1:34" x14ac:dyDescent="0.2">
      <c r="A136" s="422"/>
      <c r="B136" s="427" t="s">
        <v>110</v>
      </c>
      <c r="C136" s="326"/>
      <c r="D136" s="98" t="str">
        <f ca="1">IF(E136="AET",D135&amp;"E","")</f>
        <v/>
      </c>
      <c r="E136" s="373" t="str">
        <f ca="1">IF(AND(F135=H135,F135&lt;&gt;""),"AET","")</f>
        <v/>
      </c>
      <c r="F136" s="374" t="str">
        <f ca="1">IF($E136="AET",FResults!$J$91,"")</f>
        <v/>
      </c>
      <c r="G136" s="374" t="str">
        <f ca="1">IF($E136="","","-")</f>
        <v/>
      </c>
      <c r="H136" s="374" t="str">
        <f ca="1">IF($E136="AET",FResults!$K$91,"")</f>
        <v/>
      </c>
      <c r="I136" s="101"/>
      <c r="J136" s="101"/>
      <c r="K136" s="322"/>
      <c r="L136" s="323"/>
      <c r="M136" s="324"/>
      <c r="N136" s="366"/>
      <c r="O136" s="366"/>
      <c r="P136" s="366"/>
      <c r="Q136" s="99"/>
      <c r="R136" s="646"/>
      <c r="S136" s="631"/>
      <c r="T136" s="631"/>
      <c r="U136" s="631"/>
      <c r="V136" s="631"/>
      <c r="W136" s="631"/>
      <c r="X136" s="631"/>
      <c r="Y136" s="631"/>
      <c r="Z136" s="631"/>
      <c r="AA136" s="631"/>
      <c r="AB136" s="631"/>
      <c r="AC136" s="631"/>
      <c r="AD136" s="631"/>
      <c r="AE136" s="631"/>
      <c r="AF136" s="631"/>
      <c r="AG136" s="631"/>
      <c r="AH136" s="632"/>
    </row>
    <row r="137" spans="1:34" x14ac:dyDescent="0.2">
      <c r="A137" s="422"/>
      <c r="B137" s="427" t="s">
        <v>110</v>
      </c>
      <c r="C137" s="326"/>
      <c r="D137" s="98" t="str">
        <f ca="1">IF(E137="Penalties",D135&amp;"P","")</f>
        <v/>
      </c>
      <c r="E137" s="375" t="str">
        <f ca="1">IF(AND(F136=H136,F136&lt;&gt;""),"Penalties","")</f>
        <v/>
      </c>
      <c r="F137" s="438" t="str">
        <f ca="1">IF($E137="Penalties",FResults!$L$91,"")</f>
        <v/>
      </c>
      <c r="G137" s="374" t="str">
        <f ca="1">IF($E137="","","-")</f>
        <v/>
      </c>
      <c r="H137" s="438" t="str">
        <f ca="1">IF($E137="Penalties",FResults!$M$91,"")</f>
        <v/>
      </c>
      <c r="I137" s="101"/>
      <c r="J137" s="101"/>
      <c r="K137" s="322"/>
      <c r="L137" s="323"/>
      <c r="M137" s="324"/>
      <c r="N137" s="366"/>
      <c r="O137" s="366"/>
      <c r="P137" s="366"/>
      <c r="Q137" s="99"/>
      <c r="R137" s="645"/>
      <c r="S137" s="643"/>
      <c r="T137" s="643"/>
      <c r="U137" s="643"/>
      <c r="V137" s="643"/>
      <c r="W137" s="643"/>
      <c r="X137" s="643"/>
      <c r="Y137" s="643"/>
      <c r="Z137" s="643"/>
      <c r="AA137" s="643"/>
      <c r="AB137" s="643"/>
      <c r="AC137" s="643"/>
      <c r="AD137" s="643"/>
      <c r="AE137" s="643"/>
      <c r="AF137" s="643"/>
      <c r="AG137" s="643"/>
      <c r="AH137" s="644"/>
    </row>
    <row r="138" spans="1:34" ht="15" x14ac:dyDescent="0.2">
      <c r="A138" s="423" t="s">
        <v>1222</v>
      </c>
      <c r="B138" s="427">
        <v>46207</v>
      </c>
      <c r="C138" s="326">
        <v>0.91666666666666663</v>
      </c>
      <c r="D138" s="371" t="s">
        <v>1245</v>
      </c>
      <c r="E138" s="100" t="str">
        <f ca="1">L90</f>
        <v>Cote d'Ivorie</v>
      </c>
      <c r="F138" s="436">
        <f ca="1">FResults!$H$92</f>
        <v>1</v>
      </c>
      <c r="G138" s="372" t="s">
        <v>536</v>
      </c>
      <c r="H138" s="437">
        <f ca="1">FResults!$I$92</f>
        <v>0</v>
      </c>
      <c r="I138" s="101" t="str">
        <f ca="1">L99</f>
        <v>Sweden</v>
      </c>
      <c r="J138" s="101" t="str">
        <f>Stadium14</f>
        <v>Philadelphia Stadium</v>
      </c>
      <c r="K138" s="322"/>
      <c r="L138" s="323" t="str">
        <f ca="1">IF(F138&gt;H138,E138,IF(H138&gt;F138,I138,IF(F139&gt;H139,E138,IF(H139&gt;F139,I138,IF(F140&gt;H140,E138,I138)))))</f>
        <v>Cote d'Ivorie</v>
      </c>
      <c r="M138" s="324"/>
      <c r="N138" s="330">
        <f ca="1">VLOOKUP($D138,FLookup3,20,FALSE)</f>
        <v>0.26235078125</v>
      </c>
      <c r="O138" s="330">
        <f ca="1">VLOOKUP($D138,FLookup3,21,FALSE)</f>
        <v>0.21779843750000005</v>
      </c>
      <c r="P138" s="330">
        <f ca="1">VLOOKUP($D138,FLookup3,22,FALSE)</f>
        <v>0.51985078124999995</v>
      </c>
      <c r="Q138" s="99"/>
      <c r="R138" s="447" t="s">
        <v>665</v>
      </c>
      <c r="S138" s="453"/>
      <c r="T138" s="453"/>
      <c r="U138" s="453"/>
      <c r="V138" s="453"/>
      <c r="W138" s="453"/>
      <c r="X138" s="453"/>
      <c r="Y138" s="453"/>
      <c r="Z138" s="453"/>
      <c r="AA138" s="453"/>
      <c r="AB138" s="453"/>
      <c r="AC138" s="453"/>
      <c r="AD138" s="453"/>
      <c r="AE138" s="453"/>
      <c r="AF138" s="453"/>
      <c r="AG138" s="453"/>
      <c r="AH138" s="454"/>
    </row>
    <row r="139" spans="1:34" x14ac:dyDescent="0.2">
      <c r="A139" s="422"/>
      <c r="B139" s="427" t="s">
        <v>110</v>
      </c>
      <c r="C139" s="326"/>
      <c r="D139" s="98" t="str">
        <f ca="1">IF(E139="AET",D138&amp;"E","")</f>
        <v/>
      </c>
      <c r="E139" s="373" t="str">
        <f ca="1">IF(AND(F138=H138,F138&lt;&gt;""),"AET","")</f>
        <v/>
      </c>
      <c r="F139" s="374" t="str">
        <f ca="1">IF($E139="AET",FResults!$J$92,"")</f>
        <v/>
      </c>
      <c r="G139" s="374" t="str">
        <f ca="1">IF($E139="","","-")</f>
        <v/>
      </c>
      <c r="H139" s="374" t="str">
        <f ca="1">IF($E139="AET",FResults!$K$92,"")</f>
        <v/>
      </c>
      <c r="I139" s="101"/>
      <c r="J139" s="101"/>
      <c r="K139" s="322"/>
      <c r="L139" s="323"/>
      <c r="M139" s="324"/>
      <c r="N139" s="366"/>
      <c r="O139" s="366"/>
      <c r="P139" s="366"/>
      <c r="Q139" s="99"/>
      <c r="R139" s="642" t="s">
        <v>666</v>
      </c>
      <c r="S139" s="659"/>
      <c r="T139" s="659"/>
      <c r="U139" s="659"/>
      <c r="V139" s="659"/>
      <c r="W139" s="659"/>
      <c r="X139" s="659"/>
      <c r="Y139" s="659"/>
      <c r="Z139" s="659"/>
      <c r="AA139" s="659"/>
      <c r="AB139" s="659"/>
      <c r="AC139" s="659"/>
      <c r="AD139" s="659"/>
      <c r="AE139" s="659"/>
      <c r="AF139" s="659"/>
      <c r="AG139" s="659"/>
      <c r="AH139" s="660"/>
    </row>
    <row r="140" spans="1:34" x14ac:dyDescent="0.2">
      <c r="A140" s="422"/>
      <c r="B140" s="427" t="s">
        <v>110</v>
      </c>
      <c r="C140" s="326"/>
      <c r="D140" s="98" t="str">
        <f ca="1">IF(E140="Penalties",D138&amp;"P","")</f>
        <v/>
      </c>
      <c r="E140" s="375" t="str">
        <f ca="1">IF(AND(F139=H139,F139&lt;&gt;""),"Penalties","")</f>
        <v/>
      </c>
      <c r="F140" s="438" t="str">
        <f ca="1">IF($E140="Penalties",FResults!$L$92,"")</f>
        <v/>
      </c>
      <c r="G140" s="374" t="str">
        <f ca="1">IF($E140="","","-")</f>
        <v/>
      </c>
      <c r="H140" s="438" t="str">
        <f ca="1">IF($E140="Penalties",FResults!$M$92,"")</f>
        <v/>
      </c>
      <c r="I140" s="101"/>
      <c r="J140" s="101"/>
      <c r="K140" s="322"/>
      <c r="L140" s="323"/>
      <c r="M140" s="324"/>
      <c r="N140" s="366"/>
      <c r="O140" s="366"/>
      <c r="P140" s="366"/>
      <c r="Q140" s="99"/>
      <c r="R140" s="662"/>
      <c r="S140" s="659"/>
      <c r="T140" s="659"/>
      <c r="U140" s="659"/>
      <c r="V140" s="659"/>
      <c r="W140" s="659"/>
      <c r="X140" s="659"/>
      <c r="Y140" s="659"/>
      <c r="Z140" s="659"/>
      <c r="AA140" s="659"/>
      <c r="AB140" s="659"/>
      <c r="AC140" s="659"/>
      <c r="AD140" s="659"/>
      <c r="AE140" s="659"/>
      <c r="AF140" s="659"/>
      <c r="AG140" s="659"/>
      <c r="AH140" s="660"/>
    </row>
    <row r="141" spans="1:34" ht="13.5" x14ac:dyDescent="0.2">
      <c r="A141" s="423" t="s">
        <v>1223</v>
      </c>
      <c r="B141" s="427">
        <v>46208</v>
      </c>
      <c r="C141" s="326">
        <v>0.875</v>
      </c>
      <c r="D141" s="371" t="s">
        <v>1251</v>
      </c>
      <c r="E141" s="100" t="str">
        <f ca="1">L87</f>
        <v>Morocco</v>
      </c>
      <c r="F141" s="436">
        <f ca="1">FResults!$H$93</f>
        <v>2</v>
      </c>
      <c r="G141" s="372" t="s">
        <v>536</v>
      </c>
      <c r="H141" s="437">
        <f ca="1">FResults!$I$93</f>
        <v>1</v>
      </c>
      <c r="I141" s="101" t="str">
        <f ca="1">L96</f>
        <v>France</v>
      </c>
      <c r="J141" s="101" t="str">
        <f>Stadium13</f>
        <v>MetLife Stadium</v>
      </c>
      <c r="K141" s="322"/>
      <c r="L141" s="323" t="str">
        <f ca="1">IF(F141&gt;H141,E141,IF(H141&gt;F141,I141,IF(F142&gt;H142,E141,IF(H142&gt;F142,I141,IF(F143&gt;H143,E141,I141)))))</f>
        <v>Morocco</v>
      </c>
      <c r="M141" s="324"/>
      <c r="N141" s="330">
        <f ca="1">VLOOKUP($D141,FLookup3,20,FALSE)</f>
        <v>0.22726250000000001</v>
      </c>
      <c r="O141" s="330">
        <f ca="1">VLOOKUP($D141,FLookup3,21,FALSE)</f>
        <v>0.20547499999999999</v>
      </c>
      <c r="P141" s="330">
        <f ca="1">VLOOKUP($D141,FLookup3,22,FALSE)</f>
        <v>0.5672625</v>
      </c>
      <c r="Q141" s="99"/>
      <c r="R141" s="448" t="s">
        <v>653</v>
      </c>
      <c r="S141" s="449"/>
      <c r="T141" s="449"/>
      <c r="U141" s="449"/>
      <c r="V141" s="449"/>
      <c r="W141" s="449"/>
      <c r="X141" s="449"/>
      <c r="Y141" s="449"/>
      <c r="Z141" s="449"/>
      <c r="AA141" s="449"/>
      <c r="AB141" s="449"/>
      <c r="AC141" s="449"/>
      <c r="AD141" s="449"/>
      <c r="AE141" s="449"/>
      <c r="AF141" s="449"/>
      <c r="AG141" s="449"/>
      <c r="AH141" s="450"/>
    </row>
    <row r="142" spans="1:34" x14ac:dyDescent="0.2">
      <c r="A142" s="422"/>
      <c r="B142" s="427" t="s">
        <v>110</v>
      </c>
      <c r="C142" s="326"/>
      <c r="D142" s="98" t="str">
        <f ca="1">IF(E142="AET",D141&amp;"E","")</f>
        <v/>
      </c>
      <c r="E142" s="373" t="str">
        <f ca="1">IF(AND(F141=H141,F141&lt;&gt;""),"AET","")</f>
        <v/>
      </c>
      <c r="F142" s="374" t="str">
        <f ca="1">IF($E142="AET",FResults!$J$93,"")</f>
        <v/>
      </c>
      <c r="G142" s="374" t="str">
        <f ca="1">IF($E142="","","-")</f>
        <v/>
      </c>
      <c r="H142" s="374" t="str">
        <f ca="1">IF($E142="AET",FResults!$K$93,"")</f>
        <v/>
      </c>
      <c r="I142" s="101"/>
      <c r="J142" s="101"/>
      <c r="K142" s="322"/>
      <c r="L142" s="323"/>
      <c r="M142" s="324"/>
      <c r="N142" s="366"/>
      <c r="O142" s="366"/>
      <c r="P142" s="366"/>
      <c r="Q142" s="99"/>
      <c r="R142" s="448" t="s">
        <v>654</v>
      </c>
      <c r="S142" s="449"/>
      <c r="T142" s="449"/>
      <c r="U142" s="449"/>
      <c r="V142" s="449"/>
      <c r="W142" s="449"/>
      <c r="X142" s="449"/>
      <c r="Y142" s="449"/>
      <c r="Z142" s="449"/>
      <c r="AA142" s="449"/>
      <c r="AB142" s="449"/>
      <c r="AC142" s="449"/>
      <c r="AD142" s="449"/>
      <c r="AE142" s="449"/>
      <c r="AF142" s="449"/>
      <c r="AG142" s="449"/>
      <c r="AH142" s="450"/>
    </row>
    <row r="143" spans="1:34" ht="15" x14ac:dyDescent="0.2">
      <c r="A143" s="422"/>
      <c r="B143" s="427" t="s">
        <v>110</v>
      </c>
      <c r="C143" s="326"/>
      <c r="D143" s="98" t="str">
        <f ca="1">IF(E143="Penalties",D141&amp;"P","")</f>
        <v/>
      </c>
      <c r="E143" s="375" t="str">
        <f ca="1">IF(AND(F142=H142,F142&lt;&gt;""),"Penalties","")</f>
        <v/>
      </c>
      <c r="F143" s="438" t="str">
        <f ca="1">IF($E143="Penalties",FResults!$L$93,"")</f>
        <v/>
      </c>
      <c r="G143" s="374" t="str">
        <f ca="1">IF($E143="","","-")</f>
        <v/>
      </c>
      <c r="H143" s="438" t="str">
        <f ca="1">IF($E143="Penalties",FResults!$M$93,"")</f>
        <v/>
      </c>
      <c r="I143" s="101"/>
      <c r="J143" s="101"/>
      <c r="K143" s="322"/>
      <c r="L143" s="323"/>
      <c r="M143" s="324"/>
      <c r="N143" s="366"/>
      <c r="O143" s="366"/>
      <c r="P143" s="366"/>
      <c r="Q143" s="99"/>
      <c r="R143" s="448" t="s">
        <v>655</v>
      </c>
      <c r="S143" s="453"/>
      <c r="T143" s="453"/>
      <c r="U143" s="453"/>
      <c r="V143" s="453"/>
      <c r="W143" s="453"/>
      <c r="X143" s="453"/>
      <c r="Y143" s="453"/>
      <c r="Z143" s="453"/>
      <c r="AA143" s="453"/>
      <c r="AB143" s="453"/>
      <c r="AC143" s="453"/>
      <c r="AD143" s="453"/>
      <c r="AE143" s="453"/>
      <c r="AF143" s="453"/>
      <c r="AG143" s="453"/>
      <c r="AH143" s="454"/>
    </row>
    <row r="144" spans="1:34" ht="13.5" x14ac:dyDescent="0.2">
      <c r="A144" s="423" t="s">
        <v>1224</v>
      </c>
      <c r="B144" s="427">
        <v>46209</v>
      </c>
      <c r="C144" s="326">
        <v>4.1666666666666664E-2</v>
      </c>
      <c r="D144" s="371" t="s">
        <v>1252</v>
      </c>
      <c r="E144" s="100" t="str">
        <f ca="1">L102</f>
        <v>Scotland</v>
      </c>
      <c r="F144" s="436">
        <f ca="1">FResults!$H$94</f>
        <v>0</v>
      </c>
      <c r="G144" s="372" t="s">
        <v>536</v>
      </c>
      <c r="H144" s="437">
        <f ca="1">FResults!$I$94</f>
        <v>2</v>
      </c>
      <c r="I144" s="101" t="str">
        <f ca="1">L105</f>
        <v>England</v>
      </c>
      <c r="J144" s="101" t="str">
        <f>Stadium3</f>
        <v>Mexico City Stadium</v>
      </c>
      <c r="K144" s="322"/>
      <c r="L144" s="323" t="str">
        <f ca="1">IF(F144&gt;H144,E144,IF(H144&gt;F144,I144,IF(F145&gt;H145,E144,IF(H145&gt;F145,I144,IF(F146&gt;H146,E144,I144)))))</f>
        <v>England</v>
      </c>
      <c r="M144" s="324"/>
      <c r="N144" s="330">
        <f ca="1">VLOOKUP($D144,FLookup3,20,FALSE)</f>
        <v>0.10787261405000001</v>
      </c>
      <c r="O144" s="330">
        <f ca="1">VLOOKUP($D144,FLookup3,21,FALSE)</f>
        <v>0.12607477190000008</v>
      </c>
      <c r="P144" s="330">
        <f ca="1">VLOOKUP($D144,FLookup3,22,FALSE)</f>
        <v>0.76605261404999991</v>
      </c>
      <c r="Q144" s="99"/>
      <c r="R144" s="642" t="s">
        <v>667</v>
      </c>
      <c r="S144" s="643"/>
      <c r="T144" s="643"/>
      <c r="U144" s="643"/>
      <c r="V144" s="643"/>
      <c r="W144" s="643"/>
      <c r="X144" s="643"/>
      <c r="Y144" s="643"/>
      <c r="Z144" s="643"/>
      <c r="AA144" s="643"/>
      <c r="AB144" s="643"/>
      <c r="AC144" s="643"/>
      <c r="AD144" s="643"/>
      <c r="AE144" s="643"/>
      <c r="AF144" s="643"/>
      <c r="AG144" s="643"/>
      <c r="AH144" s="644"/>
    </row>
    <row r="145" spans="1:34" x14ac:dyDescent="0.2">
      <c r="A145" s="422"/>
      <c r="B145" s="427" t="s">
        <v>110</v>
      </c>
      <c r="C145" s="326"/>
      <c r="D145" s="98" t="str">
        <f ca="1">IF(E145="AET",D144&amp;"E","")</f>
        <v/>
      </c>
      <c r="E145" s="373" t="str">
        <f ca="1">IF(AND(F144=H144,F144&lt;&gt;""),"AET","")</f>
        <v/>
      </c>
      <c r="F145" s="374" t="str">
        <f ca="1">IF($E145="AET",FResults!$J$94,"")</f>
        <v/>
      </c>
      <c r="G145" s="374" t="str">
        <f ca="1">IF($E145="","","-")</f>
        <v/>
      </c>
      <c r="H145" s="374" t="str">
        <f ca="1">IF($E145="AET",FResults!$K$94,"")</f>
        <v/>
      </c>
      <c r="I145" s="101"/>
      <c r="J145" s="101"/>
      <c r="K145" s="322"/>
      <c r="L145" s="323"/>
      <c r="M145" s="324"/>
      <c r="N145" s="366"/>
      <c r="O145" s="366"/>
      <c r="P145" s="366"/>
      <c r="Q145" s="99"/>
      <c r="R145" s="645"/>
      <c r="S145" s="643"/>
      <c r="T145" s="643"/>
      <c r="U145" s="643"/>
      <c r="V145" s="643"/>
      <c r="W145" s="643"/>
      <c r="X145" s="643"/>
      <c r="Y145" s="643"/>
      <c r="Z145" s="643"/>
      <c r="AA145" s="643"/>
      <c r="AB145" s="643"/>
      <c r="AC145" s="643"/>
      <c r="AD145" s="643"/>
      <c r="AE145" s="643"/>
      <c r="AF145" s="643"/>
      <c r="AG145" s="643"/>
      <c r="AH145" s="644"/>
    </row>
    <row r="146" spans="1:34" x14ac:dyDescent="0.2">
      <c r="A146" s="422"/>
      <c r="B146" s="427" t="s">
        <v>110</v>
      </c>
      <c r="C146" s="326"/>
      <c r="D146" s="98" t="str">
        <f ca="1">IF(E146="Penalties",D144&amp;"P","")</f>
        <v/>
      </c>
      <c r="E146" s="375" t="str">
        <f ca="1">IF(AND(F145=H145,F145&lt;&gt;""),"Penalties","")</f>
        <v/>
      </c>
      <c r="F146" s="438" t="str">
        <f ca="1">IF($E146="Penalties",FResults!$L$94,"")</f>
        <v/>
      </c>
      <c r="G146" s="374" t="str">
        <f ca="1">IF($E146="","","-")</f>
        <v/>
      </c>
      <c r="H146" s="438" t="str">
        <f ca="1">IF($E146="Penalties",FResults!$M$94,"")</f>
        <v/>
      </c>
      <c r="I146" s="101"/>
      <c r="J146" s="101"/>
      <c r="K146" s="322"/>
      <c r="L146" s="323"/>
      <c r="M146" s="324"/>
      <c r="N146" s="366"/>
      <c r="O146" s="366"/>
      <c r="P146" s="366"/>
      <c r="Q146" s="99"/>
      <c r="R146" s="630" t="s">
        <v>1211</v>
      </c>
      <c r="S146" s="631"/>
      <c r="T146" s="631"/>
      <c r="U146" s="631"/>
      <c r="V146" s="631"/>
      <c r="W146" s="631"/>
      <c r="X146" s="631"/>
      <c r="Y146" s="631"/>
      <c r="Z146" s="631"/>
      <c r="AA146" s="631"/>
      <c r="AB146" s="631"/>
      <c r="AC146" s="631"/>
      <c r="AD146" s="631"/>
      <c r="AE146" s="631"/>
      <c r="AF146" s="631"/>
      <c r="AG146" s="631"/>
      <c r="AH146" s="632"/>
    </row>
    <row r="147" spans="1:34" ht="13.5" x14ac:dyDescent="0.2">
      <c r="A147" s="423" t="s">
        <v>1225</v>
      </c>
      <c r="B147" s="427">
        <v>46209</v>
      </c>
      <c r="C147" s="326">
        <v>0.83333333333333337</v>
      </c>
      <c r="D147" s="371" t="s">
        <v>1253</v>
      </c>
      <c r="E147" s="100" t="str">
        <f ca="1">L117</f>
        <v>Portugal</v>
      </c>
      <c r="F147" s="436">
        <f ca="1">FResults!$H$95</f>
        <v>0</v>
      </c>
      <c r="G147" s="372" t="s">
        <v>536</v>
      </c>
      <c r="H147" s="437">
        <f ca="1">FResults!$I$95</f>
        <v>2</v>
      </c>
      <c r="I147" s="101" t="str">
        <f ca="1">L114</f>
        <v>Spain</v>
      </c>
      <c r="J147" s="101" t="str">
        <f>Stadium8</f>
        <v>Dallas Stadium</v>
      </c>
      <c r="K147" s="322"/>
      <c r="L147" s="323" t="str">
        <f ca="1">IF(F147&gt;H147,E147,IF(H147&gt;F147,I147,IF(F148&gt;H148,E147,IF(H148&gt;F148,I147,IF(F149&gt;H149,E147,I147)))))</f>
        <v>Spain</v>
      </c>
      <c r="M147" s="324"/>
      <c r="N147" s="330">
        <f ca="1">VLOOKUP($D147,FLookup3,20,FALSE)</f>
        <v>0.34721953124999999</v>
      </c>
      <c r="O147" s="330">
        <f ca="1">VLOOKUP($D147,FLookup3,21,FALSE)</f>
        <v>0.23306093749999995</v>
      </c>
      <c r="P147" s="330">
        <f ca="1">VLOOKUP($D147,FLookup3,22,FALSE)</f>
        <v>0.41971953125000006</v>
      </c>
      <c r="Q147" s="99"/>
      <c r="R147" s="646"/>
      <c r="S147" s="631"/>
      <c r="T147" s="631"/>
      <c r="U147" s="631"/>
      <c r="V147" s="631"/>
      <c r="W147" s="631"/>
      <c r="X147" s="631"/>
      <c r="Y147" s="631"/>
      <c r="Z147" s="631"/>
      <c r="AA147" s="631"/>
      <c r="AB147" s="631"/>
      <c r="AC147" s="631"/>
      <c r="AD147" s="631"/>
      <c r="AE147" s="631"/>
      <c r="AF147" s="631"/>
      <c r="AG147" s="631"/>
      <c r="AH147" s="632"/>
    </row>
    <row r="148" spans="1:34" x14ac:dyDescent="0.2">
      <c r="A148" s="422"/>
      <c r="B148" s="427" t="s">
        <v>110</v>
      </c>
      <c r="C148" s="326"/>
      <c r="D148" s="98" t="str">
        <f ca="1">IF(E148="AET",D147&amp;"E","")</f>
        <v/>
      </c>
      <c r="E148" s="373" t="str">
        <f ca="1">IF(AND(F147=H147,F147&lt;&gt;""),"AET","")</f>
        <v/>
      </c>
      <c r="F148" s="374" t="str">
        <f ca="1">IF($E148="AET",FResults!$J$95,"")</f>
        <v/>
      </c>
      <c r="G148" s="374" t="str">
        <f ca="1">IF($E148="","","-")</f>
        <v/>
      </c>
      <c r="H148" s="374" t="str">
        <f ca="1">IF($E148="AET",FResults!$K$95,"")</f>
        <v/>
      </c>
      <c r="I148" s="101"/>
      <c r="J148" s="101"/>
      <c r="K148" s="322"/>
      <c r="L148" s="323"/>
      <c r="M148" s="324"/>
      <c r="N148" s="366"/>
      <c r="O148" s="366"/>
      <c r="P148" s="366"/>
      <c r="Q148" s="99"/>
      <c r="R148" s="630" t="s">
        <v>1212</v>
      </c>
      <c r="S148" s="631"/>
      <c r="T148" s="631"/>
      <c r="U148" s="631"/>
      <c r="V148" s="631"/>
      <c r="W148" s="631"/>
      <c r="X148" s="631"/>
      <c r="Y148" s="631"/>
      <c r="Z148" s="631"/>
      <c r="AA148" s="631"/>
      <c r="AB148" s="631"/>
      <c r="AC148" s="631"/>
      <c r="AD148" s="631"/>
      <c r="AE148" s="631"/>
      <c r="AF148" s="631"/>
      <c r="AG148" s="631"/>
      <c r="AH148" s="632"/>
    </row>
    <row r="149" spans="1:34" x14ac:dyDescent="0.2">
      <c r="A149" s="422"/>
      <c r="B149" s="427" t="s">
        <v>110</v>
      </c>
      <c r="C149" s="326"/>
      <c r="D149" s="98" t="str">
        <f ca="1">IF(E149="Penalties",D147&amp;"P","")</f>
        <v/>
      </c>
      <c r="E149" s="375" t="str">
        <f ca="1">IF(AND(F148=H148,F148&lt;&gt;""),"Penalties","")</f>
        <v/>
      </c>
      <c r="F149" s="438" t="str">
        <f ca="1">IF($E149="Penalties",FResults!$L$95,"")</f>
        <v/>
      </c>
      <c r="G149" s="374" t="str">
        <f ca="1">IF($E149="","","-")</f>
        <v/>
      </c>
      <c r="H149" s="438" t="str">
        <f ca="1">IF($E149="Penalties",FResults!$M$95,"")</f>
        <v/>
      </c>
      <c r="I149" s="101"/>
      <c r="J149" s="101"/>
      <c r="K149" s="322"/>
      <c r="L149" s="323"/>
      <c r="M149" s="324"/>
      <c r="N149" s="366"/>
      <c r="O149" s="366"/>
      <c r="P149" s="366"/>
      <c r="Q149" s="99"/>
      <c r="R149" s="633"/>
      <c r="S149" s="634"/>
      <c r="T149" s="634"/>
      <c r="U149" s="634"/>
      <c r="V149" s="634"/>
      <c r="W149" s="634"/>
      <c r="X149" s="634"/>
      <c r="Y149" s="634"/>
      <c r="Z149" s="634"/>
      <c r="AA149" s="634"/>
      <c r="AB149" s="634"/>
      <c r="AC149" s="634"/>
      <c r="AD149" s="634"/>
      <c r="AE149" s="634"/>
      <c r="AF149" s="634"/>
      <c r="AG149" s="634"/>
      <c r="AH149" s="635"/>
    </row>
    <row r="150" spans="1:34" ht="13.5" x14ac:dyDescent="0.2">
      <c r="A150" s="423" t="s">
        <v>1226</v>
      </c>
      <c r="B150" s="427">
        <v>46210</v>
      </c>
      <c r="C150" s="326">
        <v>4.1666666666666664E-2</v>
      </c>
      <c r="D150" s="371" t="s">
        <v>1254</v>
      </c>
      <c r="E150" s="100" t="str">
        <f ca="1">L111</f>
        <v>USA</v>
      </c>
      <c r="F150" s="436">
        <f ca="1">FResults!$H$96</f>
        <v>2</v>
      </c>
      <c r="G150" s="372" t="s">
        <v>536</v>
      </c>
      <c r="H150" s="437">
        <f ca="1">FResults!$I$96</f>
        <v>1</v>
      </c>
      <c r="I150" s="101" t="str">
        <f ca="1">L108</f>
        <v>South Africa</v>
      </c>
      <c r="J150" s="101" t="str">
        <f>Stadium16</f>
        <v>Seattle Stadium</v>
      </c>
      <c r="K150" s="322"/>
      <c r="L150" s="323" t="str">
        <f ca="1">IF(F150&gt;H150,E150,IF(H150&gt;F150,I150,IF(F151&gt;H151,E150,IF(H151&gt;F151,I150,IF(F152&gt;H152,E150,I150)))))</f>
        <v>USA</v>
      </c>
      <c r="M150" s="324"/>
      <c r="N150" s="330">
        <f ca="1">VLOOKUP($D150,FLookup3,20,FALSE)</f>
        <v>0.75161175619999998</v>
      </c>
      <c r="O150" s="330">
        <f ca="1">VLOOKUP($D150,FLookup3,21,FALSE)</f>
        <v>0.13313648759999996</v>
      </c>
      <c r="P150" s="330">
        <f ca="1">VLOOKUP($D150,FLookup3,22,FALSE)</f>
        <v>0.11525175620000003</v>
      </c>
      <c r="Q150" s="99"/>
    </row>
    <row r="151" spans="1:34" x14ac:dyDescent="0.2">
      <c r="A151" s="422"/>
      <c r="B151" s="427" t="s">
        <v>110</v>
      </c>
      <c r="C151" s="326"/>
      <c r="D151" s="98" t="str">
        <f ca="1">IF(E151="AET",D150&amp;"E","")</f>
        <v/>
      </c>
      <c r="E151" s="373" t="str">
        <f ca="1">IF(AND(F150=H150,F150&lt;&gt;""),"AET","")</f>
        <v/>
      </c>
      <c r="F151" s="374" t="str">
        <f ca="1">IF($E151="AET",FResults!$J$96,"")</f>
        <v/>
      </c>
      <c r="G151" s="374" t="str">
        <f ca="1">IF($E151="","","-")</f>
        <v/>
      </c>
      <c r="H151" s="374" t="str">
        <f ca="1">IF($E151="AET",FResults!$K$96,"")</f>
        <v/>
      </c>
      <c r="I151" s="101"/>
      <c r="J151" s="101"/>
      <c r="K151" s="322"/>
      <c r="L151" s="323"/>
      <c r="M151" s="324"/>
      <c r="N151" s="366"/>
      <c r="O151" s="366"/>
      <c r="P151" s="366"/>
      <c r="Q151" s="99"/>
    </row>
    <row r="152" spans="1:34" x14ac:dyDescent="0.2">
      <c r="A152" s="422"/>
      <c r="B152" s="427" t="s">
        <v>110</v>
      </c>
      <c r="C152" s="326"/>
      <c r="D152" s="98" t="str">
        <f ca="1">IF(E152="Penalties",D150&amp;"P","")</f>
        <v/>
      </c>
      <c r="E152" s="375" t="str">
        <f ca="1">IF(AND(F151=H151,F151&lt;&gt;""),"Penalties","")</f>
        <v/>
      </c>
      <c r="F152" s="438" t="str">
        <f ca="1">IF($E152="Penalties",FResults!$L$96,"")</f>
        <v/>
      </c>
      <c r="G152" s="374" t="str">
        <f ca="1">IF($E152="","","-")</f>
        <v/>
      </c>
      <c r="H152" s="438" t="str">
        <f ca="1">IF($E152="Penalties",FResults!$M$96,"")</f>
        <v/>
      </c>
      <c r="I152" s="101"/>
      <c r="J152" s="101"/>
      <c r="K152" s="322"/>
      <c r="L152" s="323"/>
      <c r="M152" s="324"/>
      <c r="N152" s="366"/>
      <c r="O152" s="366"/>
      <c r="P152" s="366"/>
      <c r="Q152" s="99"/>
    </row>
    <row r="153" spans="1:34" ht="13.5" x14ac:dyDescent="0.2">
      <c r="A153" s="423" t="s">
        <v>1227</v>
      </c>
      <c r="B153" s="427">
        <v>46210</v>
      </c>
      <c r="C153" s="326">
        <v>0.70833333333333337</v>
      </c>
      <c r="D153" s="371" t="s">
        <v>1255</v>
      </c>
      <c r="E153" s="100" t="str">
        <f ca="1">L126</f>
        <v>Argentina</v>
      </c>
      <c r="F153" s="436">
        <f ca="1">FResults!$H$97</f>
        <v>2</v>
      </c>
      <c r="G153" s="372" t="s">
        <v>536</v>
      </c>
      <c r="H153" s="437">
        <f ca="1">FResults!$I$97</f>
        <v>1</v>
      </c>
      <c r="I153" s="101" t="str">
        <f ca="1">L123</f>
        <v>IR Iran</v>
      </c>
      <c r="J153" s="101" t="str">
        <f>Stadium6</f>
        <v>Atlanta Stadium</v>
      </c>
      <c r="K153" s="322"/>
      <c r="L153" s="323" t="str">
        <f ca="1">IF(F153&gt;H153,E153,IF(H153&gt;F153,I153,IF(F154&gt;H154,E153,IF(H154&gt;F154,I153,IF(F155&gt;H155,E153,I153)))))</f>
        <v>Argentina</v>
      </c>
      <c r="M153" s="324"/>
      <c r="N153" s="330">
        <f ca="1">VLOOKUP($D153,FLookup3,20,FALSE)</f>
        <v>0.72262050000000011</v>
      </c>
      <c r="O153" s="330">
        <f ca="1">VLOOKUP($D153,FLookup3,21,FALSE)</f>
        <v>0.14675899999999997</v>
      </c>
      <c r="P153" s="330">
        <f ca="1">VLOOKUP($D153,FLookup3,22,FALSE)</f>
        <v>0.13062049999999992</v>
      </c>
      <c r="Q153" s="99"/>
    </row>
    <row r="154" spans="1:34" x14ac:dyDescent="0.2">
      <c r="A154" s="422"/>
      <c r="B154" s="427"/>
      <c r="C154" s="326"/>
      <c r="D154" s="98" t="str">
        <f ca="1">IF(E154="AET",D153&amp;"E","")</f>
        <v/>
      </c>
      <c r="E154" s="373" t="str">
        <f ca="1">IF(AND(F153=H153,F153&lt;&gt;""),"AET","")</f>
        <v/>
      </c>
      <c r="F154" s="374" t="str">
        <f ca="1">IF($E154="AET",FResults!$J$97,"")</f>
        <v/>
      </c>
      <c r="G154" s="374" t="str">
        <f ca="1">IF($E154="","","-")</f>
        <v/>
      </c>
      <c r="H154" s="374" t="str">
        <f ca="1">IF($E154="AET",FResults!$K$97,"")</f>
        <v/>
      </c>
      <c r="I154" s="101"/>
      <c r="J154" s="101"/>
      <c r="K154" s="322"/>
      <c r="L154" s="323"/>
      <c r="M154" s="324"/>
      <c r="N154" s="366"/>
      <c r="O154" s="366"/>
      <c r="P154" s="366"/>
      <c r="Q154" s="99"/>
    </row>
    <row r="155" spans="1:34" x14ac:dyDescent="0.2">
      <c r="A155" s="422"/>
      <c r="B155" s="427"/>
      <c r="C155" s="326"/>
      <c r="D155" s="98" t="str">
        <f ca="1">IF(E155="Penalties",D153&amp;"P","")</f>
        <v/>
      </c>
      <c r="E155" s="375" t="str">
        <f ca="1">IF(AND(F154=H154,F154&lt;&gt;""),"Penalties","")</f>
        <v/>
      </c>
      <c r="F155" s="438" t="str">
        <f ca="1">IF($E155="Penalties",FResults!$L$97,"")</f>
        <v/>
      </c>
      <c r="G155" s="374" t="str">
        <f ca="1">IF($E155="","","-")</f>
        <v/>
      </c>
      <c r="H155" s="438" t="str">
        <f ca="1">IF($E155="Penalties",FResults!$M$97,"")</f>
        <v/>
      </c>
      <c r="I155" s="101"/>
      <c r="J155" s="101"/>
      <c r="K155" s="322"/>
      <c r="L155" s="323"/>
      <c r="M155" s="324"/>
      <c r="N155" s="366"/>
      <c r="O155" s="366"/>
      <c r="P155" s="366"/>
      <c r="Q155" s="99"/>
    </row>
    <row r="156" spans="1:34" ht="13.5" x14ac:dyDescent="0.2">
      <c r="A156" s="423" t="s">
        <v>1228</v>
      </c>
      <c r="B156" s="427">
        <v>46210</v>
      </c>
      <c r="C156" s="326">
        <v>0.875</v>
      </c>
      <c r="D156" s="371" t="s">
        <v>1256</v>
      </c>
      <c r="E156" s="100" t="str">
        <f ca="1">L120</f>
        <v>Belgium</v>
      </c>
      <c r="F156" s="436">
        <f ca="1">FResults!$H$98</f>
        <v>1</v>
      </c>
      <c r="G156" s="372" t="s">
        <v>536</v>
      </c>
      <c r="H156" s="437">
        <f ca="1">FResults!$I$98</f>
        <v>3</v>
      </c>
      <c r="I156" s="101" t="str">
        <f ca="1">L129</f>
        <v>Colombia</v>
      </c>
      <c r="J156" s="101" t="str">
        <f>Stadium2</f>
        <v>BC Place Vancouver</v>
      </c>
      <c r="K156" s="322"/>
      <c r="L156" s="323" t="str">
        <f ca="1">IF(F156&gt;H156,E156,IF(H156&gt;F156,I156,IF(F157&gt;H157,E156,IF(H157&gt;F157,I156,IF(F158&gt;H158,E156,I156)))))</f>
        <v>Colombia</v>
      </c>
      <c r="M156" s="324"/>
      <c r="N156" s="330">
        <f ca="1">VLOOKUP($D156,FLookup3,20,FALSE)</f>
        <v>0.39430782245000007</v>
      </c>
      <c r="O156" s="330">
        <f ca="1">VLOOKUP($D156,FLookup3,21,FALSE)</f>
        <v>0.23424435509999997</v>
      </c>
      <c r="P156" s="330">
        <f ca="1">VLOOKUP($D156,FLookup3,22,FALSE)</f>
        <v>0.37144782244999996</v>
      </c>
      <c r="Q156" s="99"/>
    </row>
    <row r="157" spans="1:34" x14ac:dyDescent="0.2">
      <c r="A157" s="422"/>
      <c r="B157" s="428"/>
      <c r="D157" s="98" t="str">
        <f ca="1">IF(E157="AET",D156&amp;"E","")</f>
        <v/>
      </c>
      <c r="E157" s="373" t="str">
        <f ca="1">IF(AND(F156=H156,F156&lt;&gt;""),"AET","")</f>
        <v/>
      </c>
      <c r="F157" s="374" t="str">
        <f ca="1">IF($E157="AET",FResults!$J$98,"")</f>
        <v/>
      </c>
      <c r="G157" s="374" t="str">
        <f ca="1">IF($E157="","","-")</f>
        <v/>
      </c>
      <c r="H157" s="374" t="str">
        <f ca="1">IF($E157="AET",FResults!$K$98,"")</f>
        <v/>
      </c>
      <c r="K157" s="322"/>
      <c r="L157" s="323"/>
      <c r="M157" s="324"/>
      <c r="N157" s="366"/>
      <c r="O157" s="366"/>
      <c r="P157" s="366"/>
      <c r="Q157" s="99"/>
    </row>
    <row r="158" spans="1:34" x14ac:dyDescent="0.2">
      <c r="A158" s="422"/>
      <c r="B158" s="428"/>
      <c r="D158" s="98" t="str">
        <f ca="1">IF(E158="Penalties",D156&amp;"P","")</f>
        <v/>
      </c>
      <c r="E158" s="375" t="str">
        <f ca="1">IF(AND(F157=H157,F157&lt;&gt;""),"Penalties","")</f>
        <v/>
      </c>
      <c r="F158" s="438" t="str">
        <f ca="1">IF($E158="Penalties",FResults!$L$98,"")</f>
        <v/>
      </c>
      <c r="G158" s="374" t="str">
        <f ca="1">IF($E158="","","-")</f>
        <v/>
      </c>
      <c r="H158" s="438" t="str">
        <f ca="1">IF($E158="Penalties",FResults!$M$98,"")</f>
        <v/>
      </c>
      <c r="K158" s="322"/>
      <c r="L158" s="323"/>
      <c r="M158" s="324"/>
      <c r="N158" s="366"/>
      <c r="O158" s="366"/>
      <c r="P158" s="366"/>
      <c r="Q158" s="99"/>
    </row>
    <row r="159" spans="1:34" ht="15" x14ac:dyDescent="0.2">
      <c r="A159" s="422"/>
      <c r="B159" s="424"/>
      <c r="C159" s="312"/>
      <c r="D159" s="313"/>
      <c r="E159" s="666" t="s">
        <v>395</v>
      </c>
      <c r="F159" s="666"/>
      <c r="G159" s="666"/>
      <c r="H159" s="666"/>
      <c r="I159" s="666"/>
      <c r="J159" s="312"/>
      <c r="K159" s="367"/>
      <c r="L159" s="323"/>
      <c r="M159" s="324"/>
      <c r="N159" s="667" t="s">
        <v>386</v>
      </c>
      <c r="O159" s="667"/>
      <c r="P159" s="667"/>
      <c r="Q159" s="99"/>
    </row>
    <row r="160" spans="1:34" ht="15" x14ac:dyDescent="0.2">
      <c r="A160" s="422"/>
      <c r="B160" s="430" t="s">
        <v>111</v>
      </c>
      <c r="C160" s="315" t="s">
        <v>319</v>
      </c>
      <c r="D160" s="316" t="s">
        <v>618</v>
      </c>
      <c r="E160" s="405"/>
      <c r="F160" s="402" t="s">
        <v>337</v>
      </c>
      <c r="G160" s="405"/>
      <c r="H160" s="405"/>
      <c r="I160" s="405"/>
      <c r="J160" s="406" t="s">
        <v>321</v>
      </c>
      <c r="K160" s="369"/>
      <c r="L160" s="323"/>
      <c r="M160" s="324"/>
      <c r="N160" s="370" t="s">
        <v>1</v>
      </c>
      <c r="O160" s="370" t="s">
        <v>25</v>
      </c>
      <c r="P160" s="370" t="s">
        <v>0</v>
      </c>
      <c r="Q160" s="99"/>
    </row>
    <row r="161" spans="1:17" x14ac:dyDescent="0.2">
      <c r="A161" s="422"/>
      <c r="B161" s="428"/>
      <c r="D161" s="321"/>
      <c r="F161" s="98"/>
      <c r="G161" s="98"/>
      <c r="H161" s="98"/>
      <c r="J161" s="101"/>
      <c r="K161" s="322"/>
      <c r="L161" s="323"/>
      <c r="M161" s="324"/>
      <c r="N161" s="366"/>
      <c r="O161" s="366"/>
      <c r="P161" s="366"/>
      <c r="Q161" s="99"/>
    </row>
    <row r="162" spans="1:17" ht="13.5" x14ac:dyDescent="0.2">
      <c r="A162" s="423" t="s">
        <v>1247</v>
      </c>
      <c r="B162" s="427">
        <v>46212</v>
      </c>
      <c r="C162" s="326">
        <v>0.875</v>
      </c>
      <c r="D162" s="371" t="s">
        <v>1262</v>
      </c>
      <c r="E162" s="100" t="str">
        <f ca="1">L138</f>
        <v>Cote d'Ivorie</v>
      </c>
      <c r="F162" s="436">
        <f ca="1">FResults!$H$99</f>
        <v>0</v>
      </c>
      <c r="G162" s="372" t="s">
        <v>536</v>
      </c>
      <c r="H162" s="437">
        <f ca="1">FResults!$I$99</f>
        <v>1</v>
      </c>
      <c r="I162" s="101" t="str">
        <f ca="1">L135</f>
        <v>Canada</v>
      </c>
      <c r="J162" s="101" t="str">
        <f>Stadium7</f>
        <v>Boston Stadium</v>
      </c>
      <c r="K162" s="322"/>
      <c r="L162" s="323" t="str">
        <f ca="1">IF(F162&gt;H162,E162,IF(H162&gt;F162,I162,IF(F163&gt;H163,E162,IF(H163&gt;F163,I162,IF(F164&gt;H164,E162,I162)))))</f>
        <v>Canada</v>
      </c>
      <c r="M162" s="324"/>
      <c r="N162" s="330">
        <f ca="1">VLOOKUP($D162,FLookup3,20,FALSE)</f>
        <v>0.25153828125</v>
      </c>
      <c r="O162" s="330">
        <f ca="1">VLOOKUP($D162,FLookup3,21,FALSE)</f>
        <v>0.21442343750000004</v>
      </c>
      <c r="P162" s="330">
        <f ca="1">VLOOKUP($D162,FLookup3,22,FALSE)</f>
        <v>0.53403828124999997</v>
      </c>
      <c r="Q162" s="99"/>
    </row>
    <row r="163" spans="1:17" x14ac:dyDescent="0.2">
      <c r="A163" s="422"/>
      <c r="B163" s="427" t="s">
        <v>110</v>
      </c>
      <c r="C163" s="326"/>
      <c r="D163" s="98" t="str">
        <f ca="1">IF(E163="AET",D162&amp;"E","")</f>
        <v/>
      </c>
      <c r="E163" s="373" t="str">
        <f ca="1">IF(AND(F162=H162,F162&lt;&gt;""),"AET","")</f>
        <v/>
      </c>
      <c r="F163" s="374" t="str">
        <f ca="1">IF($E163="AET",FResults!$J$99,"")</f>
        <v/>
      </c>
      <c r="G163" s="374" t="str">
        <f ca="1">IF($E163="","","-")</f>
        <v/>
      </c>
      <c r="H163" s="374" t="str">
        <f ca="1">IF($E163="AET",FResults!$K$99,"")</f>
        <v/>
      </c>
      <c r="I163" s="101"/>
      <c r="J163" s="101"/>
      <c r="K163" s="322"/>
      <c r="L163" s="323"/>
      <c r="M163" s="324"/>
      <c r="N163" s="366"/>
      <c r="O163" s="366"/>
      <c r="P163" s="366"/>
      <c r="Q163" s="99"/>
    </row>
    <row r="164" spans="1:17" x14ac:dyDescent="0.2">
      <c r="A164" s="422"/>
      <c r="B164" s="427" t="s">
        <v>110</v>
      </c>
      <c r="C164" s="326"/>
      <c r="D164" s="98" t="str">
        <f ca="1">IF(E164="Penalties",D162&amp;"P","")</f>
        <v/>
      </c>
      <c r="E164" s="375" t="str">
        <f ca="1">IF(AND(F163=H163,F163&lt;&gt;""),"Penalties","")</f>
        <v/>
      </c>
      <c r="F164" s="438" t="str">
        <f ca="1">IF($E164="Penalties",FResults!$L$99,"")</f>
        <v/>
      </c>
      <c r="G164" s="374" t="str">
        <f ca="1">IF($E164="","","-")</f>
        <v/>
      </c>
      <c r="H164" s="438" t="str">
        <f ca="1">IF($E164="Penalties",FResults!$M$99,"")</f>
        <v/>
      </c>
      <c r="I164" s="101"/>
      <c r="J164" s="101"/>
      <c r="K164" s="322"/>
      <c r="L164" s="323"/>
      <c r="M164" s="324"/>
      <c r="N164" s="366"/>
      <c r="O164" s="366"/>
      <c r="P164" s="366"/>
      <c r="Q164" s="99"/>
    </row>
    <row r="165" spans="1:17" ht="13.5" x14ac:dyDescent="0.2">
      <c r="A165" s="423" t="s">
        <v>1248</v>
      </c>
      <c r="B165" s="427">
        <v>46213</v>
      </c>
      <c r="C165" s="326">
        <v>0.83333333333333337</v>
      </c>
      <c r="D165" s="371" t="s">
        <v>1263</v>
      </c>
      <c r="E165" s="100" t="str">
        <f ca="1">L147</f>
        <v>Spain</v>
      </c>
      <c r="F165" s="436">
        <f ca="1">FResults!$H$100</f>
        <v>1</v>
      </c>
      <c r="G165" s="372" t="s">
        <v>536</v>
      </c>
      <c r="H165" s="437">
        <f ca="1">FResults!$I$100</f>
        <v>0</v>
      </c>
      <c r="I165" s="101" t="str">
        <f ca="1">L150</f>
        <v>USA</v>
      </c>
      <c r="J165" s="101" t="str">
        <f>Stadium11</f>
        <v>Los Angeles Stadium</v>
      </c>
      <c r="K165" s="322"/>
      <c r="L165" s="323" t="str">
        <f ca="1">IF(F165&gt;H165,E165,IF(H165&gt;F165,I165,IF(F166&gt;H166,E165,IF(H166&gt;F166,I165,IF(F167&gt;H167,E165,I165)))))</f>
        <v>Spain</v>
      </c>
      <c r="M165" s="324"/>
      <c r="N165" s="330">
        <f ca="1">VLOOKUP($D165,FLookup3,20,FALSE)</f>
        <v>0.59384062500000001</v>
      </c>
      <c r="O165" s="330">
        <f ca="1">VLOOKUP($D165,FLookup3,21,FALSE)</f>
        <v>0.19731874999999999</v>
      </c>
      <c r="P165" s="330">
        <f ca="1">VLOOKUP($D165,FLookup3,22,FALSE)</f>
        <v>0.208840625</v>
      </c>
      <c r="Q165" s="99"/>
    </row>
    <row r="166" spans="1:17" x14ac:dyDescent="0.2">
      <c r="A166" s="422"/>
      <c r="B166" s="427" t="s">
        <v>110</v>
      </c>
      <c r="C166" s="326"/>
      <c r="D166" s="98" t="str">
        <f ca="1">IF(E166="AET",D165&amp;"E","")</f>
        <v/>
      </c>
      <c r="E166" s="373" t="str">
        <f ca="1">IF(AND(F165=H165,F165&lt;&gt;""),"AET","")</f>
        <v/>
      </c>
      <c r="F166" s="374" t="str">
        <f ca="1">IF($E166="AET",FResults!$J$100,"")</f>
        <v/>
      </c>
      <c r="G166" s="374" t="str">
        <f ca="1">IF($E166="","","-")</f>
        <v/>
      </c>
      <c r="H166" s="374" t="str">
        <f ca="1">IF($E166="AET",FResults!$K$100,"")</f>
        <v/>
      </c>
      <c r="I166" s="101"/>
      <c r="J166" s="101"/>
      <c r="K166" s="322"/>
      <c r="L166" s="323"/>
      <c r="M166" s="324"/>
      <c r="N166" s="366"/>
      <c r="O166" s="366"/>
      <c r="P166" s="366"/>
      <c r="Q166" s="99"/>
    </row>
    <row r="167" spans="1:17" x14ac:dyDescent="0.2">
      <c r="A167" s="422"/>
      <c r="B167" s="427" t="s">
        <v>110</v>
      </c>
      <c r="C167" s="326"/>
      <c r="D167" s="98" t="str">
        <f ca="1">IF(E167="Penalties",D165&amp;"P","")</f>
        <v/>
      </c>
      <c r="E167" s="375" t="str">
        <f ca="1">IF(AND(F166=H166,F166&lt;&gt;""),"Penalties","")</f>
        <v/>
      </c>
      <c r="F167" s="438" t="str">
        <f ca="1">IF($E167="Penalties",FResults!$L$100,"")</f>
        <v/>
      </c>
      <c r="G167" s="374" t="str">
        <f ca="1">IF($E167="","","-")</f>
        <v/>
      </c>
      <c r="H167" s="438" t="str">
        <f ca="1">IF($E167="Penalties",FResults!$M$100,"")</f>
        <v/>
      </c>
      <c r="I167" s="101"/>
      <c r="J167" s="101"/>
      <c r="K167" s="322"/>
      <c r="L167" s="323"/>
      <c r="M167" s="324"/>
      <c r="N167" s="366"/>
      <c r="O167" s="366"/>
      <c r="P167" s="366"/>
      <c r="Q167" s="99"/>
    </row>
    <row r="168" spans="1:17" ht="13.5" x14ac:dyDescent="0.2">
      <c r="A168" s="423" t="s">
        <v>1249</v>
      </c>
      <c r="B168" s="427">
        <v>46214</v>
      </c>
      <c r="C168" s="326">
        <v>0.91666666666666663</v>
      </c>
      <c r="D168" s="371" t="s">
        <v>1264</v>
      </c>
      <c r="E168" s="100" t="str">
        <f ca="1">L141</f>
        <v>Morocco</v>
      </c>
      <c r="F168" s="436">
        <f ca="1">FResults!$H$101</f>
        <v>2</v>
      </c>
      <c r="G168" s="372" t="s">
        <v>536</v>
      </c>
      <c r="H168" s="437">
        <f ca="1">FResults!$I$101</f>
        <v>1</v>
      </c>
      <c r="I168" s="101" t="str">
        <f ca="1">L144</f>
        <v>England</v>
      </c>
      <c r="J168" s="101" t="str">
        <f>Stadium12</f>
        <v>Miami Stadium</v>
      </c>
      <c r="K168" s="322"/>
      <c r="L168" s="323" t="str">
        <f ca="1">IF(F168&gt;H168,E168,IF(H168&gt;F168,I168,IF(F169&gt;H169,E168,IF(H169&gt;F169,I168,IF(F170&gt;H170,E168,I168)))))</f>
        <v>Morocco</v>
      </c>
      <c r="M168" s="324"/>
      <c r="N168" s="330">
        <f ca="1">VLOOKUP($D168,FLookup3,20,FALSE)</f>
        <v>0.24512578125000001</v>
      </c>
      <c r="O168" s="330">
        <f ca="1">VLOOKUP($D168,FLookup3,21,FALSE)</f>
        <v>0.21224843750000005</v>
      </c>
      <c r="P168" s="330">
        <f ca="1">VLOOKUP($D168,FLookup3,22,FALSE)</f>
        <v>0.54262578124999994</v>
      </c>
      <c r="Q168" s="99"/>
    </row>
    <row r="169" spans="1:17" x14ac:dyDescent="0.2">
      <c r="A169" s="422"/>
      <c r="B169" s="427"/>
      <c r="C169" s="326"/>
      <c r="D169" s="98" t="str">
        <f ca="1">IF(E169="AET",D168&amp;"E","")</f>
        <v/>
      </c>
      <c r="E169" s="373" t="str">
        <f ca="1">IF(AND(F168=H168,F168&lt;&gt;""),"AET","")</f>
        <v/>
      </c>
      <c r="F169" s="374" t="str">
        <f ca="1">IF($E169="AET",FResults!$J$101,"")</f>
        <v/>
      </c>
      <c r="G169" s="374" t="str">
        <f ca="1">IF($E169="","","-")</f>
        <v/>
      </c>
      <c r="H169" s="374" t="str">
        <f ca="1">IF($E169="AET",FResults!$K$101,"")</f>
        <v/>
      </c>
      <c r="I169" s="101"/>
      <c r="J169" s="101"/>
      <c r="K169" s="322"/>
      <c r="L169" s="323"/>
      <c r="M169" s="324"/>
      <c r="N169" s="366"/>
      <c r="O169" s="366"/>
      <c r="P169" s="366"/>
      <c r="Q169" s="99"/>
    </row>
    <row r="170" spans="1:17" x14ac:dyDescent="0.2">
      <c r="A170" s="422"/>
      <c r="B170" s="431"/>
      <c r="C170" s="326"/>
      <c r="D170" s="98" t="str">
        <f ca="1">IF(E170="Penalties",D168&amp;"P","")</f>
        <v/>
      </c>
      <c r="E170" s="375" t="str">
        <f ca="1">IF(AND(F169=H169,F169&lt;&gt;""),"Penalties","")</f>
        <v/>
      </c>
      <c r="F170" s="438" t="str">
        <f ca="1">IF($E170="Penalties",FResults!$L$101,"")</f>
        <v/>
      </c>
      <c r="G170" s="374" t="str">
        <f ca="1">IF($E170="","","-")</f>
        <v/>
      </c>
      <c r="H170" s="438" t="str">
        <f ca="1">IF($E170="Penalties",FResults!$M$101,"")</f>
        <v/>
      </c>
      <c r="I170" s="101"/>
      <c r="K170" s="322"/>
      <c r="L170" s="323"/>
      <c r="M170" s="324"/>
      <c r="N170" s="366"/>
      <c r="O170" s="366"/>
      <c r="P170" s="366"/>
      <c r="Q170" s="99"/>
    </row>
    <row r="171" spans="1:17" ht="13.5" x14ac:dyDescent="0.2">
      <c r="A171" s="423" t="s">
        <v>1250</v>
      </c>
      <c r="B171" s="427">
        <v>46215</v>
      </c>
      <c r="C171" s="326">
        <v>8.3333333333333329E-2</v>
      </c>
      <c r="D171" s="371" t="s">
        <v>1265</v>
      </c>
      <c r="E171" s="100" t="str">
        <f ca="1">L153</f>
        <v>Argentina</v>
      </c>
      <c r="F171" s="436">
        <f ca="1">FResults!$H$102</f>
        <v>3</v>
      </c>
      <c r="G171" s="372" t="s">
        <v>536</v>
      </c>
      <c r="H171" s="437">
        <f ca="1">FResults!$I$102</f>
        <v>0</v>
      </c>
      <c r="I171" s="101" t="str">
        <f ca="1">L156</f>
        <v>Colombia</v>
      </c>
      <c r="J171" s="101" t="str">
        <f>Stadium10</f>
        <v>Kansas City Stadium</v>
      </c>
      <c r="K171" s="322"/>
      <c r="L171" s="323" t="str">
        <f ca="1">IF(F171&gt;H171,E171,IF(H171&gt;F171,I171,IF(F172&gt;H172,E171,IF(H172&gt;F172,I171,IF(F173&gt;H173,E171,I171)))))</f>
        <v>Argentina</v>
      </c>
      <c r="M171" s="324"/>
      <c r="N171" s="330">
        <f ca="1">VLOOKUP($D171,FLookup3,20,FALSE)</f>
        <v>0.48781249999999998</v>
      </c>
      <c r="O171" s="330">
        <f ca="1">VLOOKUP($D171,FLookup3,21,FALSE)</f>
        <v>0.22437499999999999</v>
      </c>
      <c r="P171" s="330">
        <f ca="1">VLOOKUP($D171,FLookup3,22,FALSE)</f>
        <v>0.28781250000000003</v>
      </c>
      <c r="Q171" s="99"/>
    </row>
    <row r="172" spans="1:17" x14ac:dyDescent="0.2">
      <c r="A172" s="422"/>
      <c r="B172" s="427" t="s">
        <v>110</v>
      </c>
      <c r="C172" s="326"/>
      <c r="D172" s="98" t="str">
        <f ca="1">IF(E172="AET",D171&amp;"E","")</f>
        <v/>
      </c>
      <c r="E172" s="373" t="str">
        <f ca="1">IF(AND(F171=H171,F171&lt;&gt;""),"AET","")</f>
        <v/>
      </c>
      <c r="F172" s="374" t="str">
        <f ca="1">IF($E172="AET",FResults!$J$102,"")</f>
        <v/>
      </c>
      <c r="G172" s="374" t="str">
        <f ca="1">IF($E172="","","-")</f>
        <v/>
      </c>
      <c r="H172" s="374" t="str">
        <f ca="1">IF($E172="AET",FResults!$K$102,"")</f>
        <v/>
      </c>
      <c r="I172" s="101"/>
      <c r="J172" s="101"/>
      <c r="K172" s="322"/>
      <c r="L172" s="323"/>
      <c r="M172" s="324"/>
      <c r="N172" s="366"/>
      <c r="O172" s="366"/>
      <c r="P172" s="366"/>
      <c r="Q172" s="99"/>
    </row>
    <row r="173" spans="1:17" x14ac:dyDescent="0.2">
      <c r="A173" s="422"/>
      <c r="B173" s="427" t="s">
        <v>110</v>
      </c>
      <c r="C173" s="326"/>
      <c r="D173" s="98" t="str">
        <f ca="1">IF(E173="Penalties",D171&amp;"P","")</f>
        <v/>
      </c>
      <c r="E173" s="375" t="str">
        <f ca="1">IF(AND(F172=H172,F172&lt;&gt;""),"Penalties","")</f>
        <v/>
      </c>
      <c r="F173" s="438" t="str">
        <f ca="1">IF($E173="Penalties",FResults!$L$102,"")</f>
        <v/>
      </c>
      <c r="G173" s="374" t="str">
        <f ca="1">IF($E173="","","-")</f>
        <v/>
      </c>
      <c r="H173" s="438" t="str">
        <f ca="1">IF($E173="Penalties",FResults!$M$102,"")</f>
        <v/>
      </c>
      <c r="I173" s="101"/>
      <c r="J173" s="101"/>
      <c r="K173" s="322"/>
      <c r="L173" s="323"/>
      <c r="M173" s="324"/>
      <c r="N173" s="366"/>
      <c r="O173" s="366"/>
      <c r="P173" s="366"/>
      <c r="Q173" s="99"/>
    </row>
    <row r="174" spans="1:17" ht="15" x14ac:dyDescent="0.2">
      <c r="A174" s="422"/>
      <c r="B174" s="424"/>
      <c r="C174" s="312"/>
      <c r="D174" s="313"/>
      <c r="E174" s="666" t="s">
        <v>394</v>
      </c>
      <c r="F174" s="666"/>
      <c r="G174" s="666"/>
      <c r="H174" s="666"/>
      <c r="I174" s="666"/>
      <c r="J174" s="312"/>
      <c r="K174" s="367"/>
      <c r="L174" s="323"/>
      <c r="M174" s="324"/>
      <c r="N174" s="667" t="s">
        <v>386</v>
      </c>
      <c r="O174" s="667"/>
      <c r="P174" s="667"/>
      <c r="Q174" s="99"/>
    </row>
    <row r="175" spans="1:17" ht="15" x14ac:dyDescent="0.2">
      <c r="A175" s="422"/>
      <c r="B175" s="430" t="s">
        <v>111</v>
      </c>
      <c r="C175" s="315" t="s">
        <v>319</v>
      </c>
      <c r="D175" s="316" t="s">
        <v>618</v>
      </c>
      <c r="E175" s="405"/>
      <c r="F175" s="402" t="s">
        <v>337</v>
      </c>
      <c r="G175" s="405"/>
      <c r="H175" s="405"/>
      <c r="I175" s="405"/>
      <c r="J175" s="406" t="s">
        <v>321</v>
      </c>
      <c r="K175" s="369"/>
      <c r="L175" s="323"/>
      <c r="M175" s="324"/>
      <c r="N175" s="370"/>
      <c r="O175" s="370"/>
      <c r="P175" s="370"/>
      <c r="Q175" s="99"/>
    </row>
    <row r="176" spans="1:17" x14ac:dyDescent="0.2">
      <c r="A176" s="422"/>
      <c r="B176" s="428"/>
      <c r="D176" s="321"/>
      <c r="F176" s="98"/>
      <c r="G176" s="98"/>
      <c r="H176" s="98"/>
      <c r="J176" s="101"/>
      <c r="K176" s="322"/>
      <c r="L176" s="323"/>
      <c r="M176" s="324"/>
      <c r="N176" s="366"/>
      <c r="O176" s="366"/>
      <c r="P176" s="366"/>
      <c r="Q176" s="99"/>
    </row>
    <row r="177" spans="1:17" ht="13.5" x14ac:dyDescent="0.2">
      <c r="A177" s="423" t="s">
        <v>1261</v>
      </c>
      <c r="B177" s="427">
        <v>46217</v>
      </c>
      <c r="C177" s="326">
        <v>0.83333333333333337</v>
      </c>
      <c r="D177" s="371" t="s">
        <v>1257</v>
      </c>
      <c r="E177" s="100" t="str">
        <f ca="1">L162</f>
        <v>Canada</v>
      </c>
      <c r="F177" s="436">
        <f ca="1">FResults!$H$103</f>
        <v>0</v>
      </c>
      <c r="G177" s="372" t="s">
        <v>536</v>
      </c>
      <c r="H177" s="437">
        <f ca="1">FResults!$I$103</f>
        <v>4</v>
      </c>
      <c r="I177" s="101" t="str">
        <f ca="1">L165</f>
        <v>Spain</v>
      </c>
      <c r="J177" s="101" t="str">
        <f>Stadium8</f>
        <v>Dallas Stadium</v>
      </c>
      <c r="K177" s="322"/>
      <c r="L177" s="323" t="str">
        <f ca="1">IF(F177&gt;H177,E177,IF(H177&gt;F177,I177,IF(F178&gt;H178,E177,IF(H178&gt;F178,I177,IF(F179&gt;H179,E177,I177)))))</f>
        <v>Spain</v>
      </c>
      <c r="M177" s="324" t="str">
        <f ca="1">IF(F177&lt;H177,E177,IF(H177&lt;F177,I177,IF(F178&lt;H178,E177,IF(H178&lt;F178,I177,IF(F179&lt;H179,E177,I177)))))</f>
        <v>Canada</v>
      </c>
      <c r="N177" s="330">
        <f ca="1">VLOOKUP($D177,FLookup3,20,FALSE)</f>
        <v>0.12571700000000002</v>
      </c>
      <c r="O177" s="330">
        <f ca="1">VLOOKUP($D177,FLookup3,21,FALSE)</f>
        <v>0.14256600000000003</v>
      </c>
      <c r="P177" s="330">
        <f ca="1">VLOOKUP($D177,FLookup3,22,FALSE)</f>
        <v>0.73171699999999995</v>
      </c>
      <c r="Q177" s="99"/>
    </row>
    <row r="178" spans="1:17" x14ac:dyDescent="0.2">
      <c r="A178" s="422"/>
      <c r="B178" s="427" t="s">
        <v>110</v>
      </c>
      <c r="C178" s="326"/>
      <c r="D178" s="98" t="str">
        <f ca="1">IF(E178="AET",D177&amp;"E","")</f>
        <v/>
      </c>
      <c r="E178" s="373" t="str">
        <f ca="1">IF(AND(F177=H177,F177&lt;&gt;""),"AET","")</f>
        <v/>
      </c>
      <c r="F178" s="374" t="str">
        <f ca="1">IF($E178="AET",FResults!$J$103,"")</f>
        <v/>
      </c>
      <c r="G178" s="374" t="str">
        <f ca="1">IF($E178="","","-")</f>
        <v/>
      </c>
      <c r="H178" s="374" t="str">
        <f ca="1">IF($E178="AET",FResults!$K$103,"")</f>
        <v/>
      </c>
      <c r="I178" s="101"/>
      <c r="J178" s="101"/>
      <c r="K178" s="322"/>
      <c r="L178" s="323"/>
      <c r="M178" s="324"/>
      <c r="N178" s="366"/>
      <c r="O178" s="366"/>
      <c r="P178" s="366"/>
      <c r="Q178" s="99"/>
    </row>
    <row r="179" spans="1:17" x14ac:dyDescent="0.2">
      <c r="A179" s="422"/>
      <c r="B179" s="427" t="s">
        <v>110</v>
      </c>
      <c r="C179" s="326"/>
      <c r="D179" s="98" t="str">
        <f ca="1">IF(E179="Penalties",D177&amp;"P","")</f>
        <v/>
      </c>
      <c r="E179" s="375" t="str">
        <f ca="1">IF(AND(F178=H178,F178&lt;&gt;""),"Penalties","")</f>
        <v/>
      </c>
      <c r="F179" s="438" t="str">
        <f ca="1">IF($E179="Penalties",FResults!$L$103,"")</f>
        <v/>
      </c>
      <c r="G179" s="374" t="str">
        <f ca="1">IF($E179="","","-")</f>
        <v/>
      </c>
      <c r="H179" s="438" t="str">
        <f ca="1">IF($E179="Penalties",FResults!$M$103,"")</f>
        <v/>
      </c>
      <c r="I179" s="101"/>
      <c r="J179" s="101"/>
      <c r="K179" s="322"/>
      <c r="L179" s="323"/>
      <c r="M179" s="324"/>
      <c r="N179" s="366"/>
      <c r="O179" s="366"/>
      <c r="P179" s="366"/>
      <c r="Q179" s="99"/>
    </row>
    <row r="180" spans="1:17" ht="13.5" x14ac:dyDescent="0.2">
      <c r="A180" s="423" t="s">
        <v>1266</v>
      </c>
      <c r="B180" s="427">
        <v>46218</v>
      </c>
      <c r="C180" s="326">
        <v>0.83333333333333337</v>
      </c>
      <c r="D180" s="371" t="s">
        <v>1258</v>
      </c>
      <c r="E180" s="100" t="str">
        <f ca="1">L168</f>
        <v>Morocco</v>
      </c>
      <c r="F180" s="436">
        <f ca="1">FResults!$H$104</f>
        <v>0</v>
      </c>
      <c r="G180" s="372" t="s">
        <v>536</v>
      </c>
      <c r="H180" s="437">
        <f ca="1">FResults!$I$104</f>
        <v>0</v>
      </c>
      <c r="I180" s="101" t="str">
        <f ca="1">L171</f>
        <v>Argentina</v>
      </c>
      <c r="J180" s="101" t="str">
        <f>Stadium6</f>
        <v>Atlanta Stadium</v>
      </c>
      <c r="K180" s="322"/>
      <c r="L180" s="323" t="str">
        <f ca="1">IF(F180&gt;H180,E180,IF(H180&gt;F180,I180,IF(F181&gt;H181,E180,IF(H181&gt;F181,I180,IF(F182&gt;H182,E180,I180)))))</f>
        <v>Argentina</v>
      </c>
      <c r="M180" s="324" t="str">
        <f ca="1">IF(F180&lt;H180,E180,IF(H180&lt;F180,I180,IF(F181&lt;H181,E180,IF(H181&lt;F181,I180,IF(F182&lt;H182,E180,I180)))))</f>
        <v>Morocco</v>
      </c>
      <c r="N180" s="330">
        <f ca="1">VLOOKUP($D180,FLookup3,20,FALSE)</f>
        <v>0.25753940204999998</v>
      </c>
      <c r="O180" s="330">
        <f ca="1">VLOOKUP($D180,FLookup3,21,FALSE)</f>
        <v>0.21634119589999995</v>
      </c>
      <c r="P180" s="330">
        <f ca="1">VLOOKUP($D180,FLookup3,22,FALSE)</f>
        <v>0.52611940205000007</v>
      </c>
      <c r="Q180" s="99"/>
    </row>
    <row r="181" spans="1:17" x14ac:dyDescent="0.2">
      <c r="A181" s="422"/>
      <c r="B181" s="427"/>
      <c r="C181" s="326"/>
      <c r="D181" s="98" t="str">
        <f ca="1">IF(E181="AET",D180&amp;"E","")</f>
        <v>102E</v>
      </c>
      <c r="E181" s="373" t="str">
        <f ca="1">IF(AND(F180=H180,F180&lt;&gt;""),"AET","")</f>
        <v>AET</v>
      </c>
      <c r="F181" s="374">
        <f ca="1">IF($E181="AET",FResults!$J$104,"")</f>
        <v>0</v>
      </c>
      <c r="G181" s="374" t="str">
        <f ca="1">IF($E181="","","-")</f>
        <v>-</v>
      </c>
      <c r="H181" s="374">
        <f ca="1">IF($E181="AET",FResults!$K$104,"")</f>
        <v>0</v>
      </c>
      <c r="I181" s="101"/>
      <c r="J181" s="101"/>
      <c r="K181" s="322"/>
      <c r="L181" s="323"/>
      <c r="M181" s="324"/>
      <c r="N181" s="366"/>
      <c r="O181" s="366"/>
      <c r="P181" s="366"/>
      <c r="Q181" s="99"/>
    </row>
    <row r="182" spans="1:17" x14ac:dyDescent="0.2">
      <c r="A182" s="422"/>
      <c r="B182" s="428"/>
      <c r="D182" s="98" t="str">
        <f ca="1">IF(E182="Penalties",D180&amp;"P","")</f>
        <v>102P</v>
      </c>
      <c r="E182" s="375" t="str">
        <f ca="1">IF(AND(F181=H181,F181&lt;&gt;""),"Penalties","")</f>
        <v>Penalties</v>
      </c>
      <c r="F182" s="438">
        <f ca="1">IF($E182="Penalties",FResults!$L$104,"")</f>
        <v>4</v>
      </c>
      <c r="G182" s="374" t="str">
        <f ca="1">IF($E182="","","-")</f>
        <v>-</v>
      </c>
      <c r="H182" s="438">
        <f ca="1">IF($E182="Penalties",FResults!$M$104,"")</f>
        <v>5</v>
      </c>
      <c r="I182" s="101"/>
      <c r="K182" s="322"/>
      <c r="L182" s="323"/>
      <c r="M182" s="324"/>
      <c r="N182" s="366"/>
      <c r="O182" s="366"/>
      <c r="P182" s="366"/>
      <c r="Q182" s="99"/>
    </row>
    <row r="183" spans="1:17" ht="15" x14ac:dyDescent="0.2">
      <c r="A183" s="422"/>
      <c r="B183" s="424"/>
      <c r="C183" s="312"/>
      <c r="D183" s="313"/>
      <c r="E183" s="666" t="s">
        <v>388</v>
      </c>
      <c r="F183" s="666"/>
      <c r="G183" s="666"/>
      <c r="H183" s="666"/>
      <c r="I183" s="666"/>
      <c r="J183" s="312"/>
      <c r="K183" s="367"/>
      <c r="L183" s="323"/>
      <c r="M183" s="324"/>
      <c r="N183" s="667" t="s">
        <v>386</v>
      </c>
      <c r="O183" s="667"/>
      <c r="P183" s="667"/>
      <c r="Q183" s="99"/>
    </row>
    <row r="184" spans="1:17" ht="15" x14ac:dyDescent="0.2">
      <c r="A184" s="422"/>
      <c r="B184" s="430" t="s">
        <v>111</v>
      </c>
      <c r="C184" s="315" t="s">
        <v>319</v>
      </c>
      <c r="D184" s="316" t="s">
        <v>618</v>
      </c>
      <c r="E184" s="405"/>
      <c r="F184" s="402" t="s">
        <v>337</v>
      </c>
      <c r="G184" s="405"/>
      <c r="H184" s="405"/>
      <c r="I184" s="405"/>
      <c r="J184" s="406" t="s">
        <v>321</v>
      </c>
      <c r="K184" s="369"/>
      <c r="L184" s="323"/>
      <c r="M184" s="324"/>
      <c r="N184" s="370" t="s">
        <v>1</v>
      </c>
      <c r="O184" s="370" t="s">
        <v>25</v>
      </c>
      <c r="P184" s="370" t="s">
        <v>0</v>
      </c>
      <c r="Q184" s="99"/>
    </row>
    <row r="185" spans="1:17" x14ac:dyDescent="0.2">
      <c r="A185" s="422"/>
      <c r="B185" s="428"/>
      <c r="D185" s="321"/>
      <c r="F185" s="98"/>
      <c r="G185" s="98"/>
      <c r="H185" s="98"/>
      <c r="J185" s="101"/>
      <c r="K185" s="322"/>
      <c r="L185" s="323"/>
      <c r="M185" s="324"/>
      <c r="N185" s="366"/>
      <c r="O185" s="366"/>
      <c r="P185" s="366"/>
      <c r="Q185" s="99"/>
    </row>
    <row r="186" spans="1:17" ht="13.5" x14ac:dyDescent="0.2">
      <c r="A186" s="422">
        <v>103</v>
      </c>
      <c r="B186" s="427">
        <v>44912.625</v>
      </c>
      <c r="C186" s="326">
        <f>B186</f>
        <v>44912.625</v>
      </c>
      <c r="D186" s="371" t="s">
        <v>1259</v>
      </c>
      <c r="E186" s="100" t="str">
        <f ca="1">M177</f>
        <v>Canada</v>
      </c>
      <c r="F186" s="436">
        <f ca="1">FResults!$H$105</f>
        <v>1</v>
      </c>
      <c r="G186" s="372" t="s">
        <v>536</v>
      </c>
      <c r="H186" s="437">
        <f ca="1">FResults!$I$105</f>
        <v>2</v>
      </c>
      <c r="I186" s="101" t="str">
        <f ca="1">M180</f>
        <v>Morocco</v>
      </c>
      <c r="J186" s="101" t="str">
        <f>Stadium12</f>
        <v>Miami Stadium</v>
      </c>
      <c r="K186" s="322"/>
      <c r="L186" s="323" t="str">
        <f ca="1">IF(F186&gt;H186,E186,IF(H186&gt;F186,I186,IF(F187&gt;H187,E186,IF(H187&gt;F187,I186,IF(F188&gt;H188,E186,I186)))))</f>
        <v>Morocco</v>
      </c>
      <c r="M186" s="324" t="str">
        <f ca="1">IF(F186&lt;H186,E186,IF(H186&lt;F186,I186,IF(F187&lt;H187,E186,IF(H187&lt;F187,I186,IF(F188&lt;H188,E186,I186)))))</f>
        <v>Canada</v>
      </c>
      <c r="N186" s="330">
        <f ca="1">VLOOKUP($D186,FLookup3,20,FALSE)</f>
        <v>0.23456328124999998</v>
      </c>
      <c r="O186" s="330">
        <f ca="1">VLOOKUP($D186,FLookup3,21,FALSE)</f>
        <v>0.20837343750000009</v>
      </c>
      <c r="P186" s="330">
        <f ca="1">VLOOKUP($D186,FLookup3,22,FALSE)</f>
        <v>0.55706328124999993</v>
      </c>
      <c r="Q186" s="99"/>
    </row>
    <row r="187" spans="1:17" x14ac:dyDescent="0.2">
      <c r="A187" s="422"/>
      <c r="B187" s="427"/>
      <c r="C187" s="326"/>
      <c r="D187" s="98" t="str">
        <f ca="1">IF(E187="AET",D186&amp;"E","")</f>
        <v/>
      </c>
      <c r="E187" s="373" t="str">
        <f ca="1">IF(AND(F186=H186,F186&lt;&gt;""),"AET","")</f>
        <v/>
      </c>
      <c r="F187" s="374" t="str">
        <f ca="1">IF($E187="AET",FResults!$J$105,"")</f>
        <v/>
      </c>
      <c r="G187" s="374" t="str">
        <f ca="1">IF($E187="","","-")</f>
        <v/>
      </c>
      <c r="H187" s="374" t="str">
        <f ca="1">IF($E187="AET",FResults!$K$105,"")</f>
        <v/>
      </c>
      <c r="I187" s="101"/>
      <c r="J187" s="101"/>
      <c r="K187" s="322"/>
      <c r="L187" s="323"/>
      <c r="M187" s="324"/>
      <c r="N187" s="366"/>
      <c r="O187" s="366"/>
      <c r="P187" s="366"/>
      <c r="Q187" s="99"/>
    </row>
    <row r="188" spans="1:17" x14ac:dyDescent="0.2">
      <c r="A188" s="422"/>
      <c r="B188" s="432"/>
      <c r="C188" s="326"/>
      <c r="D188" s="98" t="str">
        <f ca="1">IF(E188="Penalties",D186&amp;"P","")</f>
        <v/>
      </c>
      <c r="E188" s="375" t="str">
        <f ca="1">IF(AND(F187=H187,F187&lt;&gt;""),"Penalties","")</f>
        <v/>
      </c>
      <c r="F188" s="438" t="str">
        <f ca="1">IF($E188="Penalties",FResults!$L$105,"")</f>
        <v/>
      </c>
      <c r="G188" s="374" t="str">
        <f ca="1">IF($E188="","","-")</f>
        <v/>
      </c>
      <c r="H188" s="438" t="str">
        <f ca="1">IF($E188="Penalties",FResults!$M$105,"")</f>
        <v/>
      </c>
      <c r="I188" s="101"/>
      <c r="J188" s="101"/>
      <c r="K188" s="322"/>
      <c r="L188" s="323"/>
      <c r="M188" s="324"/>
      <c r="N188" s="366"/>
      <c r="O188" s="366"/>
      <c r="P188" s="366"/>
      <c r="Q188" s="99"/>
    </row>
    <row r="189" spans="1:17" ht="12.75" customHeight="1" x14ac:dyDescent="0.2">
      <c r="A189" s="422"/>
      <c r="B189" s="687" t="s">
        <v>332</v>
      </c>
      <c r="C189" s="651"/>
      <c r="D189" s="321"/>
      <c r="I189" s="664" t="s">
        <v>333</v>
      </c>
      <c r="K189" s="322"/>
      <c r="L189" s="323"/>
      <c r="M189" s="324"/>
      <c r="N189" s="366"/>
      <c r="O189" s="366"/>
      <c r="P189" s="366"/>
      <c r="Q189" s="99"/>
    </row>
    <row r="190" spans="1:17" ht="18" x14ac:dyDescent="0.25">
      <c r="A190" s="422"/>
      <c r="B190" s="688"/>
      <c r="C190" s="651"/>
      <c r="D190" s="411"/>
      <c r="E190" s="412" t="str">
        <f ca="1">L186</f>
        <v>Morocco</v>
      </c>
      <c r="I190" s="665"/>
      <c r="J190" s="413" t="str">
        <f ca="1">M186</f>
        <v>Canada</v>
      </c>
      <c r="K190" s="322"/>
      <c r="L190" s="323"/>
      <c r="M190" s="324"/>
      <c r="N190" s="366"/>
      <c r="O190" s="366"/>
      <c r="P190" s="366"/>
      <c r="Q190" s="99"/>
    </row>
    <row r="191" spans="1:17" x14ac:dyDescent="0.2">
      <c r="A191" s="422"/>
      <c r="B191" s="428"/>
      <c r="D191" s="321"/>
      <c r="K191" s="322"/>
      <c r="L191" s="323"/>
      <c r="M191" s="324"/>
      <c r="N191" s="366"/>
      <c r="O191" s="366"/>
      <c r="P191" s="366"/>
      <c r="Q191" s="99"/>
    </row>
    <row r="192" spans="1:17" ht="15" x14ac:dyDescent="0.2">
      <c r="A192" s="422"/>
      <c r="B192" s="424"/>
      <c r="C192" s="312"/>
      <c r="D192" s="313"/>
      <c r="E192" s="666" t="s">
        <v>334</v>
      </c>
      <c r="F192" s="666"/>
      <c r="G192" s="666"/>
      <c r="H192" s="666"/>
      <c r="I192" s="666"/>
      <c r="J192" s="312"/>
      <c r="K192" s="367"/>
      <c r="L192" s="323"/>
      <c r="M192" s="324"/>
      <c r="N192" s="667" t="s">
        <v>386</v>
      </c>
      <c r="O192" s="667"/>
      <c r="P192" s="667"/>
      <c r="Q192" s="99"/>
    </row>
    <row r="193" spans="1:17" ht="15" x14ac:dyDescent="0.2">
      <c r="A193" s="422"/>
      <c r="B193" s="429" t="s">
        <v>111</v>
      </c>
      <c r="C193" s="315" t="s">
        <v>319</v>
      </c>
      <c r="D193" s="316" t="s">
        <v>618</v>
      </c>
      <c r="E193" s="401"/>
      <c r="F193" s="402" t="s">
        <v>337</v>
      </c>
      <c r="G193" s="401"/>
      <c r="H193" s="401"/>
      <c r="I193" s="401"/>
      <c r="J193" s="403" t="s">
        <v>321</v>
      </c>
      <c r="K193" s="369"/>
      <c r="L193" s="323"/>
      <c r="M193" s="324"/>
      <c r="N193" s="370" t="s">
        <v>1</v>
      </c>
      <c r="O193" s="370" t="s">
        <v>25</v>
      </c>
      <c r="P193" s="370" t="s">
        <v>0</v>
      </c>
      <c r="Q193" s="99"/>
    </row>
    <row r="194" spans="1:17" x14ac:dyDescent="0.2">
      <c r="A194" s="422"/>
      <c r="B194" s="428"/>
      <c r="D194" s="321"/>
      <c r="F194" s="98"/>
      <c r="G194" s="98"/>
      <c r="H194" s="98"/>
      <c r="J194" s="101"/>
      <c r="K194" s="322"/>
      <c r="L194" s="323"/>
      <c r="M194" s="324"/>
      <c r="N194" s="366"/>
      <c r="O194" s="366"/>
      <c r="P194" s="366"/>
      <c r="Q194" s="99"/>
    </row>
    <row r="195" spans="1:17" ht="13.5" x14ac:dyDescent="0.2">
      <c r="A195" s="423" t="s">
        <v>1270</v>
      </c>
      <c r="B195" s="427">
        <v>44913.625</v>
      </c>
      <c r="C195" s="326">
        <f>B195</f>
        <v>44913.625</v>
      </c>
      <c r="D195" s="371" t="s">
        <v>1260</v>
      </c>
      <c r="E195" s="100" t="str">
        <f ca="1">L177</f>
        <v>Spain</v>
      </c>
      <c r="F195" s="436">
        <f ca="1">FResults!$H$106</f>
        <v>2</v>
      </c>
      <c r="G195" s="372" t="s">
        <v>536</v>
      </c>
      <c r="H195" s="437">
        <f ca="1">FResults!$I$106</f>
        <v>1</v>
      </c>
      <c r="I195" s="101" t="str">
        <f ca="1">L180</f>
        <v>Argentina</v>
      </c>
      <c r="J195" s="101" t="str">
        <f>Stadium13</f>
        <v>MetLife Stadium</v>
      </c>
      <c r="K195" s="322"/>
      <c r="L195" s="323" t="str">
        <f ca="1">IF(F195&gt;H195,E195,IF(H195&gt;F195,I195,IF(F196&gt;H196,E195,IF(H196&gt;F196,I195,IF(F197&gt;H197,E195,I195)))))</f>
        <v>Spain</v>
      </c>
      <c r="M195" s="324" t="str">
        <f ca="1">IF(F195&lt;H195,E195,IF(H195&lt;F195,I195,IF(F196&lt;H196,E195,IF(H196&lt;F196,I195,IF(F197&lt;H197,E195,I195)))))</f>
        <v>Argentina</v>
      </c>
      <c r="N195" s="330">
        <f ca="1">VLOOKUP($D195,FLookup3,20,FALSE)</f>
        <v>0.42808330205000006</v>
      </c>
      <c r="O195" s="330">
        <f ca="1">VLOOKUP($D195,FLookup3,21,FALSE)</f>
        <v>0.23241339590000004</v>
      </c>
      <c r="P195" s="330">
        <f ca="1">VLOOKUP($D195,FLookup3,22,FALSE)</f>
        <v>0.3395033020499999</v>
      </c>
      <c r="Q195" s="99"/>
    </row>
    <row r="196" spans="1:17" x14ac:dyDescent="0.2">
      <c r="A196" s="422"/>
      <c r="B196" s="427"/>
      <c r="C196" s="326"/>
      <c r="D196" s="98" t="str">
        <f ca="1">IF(E196="AET",D195&amp;"E","")</f>
        <v/>
      </c>
      <c r="E196" s="373" t="str">
        <f ca="1">IF(AND(F195=H195,F195&lt;&gt;""),"AET","")</f>
        <v/>
      </c>
      <c r="F196" s="374" t="str">
        <f ca="1">IF($E196="AET",FResults!$J$106,"")</f>
        <v/>
      </c>
      <c r="G196" s="374" t="str">
        <f ca="1">IF($E196="","","-")</f>
        <v/>
      </c>
      <c r="H196" s="374" t="str">
        <f ca="1">IF($E196="AET",FResults!$K$106,"")</f>
        <v/>
      </c>
      <c r="I196" s="101"/>
      <c r="J196" s="101"/>
      <c r="K196" s="322"/>
      <c r="L196" s="323"/>
      <c r="M196" s="324"/>
      <c r="N196" s="366"/>
      <c r="O196" s="366"/>
      <c r="P196" s="366"/>
      <c r="Q196" s="99"/>
    </row>
    <row r="197" spans="1:17" x14ac:dyDescent="0.2">
      <c r="A197" s="422"/>
      <c r="B197" s="432"/>
      <c r="C197" s="326"/>
      <c r="D197" s="98" t="str">
        <f ca="1">IF(E197="Penalties",D195&amp;"P","")</f>
        <v/>
      </c>
      <c r="E197" s="375" t="str">
        <f ca="1">IF(AND(F196=H196,F196&lt;&gt;""),"Penalties","")</f>
        <v/>
      </c>
      <c r="F197" s="438" t="str">
        <f ca="1">IF($E197="Penalties",FResults!$L$106,"")</f>
        <v/>
      </c>
      <c r="G197" s="374" t="str">
        <f ca="1">IF($E197="","","-")</f>
        <v/>
      </c>
      <c r="H197" s="438" t="str">
        <f ca="1">IF($E197="Penalties",FResults!$M$106,"")</f>
        <v/>
      </c>
      <c r="I197" s="101"/>
      <c r="J197" s="101"/>
      <c r="K197" s="322"/>
      <c r="L197" s="323"/>
      <c r="M197" s="324"/>
      <c r="N197" s="366"/>
      <c r="O197" s="366"/>
      <c r="P197" s="366"/>
      <c r="Q197" s="99"/>
    </row>
    <row r="198" spans="1:17" x14ac:dyDescent="0.2">
      <c r="A198" s="422"/>
      <c r="B198" s="428"/>
      <c r="C198" s="97" t="s">
        <v>327</v>
      </c>
      <c r="D198" s="321"/>
      <c r="I198" s="101"/>
      <c r="K198" s="322"/>
      <c r="L198" s="323"/>
      <c r="M198" s="324"/>
      <c r="N198" s="366"/>
      <c r="O198" s="366"/>
      <c r="P198" s="366"/>
      <c r="Q198" s="99"/>
    </row>
    <row r="199" spans="1:17" ht="18" x14ac:dyDescent="0.25">
      <c r="A199" s="422"/>
      <c r="B199" s="433"/>
      <c r="C199" s="409" t="s">
        <v>335</v>
      </c>
      <c r="D199" s="411"/>
      <c r="E199" s="412" t="str">
        <f ca="1">L195</f>
        <v>Spain</v>
      </c>
      <c r="I199" s="410" t="s">
        <v>336</v>
      </c>
      <c r="J199" s="413" t="str">
        <f ca="1">M195</f>
        <v>Argentina</v>
      </c>
      <c r="K199" s="322"/>
      <c r="L199" s="323"/>
      <c r="M199" s="324"/>
      <c r="N199" s="366"/>
      <c r="O199" s="366"/>
      <c r="P199" s="366"/>
      <c r="Q199" s="99"/>
    </row>
    <row r="200" spans="1:17" x14ac:dyDescent="0.2">
      <c r="A200" s="422"/>
      <c r="B200" s="428"/>
      <c r="D200" s="321"/>
      <c r="K200" s="322"/>
      <c r="L200" s="323"/>
      <c r="M200" s="324"/>
      <c r="N200" s="366"/>
      <c r="O200" s="366"/>
      <c r="P200" s="366"/>
      <c r="Q200" s="99"/>
    </row>
    <row r="201" spans="1:17" ht="15" x14ac:dyDescent="0.2">
      <c r="A201" s="422"/>
      <c r="B201" s="415"/>
      <c r="C201" s="416"/>
      <c r="D201" s="417"/>
      <c r="E201" s="416"/>
      <c r="F201" s="416"/>
      <c r="G201" s="416"/>
      <c r="H201" s="416"/>
      <c r="I201" s="416"/>
      <c r="J201" s="416"/>
      <c r="K201" s="416"/>
      <c r="L201" s="416"/>
      <c r="M201" s="416"/>
      <c r="N201" s="416"/>
      <c r="O201" s="416"/>
      <c r="P201" s="418"/>
      <c r="Q201" s="99"/>
    </row>
  </sheetData>
  <sheetProtection sheet="1" selectLockedCells="1"/>
  <mergeCells count="35">
    <mergeCell ref="S92:AF92"/>
    <mergeCell ref="R106:AH106"/>
    <mergeCell ref="K5:M5"/>
    <mergeCell ref="E159:I159"/>
    <mergeCell ref="N159:P159"/>
    <mergeCell ref="N5:P5"/>
    <mergeCell ref="E5:I5"/>
    <mergeCell ref="F6:H6"/>
    <mergeCell ref="E81:I81"/>
    <mergeCell ref="R144:AH145"/>
    <mergeCell ref="R146:AH147"/>
    <mergeCell ref="R132:AH133"/>
    <mergeCell ref="R134:AH137"/>
    <mergeCell ref="R139:AH140"/>
    <mergeCell ref="E192:I192"/>
    <mergeCell ref="N192:P192"/>
    <mergeCell ref="E174:I174"/>
    <mergeCell ref="N174:P174"/>
    <mergeCell ref="R148:AH149"/>
    <mergeCell ref="B189:C190"/>
    <mergeCell ref="I189:I190"/>
    <mergeCell ref="C2:AE2"/>
    <mergeCell ref="R107:AH107"/>
    <mergeCell ref="R108:AH110"/>
    <mergeCell ref="E183:I183"/>
    <mergeCell ref="N183:P183"/>
    <mergeCell ref="AC5:AH6"/>
    <mergeCell ref="N81:P81"/>
    <mergeCell ref="E132:I132"/>
    <mergeCell ref="N132:P132"/>
    <mergeCell ref="R111:AH111"/>
    <mergeCell ref="R112:AH112"/>
    <mergeCell ref="R117:AH120"/>
    <mergeCell ref="R124:AH129"/>
    <mergeCell ref="R5:AA6"/>
  </mergeCells>
  <conditionalFormatting sqref="E190">
    <cfRule type="cellIs" dxfId="318" priority="54" operator="equal">
      <formula>"3rd Place"</formula>
    </cfRule>
  </conditionalFormatting>
  <conditionalFormatting sqref="E199">
    <cfRule type="cellIs" dxfId="317" priority="52" operator="equal">
      <formula>"1st Place"</formula>
    </cfRule>
  </conditionalFormatting>
  <conditionalFormatting sqref="J190">
    <cfRule type="cellIs" dxfId="316" priority="53" operator="equal">
      <formula>"4th Place"</formula>
    </cfRule>
  </conditionalFormatting>
  <conditionalFormatting sqref="J199">
    <cfRule type="cellIs" dxfId="315" priority="51" operator="equal">
      <formula>"2nd Place"</formula>
    </cfRule>
  </conditionalFormatting>
  <conditionalFormatting sqref="AC9:AH9 AC11:AH11">
    <cfRule type="expression" dxfId="314" priority="47" stopIfTrue="1">
      <formula>#REF!="Black and White"</formula>
    </cfRule>
  </conditionalFormatting>
  <conditionalFormatting sqref="AC10:AH10">
    <cfRule type="expression" dxfId="313" priority="50" stopIfTrue="1">
      <formula>#REF!="Black and White"</formula>
    </cfRule>
  </conditionalFormatting>
  <conditionalFormatting sqref="AC12:AH12">
    <cfRule type="expression" dxfId="312" priority="48" stopIfTrue="1">
      <formula>#REF!="Black and White"</formula>
    </cfRule>
  </conditionalFormatting>
  <conditionalFormatting sqref="AC13:AH13">
    <cfRule type="expression" dxfId="311" priority="49" stopIfTrue="1">
      <formula>#REF!="Black and White"</formula>
    </cfRule>
  </conditionalFormatting>
  <conditionalFormatting sqref="AC16:AH16">
    <cfRule type="expression" dxfId="310" priority="42" stopIfTrue="1">
      <formula>#REF!="Black and White"</formula>
    </cfRule>
  </conditionalFormatting>
  <conditionalFormatting sqref="AC17:AH17">
    <cfRule type="expression" dxfId="309" priority="46" stopIfTrue="1">
      <formula>#REF!="Black and White"</formula>
    </cfRule>
  </conditionalFormatting>
  <conditionalFormatting sqref="AC18:AH18">
    <cfRule type="expression" dxfId="308" priority="43" stopIfTrue="1">
      <formula>#REF!="Black and White"</formula>
    </cfRule>
  </conditionalFormatting>
  <conditionalFormatting sqref="AC19:AH19">
    <cfRule type="expression" dxfId="307" priority="44" stopIfTrue="1">
      <formula>#REF!="Black and White"</formula>
    </cfRule>
  </conditionalFormatting>
  <conditionalFormatting sqref="AC20:AH20">
    <cfRule type="expression" dxfId="306" priority="45" stopIfTrue="1">
      <formula>#REF!="Black and White"</formula>
    </cfRule>
  </conditionalFormatting>
  <conditionalFormatting sqref="AC23:AH23 AC25:AH25">
    <cfRule type="expression" dxfId="305" priority="38" stopIfTrue="1">
      <formula>#REF!="Black and White"</formula>
    </cfRule>
  </conditionalFormatting>
  <conditionalFormatting sqref="AC24:AH24">
    <cfRule type="expression" dxfId="304" priority="41" stopIfTrue="1">
      <formula>#REF!="Black and White"</formula>
    </cfRule>
  </conditionalFormatting>
  <conditionalFormatting sqref="AC26:AH26">
    <cfRule type="expression" dxfId="303" priority="39" stopIfTrue="1">
      <formula>#REF!="Black and White"</formula>
    </cfRule>
  </conditionalFormatting>
  <conditionalFormatting sqref="AC27:AH27">
    <cfRule type="expression" dxfId="302" priority="40" stopIfTrue="1">
      <formula>#REF!="Black and White"</formula>
    </cfRule>
  </conditionalFormatting>
  <conditionalFormatting sqref="AC30:AH30 AC32:AH32">
    <cfRule type="expression" dxfId="301" priority="34" stopIfTrue="1">
      <formula>#REF!="Black and White"</formula>
    </cfRule>
  </conditionalFormatting>
  <conditionalFormatting sqref="AC31:AH31">
    <cfRule type="expression" dxfId="300" priority="37" stopIfTrue="1">
      <formula>#REF!="Black and White"</formula>
    </cfRule>
  </conditionalFormatting>
  <conditionalFormatting sqref="AC33:AH33">
    <cfRule type="expression" dxfId="299" priority="35" stopIfTrue="1">
      <formula>#REF!="Black and White"</formula>
    </cfRule>
  </conditionalFormatting>
  <conditionalFormatting sqref="AC34:AH34">
    <cfRule type="expression" dxfId="298" priority="36" stopIfTrue="1">
      <formula>#REF!="Black and White"</formula>
    </cfRule>
  </conditionalFormatting>
  <conditionalFormatting sqref="AC37:AH37 AC39:AH39">
    <cfRule type="expression" dxfId="297" priority="30" stopIfTrue="1">
      <formula>#REF!="Black and White"</formula>
    </cfRule>
  </conditionalFormatting>
  <conditionalFormatting sqref="AC38:AH38">
    <cfRule type="expression" dxfId="296" priority="33" stopIfTrue="1">
      <formula>#REF!="Black and White"</formula>
    </cfRule>
  </conditionalFormatting>
  <conditionalFormatting sqref="AC40:AH40">
    <cfRule type="expression" dxfId="295" priority="31" stopIfTrue="1">
      <formula>#REF!="Black and White"</formula>
    </cfRule>
  </conditionalFormatting>
  <conditionalFormatting sqref="AC41:AH41">
    <cfRule type="expression" dxfId="294" priority="32" stopIfTrue="1">
      <formula>#REF!="Black and White"</formula>
    </cfRule>
  </conditionalFormatting>
  <conditionalFormatting sqref="AC44:AH44 AC46:AH46">
    <cfRule type="expression" dxfId="293" priority="26" stopIfTrue="1">
      <formula>#REF!="Black and White"</formula>
    </cfRule>
  </conditionalFormatting>
  <conditionalFormatting sqref="AC45:AH45">
    <cfRule type="expression" dxfId="292" priority="29" stopIfTrue="1">
      <formula>#REF!="Black and White"</formula>
    </cfRule>
  </conditionalFormatting>
  <conditionalFormatting sqref="AC47:AH47">
    <cfRule type="expression" dxfId="291" priority="27" stopIfTrue="1">
      <formula>#REF!="Black and White"</formula>
    </cfRule>
  </conditionalFormatting>
  <conditionalFormatting sqref="AC48:AH48">
    <cfRule type="expression" dxfId="290" priority="28" stopIfTrue="1">
      <formula>#REF!="Black and White"</formula>
    </cfRule>
  </conditionalFormatting>
  <conditionalFormatting sqref="AC51:AH51 AC53:AH53">
    <cfRule type="expression" dxfId="289" priority="22" stopIfTrue="1">
      <formula>#REF!="Black and White"</formula>
    </cfRule>
  </conditionalFormatting>
  <conditionalFormatting sqref="AC52:AH52">
    <cfRule type="expression" dxfId="288" priority="25" stopIfTrue="1">
      <formula>#REF!="Black and White"</formula>
    </cfRule>
  </conditionalFormatting>
  <conditionalFormatting sqref="AC54:AH54">
    <cfRule type="expression" dxfId="287" priority="23" stopIfTrue="1">
      <formula>#REF!="Black and White"</formula>
    </cfRule>
  </conditionalFormatting>
  <conditionalFormatting sqref="AC55:AH55">
    <cfRule type="expression" dxfId="286" priority="24" stopIfTrue="1">
      <formula>#REF!="Black and White"</formula>
    </cfRule>
  </conditionalFormatting>
  <conditionalFormatting sqref="AC58:AH58">
    <cfRule type="expression" dxfId="285" priority="17" stopIfTrue="1">
      <formula>#REF!="Black and White"</formula>
    </cfRule>
  </conditionalFormatting>
  <conditionalFormatting sqref="AC59:AH59">
    <cfRule type="expression" dxfId="284" priority="21" stopIfTrue="1">
      <formula>#REF!="Black and White"</formula>
    </cfRule>
  </conditionalFormatting>
  <conditionalFormatting sqref="AC60:AH60">
    <cfRule type="expression" dxfId="283" priority="18" stopIfTrue="1">
      <formula>#REF!="Black and White"</formula>
    </cfRule>
  </conditionalFormatting>
  <conditionalFormatting sqref="AC61:AH61">
    <cfRule type="expression" dxfId="282" priority="19" stopIfTrue="1">
      <formula>#REF!="Black and White"</formula>
    </cfRule>
  </conditionalFormatting>
  <conditionalFormatting sqref="AC62:AH62">
    <cfRule type="expression" dxfId="281" priority="20" stopIfTrue="1">
      <formula>#REF!="Black and White"</formula>
    </cfRule>
  </conditionalFormatting>
  <conditionalFormatting sqref="AC65:AH65 AC67:AH67">
    <cfRule type="expression" dxfId="280" priority="13" stopIfTrue="1">
      <formula>#REF!="Black and White"</formula>
    </cfRule>
  </conditionalFormatting>
  <conditionalFormatting sqref="AC66:AH66">
    <cfRule type="expression" dxfId="279" priority="16" stopIfTrue="1">
      <formula>#REF!="Black and White"</formula>
    </cfRule>
  </conditionalFormatting>
  <conditionalFormatting sqref="AC68:AH68">
    <cfRule type="expression" dxfId="278" priority="14" stopIfTrue="1">
      <formula>#REF!="Black and White"</formula>
    </cfRule>
  </conditionalFormatting>
  <conditionalFormatting sqref="AC69:AH69">
    <cfRule type="expression" dxfId="277" priority="15" stopIfTrue="1">
      <formula>#REF!="Black and White"</formula>
    </cfRule>
  </conditionalFormatting>
  <conditionalFormatting sqref="AC72:AH72 AC74:AH74">
    <cfRule type="expression" dxfId="276" priority="9" stopIfTrue="1">
      <formula>#REF!="Black and White"</formula>
    </cfRule>
  </conditionalFormatting>
  <conditionalFormatting sqref="AC73:AH73">
    <cfRule type="expression" dxfId="275" priority="12" stopIfTrue="1">
      <formula>#REF!="Black and White"</formula>
    </cfRule>
  </conditionalFormatting>
  <conditionalFormatting sqref="AC75:AH75">
    <cfRule type="expression" dxfId="274" priority="10" stopIfTrue="1">
      <formula>#REF!="Black and White"</formula>
    </cfRule>
  </conditionalFormatting>
  <conditionalFormatting sqref="AC76:AH76">
    <cfRule type="expression" dxfId="273" priority="11" stopIfTrue="1">
      <formula>#REF!="Black and White"</formula>
    </cfRule>
  </conditionalFormatting>
  <conditionalFormatting sqref="AC79:AH79 AC81:AH81">
    <cfRule type="expression" dxfId="272" priority="5" stopIfTrue="1">
      <formula>#REF!="Black and White"</formula>
    </cfRule>
  </conditionalFormatting>
  <conditionalFormatting sqref="AC80:AH80">
    <cfRule type="expression" dxfId="271" priority="8" stopIfTrue="1">
      <formula>#REF!="Black and White"</formula>
    </cfRule>
  </conditionalFormatting>
  <conditionalFormatting sqref="AC82:AH82">
    <cfRule type="expression" dxfId="270" priority="6" stopIfTrue="1">
      <formula>#REF!="Black and White"</formula>
    </cfRule>
  </conditionalFormatting>
  <conditionalFormatting sqref="AC83:AH83">
    <cfRule type="expression" dxfId="269" priority="7" stopIfTrue="1">
      <formula>#REF!="Black and White"</formula>
    </cfRule>
  </conditionalFormatting>
  <conditionalFormatting sqref="AC86:AH86 AC88:AH88">
    <cfRule type="expression" dxfId="268" priority="1" stopIfTrue="1">
      <formula>#REF!="Black and White"</formula>
    </cfRule>
  </conditionalFormatting>
  <conditionalFormatting sqref="AC87:AH87">
    <cfRule type="expression" dxfId="267" priority="4" stopIfTrue="1">
      <formula>#REF!="Black and White"</formula>
    </cfRule>
  </conditionalFormatting>
  <conditionalFormatting sqref="AC89:AH89">
    <cfRule type="expression" dxfId="266" priority="2" stopIfTrue="1">
      <formula>#REF!="Black and White"</formula>
    </cfRule>
  </conditionalFormatting>
  <conditionalFormatting sqref="AC90:AH90">
    <cfRule type="expression" dxfId="265" priority="3" stopIfTrue="1">
      <formula>#REF!="Black and White"</formula>
    </cfRule>
  </conditionalFormatting>
  <printOptions horizontalCentered="1" verticalCentered="1"/>
  <pageMargins left="0.39370078740157483" right="0.39370078740157483" top="0.39370078740157483" bottom="0.39370078740157483" header="0" footer="0"/>
  <pageSetup paperSize="9" scale="43" firstPageNumber="0"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18352-9DA0-43BE-AD15-E31CF03061B5}">
  <sheetPr>
    <tabColor rgb="FF7030A0"/>
  </sheetPr>
  <dimension ref="A1:Z49"/>
  <sheetViews>
    <sheetView workbookViewId="0">
      <pane ySplit="2" topLeftCell="A24"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28" t="s">
        <v>320</v>
      </c>
      <c r="B1" s="216" t="str">
        <f>A2&amp;1</f>
        <v>C1</v>
      </c>
      <c r="C1" s="216" t="str">
        <f>A2&amp;2</f>
        <v>C2</v>
      </c>
      <c r="D1" s="216" t="str">
        <f>A2&amp;3</f>
        <v>C3</v>
      </c>
      <c r="E1" s="216" t="str">
        <f>A2&amp;4</f>
        <v>C4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328</v>
      </c>
      <c r="B2" s="217" t="str">
        <f>VLOOKUP(B1,Lookup08,2,FALSE)</f>
        <v>Brazil</v>
      </c>
      <c r="C2" s="217" t="str">
        <f>VLOOKUP(C1,Lookup08,2,FALSE)</f>
        <v>Morocco</v>
      </c>
      <c r="D2" s="217" t="str">
        <f>VLOOKUP(D1,Lookup08,2,FALSE)</f>
        <v>Haiti</v>
      </c>
      <c r="E2" s="217" t="str">
        <f>VLOOKUP(E1,Lookup08,2,FALSE)</f>
        <v>Scotland</v>
      </c>
      <c r="F2" s="144"/>
      <c r="G2" s="144"/>
      <c r="H2" s="195"/>
      <c r="I2" s="196" t="str">
        <f>B2</f>
        <v>Brazil</v>
      </c>
      <c r="J2" s="196" t="str">
        <f>C2</f>
        <v>Morocco</v>
      </c>
      <c r="K2" s="196" t="str">
        <f>D2</f>
        <v>Haiti</v>
      </c>
      <c r="L2" s="196" t="str">
        <f>E2</f>
        <v>Scotland</v>
      </c>
      <c r="M2" s="197" t="s">
        <v>26</v>
      </c>
      <c r="N2" s="195"/>
      <c r="O2" s="196" t="str">
        <f>I2</f>
        <v>Brazil</v>
      </c>
      <c r="P2" s="196" t="str">
        <f t="shared" ref="P2:R2" si="0">J2</f>
        <v>Morocco</v>
      </c>
      <c r="Q2" s="196" t="str">
        <f t="shared" si="0"/>
        <v>Haiti</v>
      </c>
      <c r="R2" s="196" t="str">
        <f t="shared" si="0"/>
        <v>Scotland</v>
      </c>
      <c r="S2" s="197" t="s">
        <v>26</v>
      </c>
      <c r="T2" s="195"/>
      <c r="U2" s="196" t="str">
        <f>O2</f>
        <v>Brazil</v>
      </c>
      <c r="V2" s="196" t="str">
        <f t="shared" ref="V2:X2" si="1">P2</f>
        <v>Morocco</v>
      </c>
      <c r="W2" s="196" t="str">
        <f t="shared" si="1"/>
        <v>Haiti</v>
      </c>
      <c r="X2" s="196" t="str">
        <f t="shared" si="1"/>
        <v>Scotland</v>
      </c>
      <c r="Y2" s="197" t="s">
        <v>26</v>
      </c>
    </row>
    <row r="3" spans="1:26" x14ac:dyDescent="0.25">
      <c r="A3" s="144"/>
      <c r="B3" s="144"/>
      <c r="C3" s="144"/>
      <c r="F3" s="144"/>
      <c r="G3" s="144"/>
      <c r="H3" s="195" t="str">
        <f>B2</f>
        <v>Brazil</v>
      </c>
      <c r="I3" s="211"/>
      <c r="J3" s="196">
        <f ca="1">IF(G10=G11,1,0)</f>
        <v>1</v>
      </c>
      <c r="K3" s="196">
        <f ca="1">IF(G10=G12,1,0)</f>
        <v>0</v>
      </c>
      <c r="L3" s="196">
        <f ca="1">IF(G10=G13,1,0)</f>
        <v>0</v>
      </c>
      <c r="M3" s="197">
        <f ca="1">SUM(I3:L3)</f>
        <v>1</v>
      </c>
      <c r="N3" s="195" t="str">
        <f>H3</f>
        <v>Brazil</v>
      </c>
      <c r="O3" s="211"/>
      <c r="P3" s="196">
        <f ca="1">IF(M10=M11,1,0)</f>
        <v>1</v>
      </c>
      <c r="Q3" s="196">
        <f ca="1">IF(M10=M12,1,0)</f>
        <v>0</v>
      </c>
      <c r="R3" s="196">
        <f ca="1">IF(M10=M13,1,0)</f>
        <v>0</v>
      </c>
      <c r="S3" s="197">
        <f ca="1">SUM(O3:R3)</f>
        <v>1</v>
      </c>
      <c r="T3" s="195" t="str">
        <f>N3</f>
        <v>Brazil</v>
      </c>
      <c r="U3" s="211"/>
      <c r="V3" s="196">
        <f ca="1">IF(S10=S11,1,0)</f>
        <v>1</v>
      </c>
      <c r="W3" s="196">
        <f ca="1">IF(S10=S12,1,0)</f>
        <v>0</v>
      </c>
      <c r="X3" s="196">
        <f ca="1">IF(S10=S13,1,0)</f>
        <v>0</v>
      </c>
      <c r="Y3" s="197">
        <f ca="1">SUM(U3:X3)</f>
        <v>1</v>
      </c>
    </row>
    <row r="4" spans="1:26" x14ac:dyDescent="0.25">
      <c r="A4" s="144"/>
      <c r="B4" s="144"/>
      <c r="C4" s="144"/>
      <c r="F4" s="144"/>
      <c r="G4" s="144"/>
      <c r="H4" s="195" t="str">
        <f>C2</f>
        <v>Morocco</v>
      </c>
      <c r="I4" s="196">
        <f ca="1">IF(G11=G10,1,0)</f>
        <v>1</v>
      </c>
      <c r="J4" s="211"/>
      <c r="K4" s="196">
        <f ca="1">IF(G11=G12,1,0)</f>
        <v>0</v>
      </c>
      <c r="L4" s="196">
        <f ca="1">IF(G11=G13,1,0)</f>
        <v>0</v>
      </c>
      <c r="M4" s="197">
        <f ca="1">SUM(I4:L4)</f>
        <v>1</v>
      </c>
      <c r="N4" s="195" t="str">
        <f t="shared" ref="N4:N6" si="2">H4</f>
        <v>Morocco</v>
      </c>
      <c r="O4" s="196">
        <f ca="1">IF(M11=M10,1,0)</f>
        <v>1</v>
      </c>
      <c r="P4" s="211"/>
      <c r="Q4" s="196">
        <f ca="1">IF(M11=M12,1,0)</f>
        <v>0</v>
      </c>
      <c r="R4" s="196">
        <f ca="1">IF(M11=M13,1,0)</f>
        <v>0</v>
      </c>
      <c r="S4" s="197">
        <f ca="1">SUM(O4:R4)</f>
        <v>1</v>
      </c>
      <c r="T4" s="195" t="str">
        <f t="shared" ref="T4:T6" si="3">N4</f>
        <v>Morocco</v>
      </c>
      <c r="U4" s="196">
        <f ca="1">IF(S11=S10,1,0)</f>
        <v>1</v>
      </c>
      <c r="V4" s="211"/>
      <c r="W4" s="196">
        <f ca="1">IF(S11=S12,1,0)</f>
        <v>0</v>
      </c>
      <c r="X4" s="196">
        <f ca="1">IF(S11=S13,1,0)</f>
        <v>0</v>
      </c>
      <c r="Y4" s="197">
        <f ca="1">SUM(U4:X4)</f>
        <v>1</v>
      </c>
    </row>
    <row r="5" spans="1:26" x14ac:dyDescent="0.25">
      <c r="A5" s="144"/>
      <c r="B5" s="144"/>
      <c r="C5" s="144"/>
      <c r="F5" s="144"/>
      <c r="G5" s="144"/>
      <c r="H5" s="195" t="str">
        <f>D2</f>
        <v>Haiti</v>
      </c>
      <c r="I5" s="196">
        <f ca="1">IF(G12=G10,1,0)</f>
        <v>0</v>
      </c>
      <c r="J5" s="196">
        <f ca="1">IF(G12=G11,1,0)</f>
        <v>0</v>
      </c>
      <c r="K5" s="211"/>
      <c r="L5" s="196">
        <f ca="1">IF(G12=G13,1,0)</f>
        <v>0</v>
      </c>
      <c r="M5" s="197">
        <f ca="1">SUM(I5:L5)</f>
        <v>0</v>
      </c>
      <c r="N5" s="195" t="str">
        <f t="shared" si="2"/>
        <v>Haiti</v>
      </c>
      <c r="O5" s="196">
        <f ca="1">IF(M12=M10,1,0)</f>
        <v>0</v>
      </c>
      <c r="P5" s="196">
        <f ca="1">IF(M12=M11,1,0)</f>
        <v>0</v>
      </c>
      <c r="Q5" s="211"/>
      <c r="R5" s="196">
        <f ca="1">IF(M12=M13,1,0)</f>
        <v>0</v>
      </c>
      <c r="S5" s="197">
        <f ca="1">SUM(O5:R5)</f>
        <v>0</v>
      </c>
      <c r="T5" s="195" t="str">
        <f t="shared" si="3"/>
        <v>Haiti</v>
      </c>
      <c r="U5" s="196">
        <f ca="1">IF(S12=S10,1,0)</f>
        <v>0</v>
      </c>
      <c r="V5" s="196">
        <f ca="1">IF(S12=S11,1,0)</f>
        <v>0</v>
      </c>
      <c r="W5" s="211"/>
      <c r="X5" s="196">
        <f ca="1">IF(S12=S13,1,0)</f>
        <v>0</v>
      </c>
      <c r="Y5" s="197">
        <f ca="1">SUM(U5:X5)</f>
        <v>0</v>
      </c>
    </row>
    <row r="6" spans="1:26" x14ac:dyDescent="0.25">
      <c r="A6" s="144"/>
      <c r="B6" s="144"/>
      <c r="C6" s="144"/>
      <c r="F6" s="144"/>
      <c r="G6" s="144"/>
      <c r="H6" s="198" t="str">
        <f>E2</f>
        <v>Scotland</v>
      </c>
      <c r="I6" s="199">
        <f ca="1">IF(G13=G10,1,0)</f>
        <v>0</v>
      </c>
      <c r="J6" s="199">
        <f ca="1">IF(G13=G11,1,0)</f>
        <v>0</v>
      </c>
      <c r="K6" s="199">
        <f ca="1">IF(G13=G12,1,0)</f>
        <v>0</v>
      </c>
      <c r="L6" s="212"/>
      <c r="M6" s="200">
        <f ca="1">SUM(I6:L6)</f>
        <v>0</v>
      </c>
      <c r="N6" s="198" t="str">
        <f t="shared" si="2"/>
        <v>Scotland</v>
      </c>
      <c r="O6" s="199">
        <f ca="1">IF(M13=M10,1,0)</f>
        <v>0</v>
      </c>
      <c r="P6" s="199">
        <f ca="1">IF(M13=M11,1,0)</f>
        <v>0</v>
      </c>
      <c r="Q6" s="199">
        <f ca="1">IF(M13=M12,1,0)</f>
        <v>0</v>
      </c>
      <c r="R6" s="212"/>
      <c r="S6" s="200">
        <f ca="1">SUM(O6:R6)</f>
        <v>0</v>
      </c>
      <c r="T6" s="198" t="str">
        <f t="shared" si="3"/>
        <v>Scotland</v>
      </c>
      <c r="U6" s="199">
        <f ca="1">IF(S13=S10,1,0)</f>
        <v>0</v>
      </c>
      <c r="V6" s="199">
        <f ca="1">IF(S13=S11,1,0)</f>
        <v>0</v>
      </c>
      <c r="W6" s="199">
        <f ca="1">IF(S13=S12,1,0)</f>
        <v>0</v>
      </c>
      <c r="X6" s="212"/>
      <c r="Y6" s="200">
        <f ca="1">SUM(U6:X6)</f>
        <v>0</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Brazil</v>
      </c>
      <c r="D9" s="190" t="str">
        <f>C2</f>
        <v>Morocco</v>
      </c>
      <c r="E9" s="190" t="str">
        <f>D2</f>
        <v>Haiti</v>
      </c>
      <c r="F9" s="190" t="str">
        <f>E2</f>
        <v>Scotland</v>
      </c>
      <c r="G9" s="191" t="s">
        <v>26</v>
      </c>
      <c r="H9" s="189"/>
      <c r="I9" s="190" t="str">
        <f>C9</f>
        <v>Brazil</v>
      </c>
      <c r="J9" s="190" t="str">
        <f t="shared" ref="J9:L9" si="4">D9</f>
        <v>Morocco</v>
      </c>
      <c r="K9" s="190" t="str">
        <f t="shared" si="4"/>
        <v>Haiti</v>
      </c>
      <c r="L9" s="190" t="str">
        <f t="shared" si="4"/>
        <v>Scotland</v>
      </c>
      <c r="M9" s="191" t="s">
        <v>26</v>
      </c>
      <c r="N9" s="189"/>
      <c r="O9" s="190" t="str">
        <f>I9</f>
        <v>Brazil</v>
      </c>
      <c r="P9" s="190" t="str">
        <f t="shared" ref="P9:R9" si="5">J9</f>
        <v>Morocco</v>
      </c>
      <c r="Q9" s="190" t="str">
        <f t="shared" si="5"/>
        <v>Haiti</v>
      </c>
      <c r="R9" s="190" t="str">
        <f t="shared" si="5"/>
        <v>Scotland</v>
      </c>
      <c r="S9" s="191" t="s">
        <v>26</v>
      </c>
      <c r="T9" s="189"/>
      <c r="U9" s="190" t="str">
        <f>O9</f>
        <v>Brazil</v>
      </c>
      <c r="V9" s="190" t="str">
        <f t="shared" ref="V9:X9" si="6">P9</f>
        <v>Morocco</v>
      </c>
      <c r="W9" s="190" t="str">
        <f t="shared" si="6"/>
        <v>Haiti</v>
      </c>
      <c r="X9" s="190" t="str">
        <f t="shared" si="6"/>
        <v>Scotland</v>
      </c>
      <c r="Y9" s="191" t="s">
        <v>26</v>
      </c>
      <c r="Z9" s="227" t="s">
        <v>309</v>
      </c>
    </row>
    <row r="10" spans="1:26" x14ac:dyDescent="0.25">
      <c r="A10" s="144"/>
      <c r="B10" s="189" t="str">
        <f>B2</f>
        <v>Brazil</v>
      </c>
      <c r="C10" s="204"/>
      <c r="D10" s="190">
        <f>H37</f>
        <v>1</v>
      </c>
      <c r="E10" s="190">
        <f ca="1">H39</f>
        <v>3</v>
      </c>
      <c r="F10" s="190">
        <f ca="1">I42</f>
        <v>3</v>
      </c>
      <c r="G10" s="191">
        <f ca="1">SUM(C10:F10)</f>
        <v>7</v>
      </c>
      <c r="H10" s="189" t="str">
        <f>B10</f>
        <v>Brazil</v>
      </c>
      <c r="I10" s="218">
        <f>C10+I17/100+I24/10000</f>
        <v>0</v>
      </c>
      <c r="J10" s="219">
        <f t="shared" ref="J10:L10" ca="1" si="7">D10+J17/100+J24/10000</f>
        <v>1.0001</v>
      </c>
      <c r="K10" s="219">
        <f t="shared" ca="1" si="7"/>
        <v>3</v>
      </c>
      <c r="L10" s="219">
        <f t="shared" ca="1" si="7"/>
        <v>3</v>
      </c>
      <c r="M10" s="220">
        <f ca="1">SUM(I10:L10)</f>
        <v>7.0000999999999998</v>
      </c>
      <c r="N10" s="189" t="str">
        <f>H10</f>
        <v>Brazil</v>
      </c>
      <c r="O10" s="218">
        <f>I10+O17/100+O24/10000</f>
        <v>0</v>
      </c>
      <c r="P10" s="219">
        <f t="shared" ref="P10:R13" ca="1" si="8">J10+P17/100+P24/10000</f>
        <v>1.0002</v>
      </c>
      <c r="Q10" s="219">
        <f t="shared" ca="1" si="8"/>
        <v>3</v>
      </c>
      <c r="R10" s="219">
        <f t="shared" ca="1" si="8"/>
        <v>3</v>
      </c>
      <c r="S10" s="220">
        <f ca="1">SUM(O10:R10)</f>
        <v>7.0001999999999995</v>
      </c>
      <c r="T10" s="189" t="str">
        <f>N10</f>
        <v>Brazil</v>
      </c>
      <c r="U10" s="218">
        <f>O10+U17/100+U24/10000</f>
        <v>0</v>
      </c>
      <c r="V10" s="219">
        <f t="shared" ref="V10:X13" ca="1" si="9">P10+V17/100+V24/10000</f>
        <v>1.0003</v>
      </c>
      <c r="W10" s="219">
        <f t="shared" ca="1" si="9"/>
        <v>3</v>
      </c>
      <c r="X10" s="219">
        <f t="shared" ca="1" si="9"/>
        <v>3</v>
      </c>
      <c r="Y10" s="220">
        <f ca="1">ROUND(SUM(U10:X10),8)</f>
        <v>7.0003000000000002</v>
      </c>
      <c r="Z10" s="224">
        <f ca="1">_xlfn.RANK.EQ(Y10,Y$10:Y$13,1)</f>
        <v>3</v>
      </c>
    </row>
    <row r="11" spans="1:26" x14ac:dyDescent="0.25">
      <c r="A11" s="144"/>
      <c r="B11" s="189" t="str">
        <f>C2</f>
        <v>Morocco</v>
      </c>
      <c r="C11" s="190">
        <f>I37</f>
        <v>1</v>
      </c>
      <c r="D11" s="204"/>
      <c r="E11" s="190">
        <f ca="1">H41</f>
        <v>3</v>
      </c>
      <c r="F11" s="190">
        <f ca="1">I40</f>
        <v>3</v>
      </c>
      <c r="G11" s="191">
        <f ca="1">SUM(C11:F11)</f>
        <v>7</v>
      </c>
      <c r="H11" s="189" t="str">
        <f t="shared" ref="H11:H13" si="10">B11</f>
        <v>Morocco</v>
      </c>
      <c r="I11" s="219">
        <f t="shared" ref="I11:L13" ca="1" si="11">C11+I18/100+I25/10000</f>
        <v>1.0001</v>
      </c>
      <c r="J11" s="218">
        <f t="shared" si="11"/>
        <v>0</v>
      </c>
      <c r="K11" s="219">
        <f t="shared" ca="1" si="11"/>
        <v>3</v>
      </c>
      <c r="L11" s="219">
        <f t="shared" ca="1" si="11"/>
        <v>3</v>
      </c>
      <c r="M11" s="220">
        <f ca="1">SUM(I11:L11)</f>
        <v>7.0000999999999998</v>
      </c>
      <c r="N11" s="189" t="str">
        <f t="shared" ref="N11:N13" si="12">H11</f>
        <v>Morocco</v>
      </c>
      <c r="O11" s="219">
        <f t="shared" ref="O11:O13" ca="1" si="13">I11+O18/100+O25/10000</f>
        <v>1.0002</v>
      </c>
      <c r="P11" s="218">
        <f t="shared" si="8"/>
        <v>0</v>
      </c>
      <c r="Q11" s="219">
        <f t="shared" ca="1" si="8"/>
        <v>3</v>
      </c>
      <c r="R11" s="219">
        <f t="shared" ca="1" si="8"/>
        <v>3</v>
      </c>
      <c r="S11" s="220">
        <f ca="1">SUM(O11:R11)</f>
        <v>7.0001999999999995</v>
      </c>
      <c r="T11" s="189" t="str">
        <f t="shared" ref="T11:T13" si="14">N11</f>
        <v>Morocco</v>
      </c>
      <c r="U11" s="219">
        <f t="shared" ref="U11:U13" ca="1" si="15">O11+U18/100+U25/10000</f>
        <v>1.0003</v>
      </c>
      <c r="V11" s="218">
        <f t="shared" si="9"/>
        <v>0</v>
      </c>
      <c r="W11" s="219">
        <f t="shared" ca="1" si="9"/>
        <v>3</v>
      </c>
      <c r="X11" s="219">
        <f t="shared" ca="1" si="9"/>
        <v>3</v>
      </c>
      <c r="Y11" s="220">
        <f t="shared" ref="Y11:Y13" ca="1" si="16">ROUND(SUM(U11:X11),8)</f>
        <v>7.0003000000000002</v>
      </c>
      <c r="Z11" s="224">
        <f t="shared" ref="Z11:Z13" ca="1" si="17">_xlfn.RANK.EQ(Y11,Y$10:Y$13,1)</f>
        <v>3</v>
      </c>
    </row>
    <row r="12" spans="1:26" x14ac:dyDescent="0.25">
      <c r="A12" s="144"/>
      <c r="B12" s="189" t="str">
        <f>D2</f>
        <v>Haiti</v>
      </c>
      <c r="C12" s="190">
        <f ca="1">I39</f>
        <v>0</v>
      </c>
      <c r="D12" s="190">
        <f ca="1">I41</f>
        <v>0</v>
      </c>
      <c r="E12" s="204"/>
      <c r="F12" s="190">
        <f>H38</f>
        <v>0</v>
      </c>
      <c r="G12" s="191">
        <f ca="1">SUM(C12:F12)</f>
        <v>0</v>
      </c>
      <c r="H12" s="189" t="str">
        <f t="shared" si="10"/>
        <v>Haiti</v>
      </c>
      <c r="I12" s="219">
        <f t="shared" ca="1" si="11"/>
        <v>0</v>
      </c>
      <c r="J12" s="219">
        <f t="shared" ca="1" si="11"/>
        <v>0</v>
      </c>
      <c r="K12" s="218">
        <f t="shared" si="11"/>
        <v>0</v>
      </c>
      <c r="L12" s="219">
        <f t="shared" ca="1" si="11"/>
        <v>0</v>
      </c>
      <c r="M12" s="220">
        <f ca="1">SUM(I12:L12)</f>
        <v>0</v>
      </c>
      <c r="N12" s="189" t="str">
        <f t="shared" si="12"/>
        <v>Haiti</v>
      </c>
      <c r="O12" s="219">
        <f t="shared" ca="1" si="13"/>
        <v>0</v>
      </c>
      <c r="P12" s="219">
        <f t="shared" ca="1" si="8"/>
        <v>0</v>
      </c>
      <c r="Q12" s="218">
        <f t="shared" si="8"/>
        <v>0</v>
      </c>
      <c r="R12" s="219">
        <f t="shared" ca="1" si="8"/>
        <v>0</v>
      </c>
      <c r="S12" s="220">
        <f ca="1">SUM(O12:R12)</f>
        <v>0</v>
      </c>
      <c r="T12" s="189" t="str">
        <f t="shared" si="14"/>
        <v>Haiti</v>
      </c>
      <c r="U12" s="219">
        <f t="shared" ca="1" si="15"/>
        <v>0</v>
      </c>
      <c r="V12" s="219">
        <f t="shared" ca="1" si="9"/>
        <v>0</v>
      </c>
      <c r="W12" s="218">
        <f t="shared" si="9"/>
        <v>0</v>
      </c>
      <c r="X12" s="219">
        <f t="shared" ca="1" si="9"/>
        <v>0</v>
      </c>
      <c r="Y12" s="220">
        <f t="shared" ca="1" si="16"/>
        <v>0</v>
      </c>
      <c r="Z12" s="224">
        <f t="shared" ca="1" si="17"/>
        <v>1</v>
      </c>
    </row>
    <row r="13" spans="1:26" x14ac:dyDescent="0.25">
      <c r="A13" s="144"/>
      <c r="B13" s="192" t="str">
        <f>E2</f>
        <v>Scotland</v>
      </c>
      <c r="C13" s="193">
        <f ca="1">H42</f>
        <v>0</v>
      </c>
      <c r="D13" s="193">
        <f ca="1">H40</f>
        <v>0</v>
      </c>
      <c r="E13" s="193">
        <f>I38</f>
        <v>3</v>
      </c>
      <c r="F13" s="205"/>
      <c r="G13" s="194">
        <f ca="1">SUM(C13:F13)</f>
        <v>3</v>
      </c>
      <c r="H13" s="192" t="str">
        <f t="shared" si="10"/>
        <v>Scotland</v>
      </c>
      <c r="I13" s="221">
        <f t="shared" ca="1" si="11"/>
        <v>0</v>
      </c>
      <c r="J13" s="221">
        <f t="shared" ca="1" si="11"/>
        <v>0</v>
      </c>
      <c r="K13" s="221">
        <f t="shared" ca="1" si="11"/>
        <v>3</v>
      </c>
      <c r="L13" s="222">
        <f t="shared" si="11"/>
        <v>0</v>
      </c>
      <c r="M13" s="223">
        <f ca="1">SUM(I13:L13)</f>
        <v>3</v>
      </c>
      <c r="N13" s="192" t="str">
        <f t="shared" si="12"/>
        <v>Scotland</v>
      </c>
      <c r="O13" s="221">
        <f t="shared" ca="1" si="13"/>
        <v>0</v>
      </c>
      <c r="P13" s="221">
        <f t="shared" ca="1" si="8"/>
        <v>0</v>
      </c>
      <c r="Q13" s="221">
        <f t="shared" ca="1" si="8"/>
        <v>3</v>
      </c>
      <c r="R13" s="222">
        <f t="shared" si="8"/>
        <v>0</v>
      </c>
      <c r="S13" s="223">
        <f ca="1">SUM(O13:R13)</f>
        <v>3</v>
      </c>
      <c r="T13" s="192" t="str">
        <f t="shared" si="14"/>
        <v>Scotland</v>
      </c>
      <c r="U13" s="221">
        <f t="shared" ca="1" si="15"/>
        <v>0</v>
      </c>
      <c r="V13" s="221">
        <f t="shared" ca="1" si="9"/>
        <v>0</v>
      </c>
      <c r="W13" s="221">
        <f t="shared" ca="1" si="9"/>
        <v>3</v>
      </c>
      <c r="X13" s="222">
        <f t="shared" si="9"/>
        <v>0</v>
      </c>
      <c r="Y13" s="223">
        <f t="shared" ca="1" si="16"/>
        <v>3</v>
      </c>
      <c r="Z13" s="225">
        <f t="shared" ca="1" si="17"/>
        <v>2</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Brazil</v>
      </c>
      <c r="D16" s="177" t="str">
        <f>C2</f>
        <v>Morocco</v>
      </c>
      <c r="E16" s="177" t="str">
        <f>D2</f>
        <v>Haiti</v>
      </c>
      <c r="F16" s="177" t="str">
        <f>E2</f>
        <v>Scotland</v>
      </c>
      <c r="G16" s="178" t="s">
        <v>26</v>
      </c>
      <c r="H16" s="183"/>
      <c r="I16" s="184" t="str">
        <f>C16</f>
        <v>Brazil</v>
      </c>
      <c r="J16" s="184" t="str">
        <f t="shared" ref="J16:L16" si="18">D16</f>
        <v>Morocco</v>
      </c>
      <c r="K16" s="184" t="str">
        <f t="shared" si="18"/>
        <v>Haiti</v>
      </c>
      <c r="L16" s="184" t="str">
        <f t="shared" si="18"/>
        <v>Scotland</v>
      </c>
      <c r="M16" s="185" t="s">
        <v>26</v>
      </c>
      <c r="N16" s="183"/>
      <c r="O16" s="184" t="str">
        <f>I16</f>
        <v>Brazil</v>
      </c>
      <c r="P16" s="184" t="str">
        <f t="shared" ref="P16:R16" si="19">J16</f>
        <v>Morocco</v>
      </c>
      <c r="Q16" s="184" t="str">
        <f t="shared" si="19"/>
        <v>Haiti</v>
      </c>
      <c r="R16" s="184" t="str">
        <f t="shared" si="19"/>
        <v>Scotland</v>
      </c>
      <c r="S16" s="185" t="s">
        <v>26</v>
      </c>
      <c r="T16" s="183"/>
      <c r="U16" s="184" t="str">
        <f>O16</f>
        <v>Brazil</v>
      </c>
      <c r="V16" s="184" t="str">
        <f t="shared" ref="V16:X16" si="20">P16</f>
        <v>Morocco</v>
      </c>
      <c r="W16" s="184" t="str">
        <f t="shared" si="20"/>
        <v>Haiti</v>
      </c>
      <c r="X16" s="184" t="str">
        <f t="shared" si="20"/>
        <v>Scotland</v>
      </c>
      <c r="Y16" s="185" t="s">
        <v>26</v>
      </c>
    </row>
    <row r="17" spans="1:25" x14ac:dyDescent="0.25">
      <c r="A17" s="144"/>
      <c r="B17" s="176" t="str">
        <f>B2</f>
        <v>Brazil</v>
      </c>
      <c r="C17" s="206"/>
      <c r="D17" s="179">
        <f>IFERROR(F37-G37,0)</f>
        <v>0</v>
      </c>
      <c r="E17" s="179">
        <f ca="1">IFERROR(F39-G39,0)</f>
        <v>1</v>
      </c>
      <c r="F17" s="179">
        <f ca="1">IFERROR(G42-F42,0)</f>
        <v>1</v>
      </c>
      <c r="G17" s="178">
        <f ca="1">SUM(C17:F17)</f>
        <v>2</v>
      </c>
      <c r="H17" s="183" t="str">
        <f>B17</f>
        <v>Brazil</v>
      </c>
      <c r="I17" s="208"/>
      <c r="J17" s="184">
        <f ca="1">D17*J3</f>
        <v>0</v>
      </c>
      <c r="K17" s="184">
        <f ca="1">E17*K3</f>
        <v>0</v>
      </c>
      <c r="L17" s="184">
        <f ca="1">F17*L3</f>
        <v>0</v>
      </c>
      <c r="M17" s="185">
        <f ca="1">SUM(I17:L17)</f>
        <v>0</v>
      </c>
      <c r="N17" s="183" t="str">
        <f>H17</f>
        <v>Brazil</v>
      </c>
      <c r="O17" s="208"/>
      <c r="P17" s="184">
        <f ca="1">J17*P3</f>
        <v>0</v>
      </c>
      <c r="Q17" s="184">
        <f ca="1">K17*Q3</f>
        <v>0</v>
      </c>
      <c r="R17" s="184">
        <f ca="1">L17*R3</f>
        <v>0</v>
      </c>
      <c r="S17" s="185">
        <f ca="1">SUM(O17:R17)</f>
        <v>0</v>
      </c>
      <c r="T17" s="183" t="str">
        <f>N17</f>
        <v>Brazil</v>
      </c>
      <c r="U17" s="208"/>
      <c r="V17" s="184">
        <f ca="1">P17*V3</f>
        <v>0</v>
      </c>
      <c r="W17" s="184">
        <f ca="1">Q17*W3</f>
        <v>0</v>
      </c>
      <c r="X17" s="184">
        <f ca="1">R17*X3</f>
        <v>0</v>
      </c>
      <c r="Y17" s="185">
        <f ca="1">SUM(U17:X17)</f>
        <v>0</v>
      </c>
    </row>
    <row r="18" spans="1:25" x14ac:dyDescent="0.25">
      <c r="A18" s="144"/>
      <c r="B18" s="176" t="str">
        <f>C2</f>
        <v>Morocco</v>
      </c>
      <c r="C18" s="179">
        <f>IFERROR(G37-F37,0)</f>
        <v>0</v>
      </c>
      <c r="D18" s="206"/>
      <c r="E18" s="179">
        <f ca="1">IFERROR(F41-G41,0)</f>
        <v>3</v>
      </c>
      <c r="F18" s="179">
        <f ca="1">IFERROR(G40-F40,0)</f>
        <v>1</v>
      </c>
      <c r="G18" s="178">
        <f ca="1">SUM(C18:F18)</f>
        <v>4</v>
      </c>
      <c r="H18" s="183" t="str">
        <f t="shared" ref="H18:H20" si="21">B18</f>
        <v>Morocco</v>
      </c>
      <c r="I18" s="184">
        <f ca="1">C18*I4</f>
        <v>0</v>
      </c>
      <c r="J18" s="208"/>
      <c r="K18" s="184">
        <f ca="1">E18*K4</f>
        <v>0</v>
      </c>
      <c r="L18" s="184">
        <f ca="1">F18*L4</f>
        <v>0</v>
      </c>
      <c r="M18" s="185">
        <f ca="1">SUM(I18:L18)</f>
        <v>0</v>
      </c>
      <c r="N18" s="183" t="str">
        <f t="shared" ref="N18:N20" si="22">H18</f>
        <v>Morocco</v>
      </c>
      <c r="O18" s="184">
        <f ca="1">I18*O4</f>
        <v>0</v>
      </c>
      <c r="P18" s="208"/>
      <c r="Q18" s="184">
        <f ca="1">K18*Q4</f>
        <v>0</v>
      </c>
      <c r="R18" s="184">
        <f ca="1">L18*R4</f>
        <v>0</v>
      </c>
      <c r="S18" s="185">
        <f ca="1">SUM(O18:R18)</f>
        <v>0</v>
      </c>
      <c r="T18" s="183" t="str">
        <f t="shared" ref="T18:T20" si="23">N18</f>
        <v>Morocco</v>
      </c>
      <c r="U18" s="184">
        <f ca="1">O18*U4</f>
        <v>0</v>
      </c>
      <c r="V18" s="208"/>
      <c r="W18" s="184">
        <f ca="1">Q18*W4</f>
        <v>0</v>
      </c>
      <c r="X18" s="184">
        <f ca="1">R18*X4</f>
        <v>0</v>
      </c>
      <c r="Y18" s="185">
        <f ca="1">SUM(U18:X18)</f>
        <v>0</v>
      </c>
    </row>
    <row r="19" spans="1:25" x14ac:dyDescent="0.25">
      <c r="A19" s="144"/>
      <c r="B19" s="176" t="str">
        <f>D2</f>
        <v>Haiti</v>
      </c>
      <c r="C19" s="179">
        <f ca="1">IFERROR(G39-F39,0)</f>
        <v>-1</v>
      </c>
      <c r="D19" s="179">
        <f ca="1">IFERROR(G41-F41,0)</f>
        <v>-3</v>
      </c>
      <c r="E19" s="206"/>
      <c r="F19" s="179">
        <f>IFERROR(F38-G38,0)</f>
        <v>-1</v>
      </c>
      <c r="G19" s="178">
        <f ca="1">SUM(C19:F19)</f>
        <v>-5</v>
      </c>
      <c r="H19" s="183" t="str">
        <f t="shared" si="21"/>
        <v>Haiti</v>
      </c>
      <c r="I19" s="184">
        <f ca="1">C19*I5</f>
        <v>0</v>
      </c>
      <c r="J19" s="184">
        <f ca="1">D19*J5</f>
        <v>0</v>
      </c>
      <c r="K19" s="208"/>
      <c r="L19" s="184">
        <f ca="1">F19*L5</f>
        <v>0</v>
      </c>
      <c r="M19" s="185">
        <f ca="1">SUM(I19:L19)</f>
        <v>0</v>
      </c>
      <c r="N19" s="183" t="str">
        <f t="shared" si="22"/>
        <v>Haiti</v>
      </c>
      <c r="O19" s="184">
        <f ca="1">I19*O5</f>
        <v>0</v>
      </c>
      <c r="P19" s="184">
        <f ca="1">J19*P5</f>
        <v>0</v>
      </c>
      <c r="Q19" s="208"/>
      <c r="R19" s="184">
        <f ca="1">L19*R5</f>
        <v>0</v>
      </c>
      <c r="S19" s="185">
        <f ca="1">SUM(O19:R19)</f>
        <v>0</v>
      </c>
      <c r="T19" s="183" t="str">
        <f t="shared" si="23"/>
        <v>Haiti</v>
      </c>
      <c r="U19" s="184">
        <f ca="1">O19*U5</f>
        <v>0</v>
      </c>
      <c r="V19" s="184">
        <f ca="1">P19*V5</f>
        <v>0</v>
      </c>
      <c r="W19" s="208"/>
      <c r="X19" s="184">
        <f ca="1">R19*X5</f>
        <v>0</v>
      </c>
      <c r="Y19" s="185">
        <f ca="1">SUM(U19:X19)</f>
        <v>0</v>
      </c>
    </row>
    <row r="20" spans="1:25" x14ac:dyDescent="0.25">
      <c r="A20" s="144"/>
      <c r="B20" s="180" t="str">
        <f>E2</f>
        <v>Scotland</v>
      </c>
      <c r="C20" s="181">
        <f ca="1">IFERROR(F42-G42,0)</f>
        <v>-1</v>
      </c>
      <c r="D20" s="181">
        <f ca="1">IFERROR(F40-G40,0)</f>
        <v>-1</v>
      </c>
      <c r="E20" s="181">
        <f>IFERROR(G38-F38,0)</f>
        <v>1</v>
      </c>
      <c r="F20" s="207"/>
      <c r="G20" s="182">
        <f ca="1">SUM(C20:F20)</f>
        <v>-1</v>
      </c>
      <c r="H20" s="186" t="str">
        <f t="shared" si="21"/>
        <v>Scotland</v>
      </c>
      <c r="I20" s="187">
        <f ca="1">C20*I6</f>
        <v>0</v>
      </c>
      <c r="J20" s="187">
        <f ca="1">D20*J6</f>
        <v>0</v>
      </c>
      <c r="K20" s="187">
        <f ca="1">E20*K6</f>
        <v>0</v>
      </c>
      <c r="L20" s="213"/>
      <c r="M20" s="188">
        <f ca="1">SUM(I20:L20)</f>
        <v>0</v>
      </c>
      <c r="N20" s="186" t="str">
        <f t="shared" si="22"/>
        <v>Scotland</v>
      </c>
      <c r="O20" s="187">
        <f ca="1">I20*O6</f>
        <v>0</v>
      </c>
      <c r="P20" s="187">
        <f ca="1">J20*P6</f>
        <v>0</v>
      </c>
      <c r="Q20" s="187">
        <f ca="1">K20*Q6</f>
        <v>0</v>
      </c>
      <c r="R20" s="213"/>
      <c r="S20" s="188">
        <f ca="1">SUM(O20:R20)</f>
        <v>0</v>
      </c>
      <c r="T20" s="186" t="str">
        <f t="shared" si="23"/>
        <v>Scotland</v>
      </c>
      <c r="U20" s="187">
        <f ca="1">O20*U6</f>
        <v>0</v>
      </c>
      <c r="V20" s="187">
        <f ca="1">P20*V6</f>
        <v>0</v>
      </c>
      <c r="W20" s="187">
        <f ca="1">Q20*W6</f>
        <v>0</v>
      </c>
      <c r="X20" s="213"/>
      <c r="Y20" s="188">
        <f ca="1">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Brazil</v>
      </c>
      <c r="D23" s="164" t="str">
        <f>C2</f>
        <v>Morocco</v>
      </c>
      <c r="E23" s="164" t="str">
        <f>D2</f>
        <v>Haiti</v>
      </c>
      <c r="F23" s="164" t="str">
        <f>E2</f>
        <v>Scotland</v>
      </c>
      <c r="G23" s="165" t="s">
        <v>26</v>
      </c>
      <c r="H23" s="169"/>
      <c r="I23" s="170" t="str">
        <f>C23</f>
        <v>Brazil</v>
      </c>
      <c r="J23" s="170" t="str">
        <f t="shared" ref="J23:L23" si="24">D23</f>
        <v>Morocco</v>
      </c>
      <c r="K23" s="170" t="str">
        <f t="shared" si="24"/>
        <v>Haiti</v>
      </c>
      <c r="L23" s="170" t="str">
        <f t="shared" si="24"/>
        <v>Scotland</v>
      </c>
      <c r="M23" s="171" t="s">
        <v>26</v>
      </c>
      <c r="N23" s="169"/>
      <c r="O23" s="170" t="str">
        <f>I23</f>
        <v>Brazil</v>
      </c>
      <c r="P23" s="170" t="str">
        <f t="shared" ref="P23:R23" si="25">J23</f>
        <v>Morocco</v>
      </c>
      <c r="Q23" s="170" t="str">
        <f t="shared" si="25"/>
        <v>Haiti</v>
      </c>
      <c r="R23" s="170" t="str">
        <f t="shared" si="25"/>
        <v>Scotland</v>
      </c>
      <c r="S23" s="171" t="s">
        <v>26</v>
      </c>
      <c r="T23" s="169"/>
      <c r="U23" s="170" t="str">
        <f>O23</f>
        <v>Brazil</v>
      </c>
      <c r="V23" s="170" t="str">
        <f t="shared" ref="V23:X23" si="26">P23</f>
        <v>Morocco</v>
      </c>
      <c r="W23" s="170" t="str">
        <f t="shared" si="26"/>
        <v>Haiti</v>
      </c>
      <c r="X23" s="170" t="str">
        <f t="shared" si="26"/>
        <v>Scotland</v>
      </c>
      <c r="Y23" s="171" t="s">
        <v>26</v>
      </c>
    </row>
    <row r="24" spans="1:25" x14ac:dyDescent="0.25">
      <c r="A24" s="143"/>
      <c r="B24" s="163" t="str">
        <f>B2</f>
        <v>Brazil</v>
      </c>
      <c r="C24" s="209"/>
      <c r="D24" s="164">
        <f>IF(F37="",0,F37)</f>
        <v>1</v>
      </c>
      <c r="E24" s="164">
        <f ca="1">IF(F39="",0,F39)</f>
        <v>3</v>
      </c>
      <c r="F24" s="164">
        <f ca="1">IF(G42="",0,G42)</f>
        <v>1</v>
      </c>
      <c r="G24" s="165">
        <f ca="1">SUM(C24:F24)</f>
        <v>5</v>
      </c>
      <c r="H24" s="169" t="str">
        <f>B24</f>
        <v>Brazil</v>
      </c>
      <c r="I24" s="214"/>
      <c r="J24" s="170">
        <f ca="1">D24*J3</f>
        <v>1</v>
      </c>
      <c r="K24" s="170">
        <f ca="1">E24*K3</f>
        <v>0</v>
      </c>
      <c r="L24" s="170">
        <f ca="1">F24*L3</f>
        <v>0</v>
      </c>
      <c r="M24" s="171">
        <f ca="1">SUM(I24:L24)</f>
        <v>1</v>
      </c>
      <c r="N24" s="169" t="str">
        <f>H24</f>
        <v>Brazil</v>
      </c>
      <c r="O24" s="214"/>
      <c r="P24" s="170">
        <f ca="1">J24*P3</f>
        <v>1</v>
      </c>
      <c r="Q24" s="170">
        <f ca="1">K24*Q3</f>
        <v>0</v>
      </c>
      <c r="R24" s="170">
        <f ca="1">L24*R3</f>
        <v>0</v>
      </c>
      <c r="S24" s="171">
        <f ca="1">SUM(O24:R24)</f>
        <v>1</v>
      </c>
      <c r="T24" s="169" t="str">
        <f>N24</f>
        <v>Brazil</v>
      </c>
      <c r="U24" s="214"/>
      <c r="V24" s="170">
        <f ca="1">P24*V3</f>
        <v>1</v>
      </c>
      <c r="W24" s="170">
        <f ca="1">Q24*W3</f>
        <v>0</v>
      </c>
      <c r="X24" s="170">
        <f ca="1">R24*X3</f>
        <v>0</v>
      </c>
      <c r="Y24" s="171">
        <f ca="1">SUM(U24:X24)</f>
        <v>1</v>
      </c>
    </row>
    <row r="25" spans="1:25" x14ac:dyDescent="0.25">
      <c r="A25" s="143"/>
      <c r="B25" s="163" t="str">
        <f>C2</f>
        <v>Morocco</v>
      </c>
      <c r="C25" s="164">
        <f>IF(G37="",0,G37)</f>
        <v>1</v>
      </c>
      <c r="D25" s="209"/>
      <c r="E25" s="164">
        <f ca="1">IF(F41="",0,F41)</f>
        <v>3</v>
      </c>
      <c r="F25" s="164">
        <f ca="1">IF(G40="",0,G40)</f>
        <v>2</v>
      </c>
      <c r="G25" s="165">
        <f ca="1">SUM(C25:F25)</f>
        <v>6</v>
      </c>
      <c r="H25" s="169" t="str">
        <f t="shared" ref="H25:H27" si="27">B25</f>
        <v>Morocco</v>
      </c>
      <c r="I25" s="170">
        <f ca="1">C25*I4</f>
        <v>1</v>
      </c>
      <c r="J25" s="214"/>
      <c r="K25" s="170">
        <f ca="1">E25*K4</f>
        <v>0</v>
      </c>
      <c r="L25" s="170">
        <f ca="1">F25*L4</f>
        <v>0</v>
      </c>
      <c r="M25" s="171">
        <f ca="1">SUM(I25:L25)</f>
        <v>1</v>
      </c>
      <c r="N25" s="169" t="str">
        <f t="shared" ref="N25:N27" si="28">H25</f>
        <v>Morocco</v>
      </c>
      <c r="O25" s="170">
        <f ca="1">I25*O4</f>
        <v>1</v>
      </c>
      <c r="P25" s="214"/>
      <c r="Q25" s="170">
        <f ca="1">K25*Q4</f>
        <v>0</v>
      </c>
      <c r="R25" s="170">
        <f ca="1">L25*R4</f>
        <v>0</v>
      </c>
      <c r="S25" s="171">
        <f ca="1">SUM(O25:R25)</f>
        <v>1</v>
      </c>
      <c r="T25" s="169" t="str">
        <f t="shared" ref="T25:T27" si="29">N25</f>
        <v>Morocco</v>
      </c>
      <c r="U25" s="170">
        <f ca="1">O25*U4</f>
        <v>1</v>
      </c>
      <c r="V25" s="214"/>
      <c r="W25" s="170">
        <f ca="1">Q25*W4</f>
        <v>0</v>
      </c>
      <c r="X25" s="170">
        <f ca="1">R25*X4</f>
        <v>0</v>
      </c>
      <c r="Y25" s="171">
        <f ca="1">SUM(U25:X25)</f>
        <v>1</v>
      </c>
    </row>
    <row r="26" spans="1:25" x14ac:dyDescent="0.25">
      <c r="A26" s="143"/>
      <c r="B26" s="163" t="str">
        <f>D2</f>
        <v>Haiti</v>
      </c>
      <c r="C26" s="164">
        <f ca="1">IF(G39="",0,G39)</f>
        <v>2</v>
      </c>
      <c r="D26" s="164">
        <f ca="1">IF(G41="",0,G41)</f>
        <v>0</v>
      </c>
      <c r="E26" s="209"/>
      <c r="F26" s="164">
        <f>IF(F38="",0,F38)</f>
        <v>0</v>
      </c>
      <c r="G26" s="165">
        <f ca="1">SUM(C26:F26)</f>
        <v>2</v>
      </c>
      <c r="H26" s="169" t="str">
        <f t="shared" si="27"/>
        <v>Haiti</v>
      </c>
      <c r="I26" s="170">
        <f ca="1">C26*I5</f>
        <v>0</v>
      </c>
      <c r="J26" s="170">
        <f ca="1">D26*J5</f>
        <v>0</v>
      </c>
      <c r="K26" s="214"/>
      <c r="L26" s="170">
        <f ca="1">F26*L5</f>
        <v>0</v>
      </c>
      <c r="M26" s="171">
        <f ca="1">SUM(I26:L26)</f>
        <v>0</v>
      </c>
      <c r="N26" s="169" t="str">
        <f t="shared" si="28"/>
        <v>Haiti</v>
      </c>
      <c r="O26" s="170">
        <f ca="1">I26*O5</f>
        <v>0</v>
      </c>
      <c r="P26" s="170">
        <f ca="1">J26*P5</f>
        <v>0</v>
      </c>
      <c r="Q26" s="214"/>
      <c r="R26" s="170">
        <f ca="1">L26*R5</f>
        <v>0</v>
      </c>
      <c r="S26" s="171">
        <f ca="1">SUM(O26:R26)</f>
        <v>0</v>
      </c>
      <c r="T26" s="169" t="str">
        <f t="shared" si="29"/>
        <v>Haiti</v>
      </c>
      <c r="U26" s="170">
        <f ca="1">O26*U5</f>
        <v>0</v>
      </c>
      <c r="V26" s="170">
        <f ca="1">P26*V5</f>
        <v>0</v>
      </c>
      <c r="W26" s="214"/>
      <c r="X26" s="170">
        <f ca="1">R26*X5</f>
        <v>0</v>
      </c>
      <c r="Y26" s="171">
        <f ca="1">SUM(U26:X26)</f>
        <v>0</v>
      </c>
    </row>
    <row r="27" spans="1:25" x14ac:dyDescent="0.25">
      <c r="A27" s="143"/>
      <c r="B27" s="166" t="str">
        <f>E2</f>
        <v>Scotland</v>
      </c>
      <c r="C27" s="167">
        <f ca="1">IF(F42="",0,F42)</f>
        <v>0</v>
      </c>
      <c r="D27" s="167">
        <f ca="1">IF(F40="",0,F40)</f>
        <v>1</v>
      </c>
      <c r="E27" s="167">
        <f>IF(G38="",0,G38)</f>
        <v>1</v>
      </c>
      <c r="F27" s="210"/>
      <c r="G27" s="168">
        <f ca="1">SUM(C27:F27)</f>
        <v>2</v>
      </c>
      <c r="H27" s="172" t="str">
        <f t="shared" si="27"/>
        <v>Scotland</v>
      </c>
      <c r="I27" s="173">
        <f ca="1">C27*I6</f>
        <v>0</v>
      </c>
      <c r="J27" s="173">
        <f ca="1">D27*J6</f>
        <v>0</v>
      </c>
      <c r="K27" s="173">
        <f ca="1">E27*K6</f>
        <v>0</v>
      </c>
      <c r="L27" s="215"/>
      <c r="M27" s="174">
        <f ca="1">SUM(I27:L27)</f>
        <v>0</v>
      </c>
      <c r="N27" s="172" t="str">
        <f t="shared" si="28"/>
        <v>Scotland</v>
      </c>
      <c r="O27" s="173">
        <f ca="1">I27*O6</f>
        <v>0</v>
      </c>
      <c r="P27" s="173">
        <f ca="1">J27*P6</f>
        <v>0</v>
      </c>
      <c r="Q27" s="173">
        <f ca="1">K27*Q6</f>
        <v>0</v>
      </c>
      <c r="R27" s="215"/>
      <c r="S27" s="174">
        <f ca="1">SUM(O27:R27)</f>
        <v>0</v>
      </c>
      <c r="T27" s="172" t="str">
        <f t="shared" si="29"/>
        <v>Scotland</v>
      </c>
      <c r="U27" s="173">
        <f ca="1">O27*U6</f>
        <v>0</v>
      </c>
      <c r="V27" s="173">
        <f ca="1">P27*V6</f>
        <v>0</v>
      </c>
      <c r="W27" s="173">
        <f ca="1">Q27*W6</f>
        <v>0</v>
      </c>
      <c r="X27" s="215"/>
      <c r="Y27" s="174">
        <f ca="1">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300" t="s">
        <v>669</v>
      </c>
      <c r="E29" s="300" t="s">
        <v>670</v>
      </c>
      <c r="F29" s="300" t="s">
        <v>671</v>
      </c>
      <c r="G29" s="232" t="s">
        <v>631</v>
      </c>
      <c r="H29" s="232" t="s">
        <v>632</v>
      </c>
      <c r="I29" s="232" t="s">
        <v>633</v>
      </c>
      <c r="J29" s="232" t="s">
        <v>676</v>
      </c>
      <c r="K29" s="232" t="s">
        <v>411</v>
      </c>
      <c r="L29" s="232" t="s">
        <v>661</v>
      </c>
      <c r="M29" s="232" t="s">
        <v>634</v>
      </c>
      <c r="N29" s="233" t="s">
        <v>635</v>
      </c>
    </row>
    <row r="30" spans="1:25" x14ac:dyDescent="0.25">
      <c r="A30" s="234">
        <f ca="1">N30</f>
        <v>2</v>
      </c>
      <c r="B30" s="235" t="str">
        <f>B2</f>
        <v>Brazil</v>
      </c>
      <c r="C30" s="236">
        <v>3</v>
      </c>
      <c r="D30" s="236">
        <f ca="1">COUNTIF(FWinners,B30)</f>
        <v>2</v>
      </c>
      <c r="E30" s="236">
        <f ca="1">COUNTIF(FDraws,"D"&amp;B30)</f>
        <v>1</v>
      </c>
      <c r="F30" s="236">
        <f ca="1">COUNTIF(FLosers,B30)</f>
        <v>0</v>
      </c>
      <c r="G30" s="236">
        <f ca="1">F37+F39+G42</f>
        <v>5</v>
      </c>
      <c r="H30" s="236">
        <f ca="1">G37+G39+F42</f>
        <v>3</v>
      </c>
      <c r="I30" s="236">
        <f ca="1">G30-H30</f>
        <v>2</v>
      </c>
      <c r="J30" s="237">
        <f ca="1">Z10</f>
        <v>3</v>
      </c>
      <c r="K30" s="236">
        <f>VLOOKUP($B30,Lookup10,11,FALSE)</f>
        <v>2</v>
      </c>
      <c r="L30" s="236">
        <f>VLOOKUP($B30,Lookup11,2,FALSE)</f>
        <v>6</v>
      </c>
      <c r="M30" s="238">
        <f ca="1">ROUND(G30*G$34+I30*I$34+J30*J$34-K30*K$34-L30*L$34,8)</f>
        <v>30204.9794</v>
      </c>
      <c r="N30" s="239">
        <f ca="1">RANK(M30,M$30:M$33,0)</f>
        <v>2</v>
      </c>
    </row>
    <row r="31" spans="1:25" x14ac:dyDescent="0.25">
      <c r="A31" s="234">
        <f ca="1">N31</f>
        <v>1</v>
      </c>
      <c r="B31" s="235" t="str">
        <f>C2</f>
        <v>Morocco</v>
      </c>
      <c r="C31" s="236">
        <v>3</v>
      </c>
      <c r="D31" s="236">
        <f ca="1">COUNTIF(FWinners,B31)</f>
        <v>2</v>
      </c>
      <c r="E31" s="236">
        <f ca="1">COUNTIF(FDraws,"D"&amp;B31)</f>
        <v>1</v>
      </c>
      <c r="F31" s="236">
        <f ca="1">COUNTIF(FLosers,B31)</f>
        <v>0</v>
      </c>
      <c r="G31" s="236">
        <f ca="1">G37+G40+F41</f>
        <v>6</v>
      </c>
      <c r="H31" s="236">
        <f ca="1">F37+F40+G41</f>
        <v>2</v>
      </c>
      <c r="I31" s="236">
        <f t="shared" ref="I31:I33" ca="1" si="30">G31-H31</f>
        <v>4</v>
      </c>
      <c r="J31" s="237">
        <f ca="1">Z11</f>
        <v>3</v>
      </c>
      <c r="K31" s="236">
        <f>VLOOKUP($B31,Lookup10,11,FALSE)</f>
        <v>0</v>
      </c>
      <c r="L31" s="236">
        <f>VLOOKUP($B31,Lookup11,2,FALSE)</f>
        <v>7</v>
      </c>
      <c r="M31" s="238">
        <f ca="1">ROUND(G31*G$34+I31*I$34+J31*J$34-K31*K$34-L31*L$34,8)</f>
        <v>30405.999299999999</v>
      </c>
      <c r="N31" s="239">
        <f ca="1">RANK(M31,M$30:M$33,0)</f>
        <v>1</v>
      </c>
    </row>
    <row r="32" spans="1:25" x14ac:dyDescent="0.25">
      <c r="A32" s="234">
        <f ca="1">N32</f>
        <v>4</v>
      </c>
      <c r="B32" s="235" t="str">
        <f>D2</f>
        <v>Haiti</v>
      </c>
      <c r="C32" s="236">
        <v>3</v>
      </c>
      <c r="D32" s="236">
        <f ca="1">COUNTIF(FWinners,B32)</f>
        <v>0</v>
      </c>
      <c r="E32" s="236">
        <f ca="1">COUNTIF(FDraws,"D"&amp;B32)</f>
        <v>0</v>
      </c>
      <c r="F32" s="236">
        <f ca="1">COUNTIF(FLosers,B32)</f>
        <v>3</v>
      </c>
      <c r="G32" s="236">
        <f ca="1">F38+G39+G41</f>
        <v>2</v>
      </c>
      <c r="H32" s="236">
        <f ca="1">G38+F39+F41</f>
        <v>7</v>
      </c>
      <c r="I32" s="236">
        <f t="shared" ca="1" si="30"/>
        <v>-5</v>
      </c>
      <c r="J32" s="237">
        <f ca="1">Z12</f>
        <v>1</v>
      </c>
      <c r="K32" s="236">
        <f>VLOOKUP($B32,Lookup10,11,FALSE)</f>
        <v>1</v>
      </c>
      <c r="L32" s="236">
        <f>VLOOKUP($B32,Lookup11,2,FALSE)</f>
        <v>47</v>
      </c>
      <c r="M32" s="238">
        <f ca="1">ROUND(G32*G$34+I32*I$34+J32*J$34-K32*K$34-L32*L$34,8)</f>
        <v>9501.9853000000003</v>
      </c>
      <c r="N32" s="239">
        <f ca="1">RANK(M32,M$30:M$33,0)</f>
        <v>4</v>
      </c>
    </row>
    <row r="33" spans="1:16" x14ac:dyDescent="0.25">
      <c r="A33" s="234">
        <f ca="1">N33</f>
        <v>3</v>
      </c>
      <c r="B33" s="235" t="str">
        <f>E2</f>
        <v>Scotland</v>
      </c>
      <c r="C33" s="236">
        <v>3</v>
      </c>
      <c r="D33" s="236">
        <f ca="1">COUNTIF(FWinners,B33)</f>
        <v>1</v>
      </c>
      <c r="E33" s="236">
        <f ca="1">COUNTIF(FDraws,"D"&amp;B33)</f>
        <v>0</v>
      </c>
      <c r="F33" s="236">
        <f ca="1">COUNTIF(FLosers,B33)</f>
        <v>2</v>
      </c>
      <c r="G33" s="236">
        <f ca="1">G38+F40+F42</f>
        <v>2</v>
      </c>
      <c r="H33" s="236">
        <f ca="1">F38+G40+G42</f>
        <v>3</v>
      </c>
      <c r="I33" s="236">
        <f t="shared" ca="1" si="30"/>
        <v>-1</v>
      </c>
      <c r="J33" s="237">
        <f ca="1">Z13</f>
        <v>2</v>
      </c>
      <c r="K33" s="236">
        <f>VLOOKUP($B33,Lookup10,11,FALSE)</f>
        <v>3</v>
      </c>
      <c r="L33" s="236">
        <f>VLOOKUP($B33,Lookup11,2,FALSE)</f>
        <v>34</v>
      </c>
      <c r="M33" s="238">
        <f ca="1">ROUND(G33*G$34+I33*I$34+J33*J$34-K33*K$34-L33*L$34,8)</f>
        <v>19901.9666</v>
      </c>
      <c r="N33" s="239">
        <f ca="1">RANK(M33,M$30:M$33,0)</f>
        <v>3</v>
      </c>
    </row>
    <row r="34" spans="1:16" x14ac:dyDescent="0.25">
      <c r="A34" s="240"/>
      <c r="B34" s="241" t="s">
        <v>636</v>
      </c>
      <c r="C34" s="242">
        <f>SUM(C30:C33)</f>
        <v>12</v>
      </c>
      <c r="D34" s="242"/>
      <c r="E34" s="242"/>
      <c r="F34" s="242"/>
      <c r="G34" s="205">
        <v>1</v>
      </c>
      <c r="H34" s="205"/>
      <c r="I34" s="205">
        <v>100</v>
      </c>
      <c r="J34" s="205">
        <v>10000</v>
      </c>
      <c r="K34" s="205">
        <v>0.01</v>
      </c>
      <c r="L34" s="205">
        <v>1E-4</v>
      </c>
      <c r="M34" s="242"/>
      <c r="N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BrazilMorocco</v>
      </c>
      <c r="B37" s="158" t="str">
        <f>B1&amp;C1</f>
        <v>C1C2</v>
      </c>
      <c r="C37" s="158">
        <v>1</v>
      </c>
      <c r="D37" s="150" t="str">
        <f>B2</f>
        <v>Brazil</v>
      </c>
      <c r="E37" s="150" t="str">
        <f>C2</f>
        <v>Morocco</v>
      </c>
      <c r="F37" s="158">
        <f t="shared" ref="F37:F42" si="31">VLOOKUP($B37,Lookup18,6,FALSE)</f>
        <v>1</v>
      </c>
      <c r="G37" s="158">
        <f t="shared" ref="G37:G42" si="32">VLOOKUP($B37,Lookup18,8,FALSE)</f>
        <v>1</v>
      </c>
      <c r="H37" s="158">
        <f t="shared" ref="H37:H42" si="33">IF(C37=0,0,IF(F37&lt;G37,Lpts,IF(F37&gt;G37,Wpts,Dpts)))</f>
        <v>1</v>
      </c>
      <c r="I37" s="158">
        <f t="shared" ref="I37:I42" si="34">IF(C37=0,0,IF(G37&lt;F37,Lpts,IF(G37&gt;F37,Wpts,Dpts)))</f>
        <v>1</v>
      </c>
      <c r="J37" s="158">
        <f t="shared" ref="J37:K42" si="35">IF(VLOOKUP($B37,Lookup12,4,FALSE)="",0,VLOOKUP($B37,Lookup12,4,FALSE))</f>
        <v>2</v>
      </c>
      <c r="K37" s="158">
        <f t="shared" si="35"/>
        <v>2</v>
      </c>
      <c r="L37" s="143"/>
      <c r="M37" s="143"/>
      <c r="N37" s="143"/>
      <c r="O37" s="143"/>
      <c r="P37" s="143"/>
    </row>
    <row r="38" spans="1:16" x14ac:dyDescent="0.25">
      <c r="A38" s="149" t="str">
        <f>D2&amp;E2</f>
        <v>HaitiScotland</v>
      </c>
      <c r="B38" s="158" t="str">
        <f>D1&amp;E1</f>
        <v>C3C4</v>
      </c>
      <c r="C38" s="158">
        <v>1</v>
      </c>
      <c r="D38" s="150" t="str">
        <f>D2</f>
        <v>Haiti</v>
      </c>
      <c r="E38" s="150" t="str">
        <f>E2</f>
        <v>Scotland</v>
      </c>
      <c r="F38" s="158">
        <f t="shared" si="31"/>
        <v>0</v>
      </c>
      <c r="G38" s="158">
        <f t="shared" si="32"/>
        <v>1</v>
      </c>
      <c r="H38" s="158">
        <f t="shared" si="33"/>
        <v>0</v>
      </c>
      <c r="I38" s="158">
        <f t="shared" si="34"/>
        <v>3</v>
      </c>
      <c r="J38" s="158">
        <f t="shared" si="35"/>
        <v>1</v>
      </c>
      <c r="K38" s="158">
        <f t="shared" si="35"/>
        <v>1</v>
      </c>
      <c r="L38" s="143"/>
      <c r="M38" s="143"/>
      <c r="N38" s="143"/>
      <c r="O38" s="143"/>
      <c r="P38" s="143"/>
    </row>
    <row r="39" spans="1:16" x14ac:dyDescent="0.25">
      <c r="A39" s="149" t="str">
        <f>B2&amp;D2</f>
        <v>BrazilHaiti</v>
      </c>
      <c r="B39" s="158" t="str">
        <f>B1&amp;D1</f>
        <v>C1C3</v>
      </c>
      <c r="C39" s="158">
        <v>1</v>
      </c>
      <c r="D39" s="150" t="str">
        <f>B2</f>
        <v>Brazil</v>
      </c>
      <c r="E39" s="150" t="str">
        <f>D2</f>
        <v>Haiti</v>
      </c>
      <c r="F39" s="158">
        <f t="shared" ca="1" si="31"/>
        <v>3</v>
      </c>
      <c r="G39" s="158">
        <f t="shared" ca="1" si="32"/>
        <v>2</v>
      </c>
      <c r="H39" s="158">
        <f t="shared" ca="1" si="33"/>
        <v>3</v>
      </c>
      <c r="I39" s="158">
        <f t="shared" ca="1" si="34"/>
        <v>0</v>
      </c>
      <c r="J39" s="158">
        <f t="shared" si="35"/>
        <v>0</v>
      </c>
      <c r="K39" s="158">
        <f t="shared" si="35"/>
        <v>0</v>
      </c>
      <c r="L39" s="143"/>
      <c r="M39" s="143"/>
      <c r="N39" s="143"/>
      <c r="O39" s="143"/>
      <c r="P39" s="143"/>
    </row>
    <row r="40" spans="1:16" x14ac:dyDescent="0.25">
      <c r="A40" s="149" t="str">
        <f>E2&amp;C2</f>
        <v>ScotlandMorocco</v>
      </c>
      <c r="B40" s="158" t="str">
        <f>E1&amp;C1</f>
        <v>C4C2</v>
      </c>
      <c r="C40" s="158">
        <v>1</v>
      </c>
      <c r="D40" s="150" t="str">
        <f>E2</f>
        <v>Scotland</v>
      </c>
      <c r="E40" s="150" t="str">
        <f>C2</f>
        <v>Morocco</v>
      </c>
      <c r="F40" s="158">
        <f t="shared" ca="1" si="31"/>
        <v>1</v>
      </c>
      <c r="G40" s="158">
        <f t="shared" ca="1" si="32"/>
        <v>2</v>
      </c>
      <c r="H40" s="158">
        <f t="shared" ca="1" si="33"/>
        <v>0</v>
      </c>
      <c r="I40" s="158">
        <f t="shared" ca="1" si="34"/>
        <v>3</v>
      </c>
      <c r="J40" s="158">
        <f t="shared" si="35"/>
        <v>0</v>
      </c>
      <c r="K40" s="158">
        <f t="shared" si="35"/>
        <v>0</v>
      </c>
      <c r="L40" s="143"/>
      <c r="M40" s="143"/>
      <c r="N40" s="143"/>
      <c r="O40" s="143"/>
      <c r="P40" s="143"/>
    </row>
    <row r="41" spans="1:16" x14ac:dyDescent="0.25">
      <c r="A41" s="149" t="str">
        <f>C2&amp;D2</f>
        <v>MoroccoHaiti</v>
      </c>
      <c r="B41" s="158" t="str">
        <f>C1&amp;D1</f>
        <v>C2C3</v>
      </c>
      <c r="C41" s="158">
        <v>1</v>
      </c>
      <c r="D41" s="150" t="str">
        <f>C2</f>
        <v>Morocco</v>
      </c>
      <c r="E41" s="150" t="str">
        <f>D2</f>
        <v>Haiti</v>
      </c>
      <c r="F41" s="158">
        <f t="shared" ca="1" si="31"/>
        <v>3</v>
      </c>
      <c r="G41" s="158">
        <f t="shared" ca="1" si="32"/>
        <v>0</v>
      </c>
      <c r="H41" s="158">
        <f t="shared" ca="1" si="33"/>
        <v>3</v>
      </c>
      <c r="I41" s="158">
        <f t="shared" ca="1" si="34"/>
        <v>0</v>
      </c>
      <c r="J41" s="158">
        <f t="shared" si="35"/>
        <v>0</v>
      </c>
      <c r="K41" s="158">
        <f t="shared" si="35"/>
        <v>0</v>
      </c>
      <c r="L41" s="143"/>
      <c r="M41" s="143"/>
      <c r="N41" s="143"/>
      <c r="O41" s="143"/>
      <c r="P41" s="143"/>
    </row>
    <row r="42" spans="1:16" x14ac:dyDescent="0.25">
      <c r="A42" s="151" t="str">
        <f>E2&amp;B2</f>
        <v>ScotlandBrazil</v>
      </c>
      <c r="B42" s="159" t="str">
        <f>E1&amp;B1</f>
        <v>C4C1</v>
      </c>
      <c r="C42" s="159">
        <v>1</v>
      </c>
      <c r="D42" s="152" t="str">
        <f>E2</f>
        <v>Scotland</v>
      </c>
      <c r="E42" s="152" t="str">
        <f>B2</f>
        <v>Brazil</v>
      </c>
      <c r="F42" s="159">
        <f t="shared" ca="1" si="31"/>
        <v>0</v>
      </c>
      <c r="G42" s="159">
        <f t="shared" ca="1" si="32"/>
        <v>1</v>
      </c>
      <c r="H42" s="159">
        <f t="shared" ca="1" si="33"/>
        <v>0</v>
      </c>
      <c r="I42" s="159">
        <f t="shared" ca="1" si="34"/>
        <v>3</v>
      </c>
      <c r="J42" s="159">
        <f t="shared" si="35"/>
        <v>0</v>
      </c>
      <c r="K42" s="159">
        <f t="shared" si="35"/>
        <v>0</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 ca="1">$B45</f>
        <v>Morocco</v>
      </c>
      <c r="M44" s="154" t="str">
        <f ca="1">$B46</f>
        <v>Brazil</v>
      </c>
      <c r="N44" s="154" t="str">
        <f ca="1">$B47</f>
        <v>Scotland</v>
      </c>
      <c r="O44" s="154" t="str">
        <f ca="1">$B48</f>
        <v>Haiti</v>
      </c>
      <c r="P44" s="155"/>
    </row>
    <row r="45" spans="1:16" x14ac:dyDescent="0.25">
      <c r="A45" s="156">
        <v>1</v>
      </c>
      <c r="B45" s="156" t="str">
        <f ca="1">VLOOKUP($A45,Ranking,2,FALSE)</f>
        <v>Morocco</v>
      </c>
      <c r="C45" s="157">
        <v>3</v>
      </c>
      <c r="D45" s="157">
        <f ca="1">VLOOKUP($A45,Ranking,4,FALSE)</f>
        <v>2</v>
      </c>
      <c r="E45" s="157">
        <f ca="1">VLOOKUP($A45,Ranking,5,FALSE)</f>
        <v>1</v>
      </c>
      <c r="F45" s="157">
        <f ca="1">VLOOKUP($A45,Ranking,6,FALSE)</f>
        <v>0</v>
      </c>
      <c r="G45" s="157">
        <f ca="1">VLOOKUP($A45,Ranking,7,FALSE)</f>
        <v>6</v>
      </c>
      <c r="H45" s="157">
        <f ca="1">VLOOKUP($A45,Ranking,8,FALSE)</f>
        <v>2</v>
      </c>
      <c r="I45" s="157">
        <f ca="1">G45-H45</f>
        <v>4</v>
      </c>
      <c r="J45" s="157">
        <f ca="1">D45*Wpts+E45*Dpts+FGrpC!F45*Lpts</f>
        <v>7</v>
      </c>
      <c r="K45" s="201" t="str">
        <f ca="1">B45</f>
        <v>Morocco</v>
      </c>
      <c r="L45" s="203"/>
      <c r="M45" s="202" t="str">
        <f ca="1">IFERROR(VLOOKUP($B45&amp;M$44,A37:G42,6,FALSE)&amp;"-"&amp;VLOOKUP($B45&amp;M$44,A37:G42,7,FALSE),VLOOKUP(M$44&amp;$B45,A37:G42,7,FALSE)&amp;"-"&amp;VLOOKUP(M$44&amp;$B45,A37:G42,6,FALSE))</f>
        <v>1-1</v>
      </c>
      <c r="N45" s="202" t="str">
        <f ca="1">IFERROR(VLOOKUP($B45&amp;N$44,A37:G42,6,FALSE)&amp;"-"&amp;VLOOKUP($B45&amp;N$44,A37:G42,7,FALSE),VLOOKUP(N$44&amp;$B45,A37:G42,7,FALSE)&amp;"-"&amp;VLOOKUP(N$44&amp;$B45,A37:G42,6,FALSE))</f>
        <v>2-1</v>
      </c>
      <c r="O45" s="202" t="str">
        <f ca="1">IFERROR(VLOOKUP($B45&amp;O$44,A37:G42,6,FALSE)&amp;"-"&amp;VLOOKUP($B45&amp;O$44,A37:G42,7,FALSE),VLOOKUP(O$44&amp;$B45,A37:G42,7,FALSE)&amp;"-"&amp;VLOOKUP(O$44&amp;$B45,A37:G42,6,FALSE))</f>
        <v>3-0</v>
      </c>
      <c r="P45" s="155"/>
    </row>
    <row r="46" spans="1:16" x14ac:dyDescent="0.25">
      <c r="A46" s="156">
        <v>2</v>
      </c>
      <c r="B46" s="156" t="str">
        <f ca="1">VLOOKUP($A46,Ranking,2,FALSE)</f>
        <v>Brazil</v>
      </c>
      <c r="C46" s="157">
        <v>3</v>
      </c>
      <c r="D46" s="157">
        <f ca="1">VLOOKUP($A46,Ranking,4,FALSE)</f>
        <v>2</v>
      </c>
      <c r="E46" s="157">
        <f ca="1">VLOOKUP($A46,Ranking,5,FALSE)</f>
        <v>1</v>
      </c>
      <c r="F46" s="157">
        <f ca="1">VLOOKUP($A46,Ranking,6,FALSE)</f>
        <v>0</v>
      </c>
      <c r="G46" s="157">
        <f ca="1">VLOOKUP($A46,Ranking,7,FALSE)</f>
        <v>5</v>
      </c>
      <c r="H46" s="157">
        <f ca="1">VLOOKUP($A46,Ranking,8,FALSE)</f>
        <v>3</v>
      </c>
      <c r="I46" s="157">
        <f t="shared" ref="I46:I48" ca="1" si="36">G46-H46</f>
        <v>2</v>
      </c>
      <c r="J46" s="157">
        <f ca="1">D46*Wpts+E46*Dpts+FGrpC!F46*Lpts</f>
        <v>7</v>
      </c>
      <c r="K46" s="201" t="str">
        <f ca="1">B46</f>
        <v>Brazil</v>
      </c>
      <c r="L46" s="202" t="str">
        <f ca="1">IFERROR(VLOOKUP($B46&amp;L$44,A37:G42,6,FALSE)&amp;"-"&amp;VLOOKUP($B46&amp;L$44,A37:G42,7,FALSE),VLOOKUP(L$44&amp;$B46,A37:G42,7,FALSE)&amp;"-"&amp;VLOOKUP(L$44&amp;$B46,A37:G42,6,FALSE))</f>
        <v>1-1</v>
      </c>
      <c r="M46" s="203"/>
      <c r="N46" s="202" t="str">
        <f ca="1">IFERROR(VLOOKUP($B46&amp;N$44,A37:G42,6,FALSE)&amp;"-"&amp;VLOOKUP($B46&amp;N$44,A37:G42,7,FALSE),VLOOKUP(N$44&amp;$B46,A37:G42,7,FALSE)&amp;"-"&amp;VLOOKUP(N$44&amp;$B46,A37:G42,6,FALSE))</f>
        <v>1-0</v>
      </c>
      <c r="O46" s="202" t="str">
        <f ca="1">IFERROR(VLOOKUP($B46&amp;O$44,A37:G42,6,FALSE)&amp;"-"&amp;VLOOKUP($B46&amp;O$44,A37:G42,7,FALSE),VLOOKUP(O$44&amp;$B46,A37:G42,7,FALSE)&amp;"-"&amp;VLOOKUP(O$44&amp;$B46,A37:G42,6,FALSE))</f>
        <v>3-2</v>
      </c>
      <c r="P46" s="155"/>
    </row>
    <row r="47" spans="1:16" x14ac:dyDescent="0.25">
      <c r="A47" s="156">
        <v>3</v>
      </c>
      <c r="B47" s="156" t="str">
        <f ca="1">VLOOKUP($A47,Ranking,2,FALSE)</f>
        <v>Scotland</v>
      </c>
      <c r="C47" s="157">
        <v>3</v>
      </c>
      <c r="D47" s="157">
        <f ca="1">VLOOKUP($A47,Ranking,4,FALSE)</f>
        <v>1</v>
      </c>
      <c r="E47" s="157">
        <f ca="1">VLOOKUP($A47,Ranking,5,FALSE)</f>
        <v>0</v>
      </c>
      <c r="F47" s="157">
        <f ca="1">VLOOKUP($A47,Ranking,6,FALSE)</f>
        <v>2</v>
      </c>
      <c r="G47" s="157">
        <f ca="1">VLOOKUP($A47,Ranking,7,FALSE)</f>
        <v>2</v>
      </c>
      <c r="H47" s="157">
        <f ca="1">VLOOKUP($A47,Ranking,8,FALSE)</f>
        <v>3</v>
      </c>
      <c r="I47" s="157">
        <f t="shared" ca="1" si="36"/>
        <v>-1</v>
      </c>
      <c r="J47" s="157">
        <f ca="1">D47*Wpts+E47*Dpts+FGrpC!F47*Lpts</f>
        <v>3</v>
      </c>
      <c r="K47" s="201" t="str">
        <f ca="1">B47</f>
        <v>Scotland</v>
      </c>
      <c r="L47" s="202" t="str">
        <f ca="1">IFERROR(VLOOKUP($B47&amp;L$44,A37:G42,6,FALSE)&amp;"-"&amp;VLOOKUP($B47&amp;L$44,A37:G42,7,FALSE),VLOOKUP(L$44&amp;$B47,A37:G42,7,FALSE)&amp;"-"&amp;VLOOKUP(L$44&amp;$B47,A37:G42,6,FALSE))</f>
        <v>1-2</v>
      </c>
      <c r="M47" s="202" t="str">
        <f ca="1">IFERROR(VLOOKUP($B47&amp;M$44,A37:G42,6,FALSE)&amp;"-"&amp;VLOOKUP($B47&amp;M$44,A37:G42,7,FALSE),VLOOKUP(M$44&amp;$B47,A37:G42,7,FALSE)&amp;"-"&amp;VLOOKUP(M$44&amp;$B47,A37:G42,6,FALSE))</f>
        <v>0-1</v>
      </c>
      <c r="N47" s="203"/>
      <c r="O47" s="202" t="str">
        <f ca="1">IFERROR(VLOOKUP($B47&amp;O$44,A37:G42,6,FALSE)&amp;"-"&amp;VLOOKUP($B47&amp;O$44,A37:G42,7,FALSE),VLOOKUP(O$44&amp;$B47,A37:G42,7,FALSE)&amp;"-"&amp;VLOOKUP(O$44&amp;$B47,A37:G42,6,FALSE))</f>
        <v>1-0</v>
      </c>
      <c r="P47" s="155"/>
    </row>
    <row r="48" spans="1:16" x14ac:dyDescent="0.25">
      <c r="A48" s="156">
        <v>4</v>
      </c>
      <c r="B48" s="156" t="str">
        <f ca="1">VLOOKUP($A48,Ranking,2,FALSE)</f>
        <v>Haiti</v>
      </c>
      <c r="C48" s="157">
        <v>3</v>
      </c>
      <c r="D48" s="157">
        <f ca="1">VLOOKUP($A48,Ranking,4,FALSE)</f>
        <v>0</v>
      </c>
      <c r="E48" s="157">
        <f ca="1">VLOOKUP($A48,Ranking,5,FALSE)</f>
        <v>0</v>
      </c>
      <c r="F48" s="157">
        <f ca="1">VLOOKUP($A48,Ranking,6,FALSE)</f>
        <v>3</v>
      </c>
      <c r="G48" s="157">
        <f ca="1">VLOOKUP($A48,Ranking,7,FALSE)</f>
        <v>2</v>
      </c>
      <c r="H48" s="157">
        <f ca="1">VLOOKUP($A48,Ranking,8,FALSE)</f>
        <v>7</v>
      </c>
      <c r="I48" s="157">
        <f t="shared" ca="1" si="36"/>
        <v>-5</v>
      </c>
      <c r="J48" s="157">
        <f ca="1">D48*Wpts+E48*Dpts+FGrpC!F48*Lpts</f>
        <v>0</v>
      </c>
      <c r="K48" s="201" t="str">
        <f ca="1">B48</f>
        <v>Haiti</v>
      </c>
      <c r="L48" s="202" t="str">
        <f ca="1">IFERROR(VLOOKUP($B48&amp;L$44,A37:G42,6,FALSE)&amp;"-"&amp;VLOOKUP($B48&amp;L$44,A37:G42,7,FALSE),VLOOKUP(L$44&amp;$B48,A37:G42,7,FALSE)&amp;"-"&amp;VLOOKUP(L$44&amp;$B48,A37:G42,6,FALSE))</f>
        <v>0-3</v>
      </c>
      <c r="M48" s="202" t="str">
        <f ca="1">IFERROR(VLOOKUP($B48&amp;M$44,A37:G42,6,FALSE)&amp;"-"&amp;VLOOKUP($B48&amp;M$44,A37:G42,7,FALSE),VLOOKUP(M$44&amp;$B48,A37:G42,7,FALSE)&amp;"-"&amp;VLOOKUP(M$44&amp;$B48,A37:G42,6,FALSE))</f>
        <v>2-3</v>
      </c>
      <c r="N48" s="202" t="str">
        <f ca="1">IFERROR(VLOOKUP($B48&amp;N$44,A37:G42,6,FALSE)&amp;"-"&amp;VLOOKUP($B48&amp;N$44,A37:G42,7,FALSE),VLOOKUP(N$44&amp;$B48,A37:G42,7,FALSE)&amp;"-"&amp;VLOOKUP(N$44&amp;$B48,A37:G42,6,FALSE))</f>
        <v>0-1</v>
      </c>
      <c r="O48" s="203"/>
      <c r="P48" s="155"/>
    </row>
    <row r="49" spans="1:16" x14ac:dyDescent="0.25">
      <c r="A49" s="143"/>
      <c r="B49" s="143"/>
      <c r="C49" s="461">
        <f>SUM(C45:C48)</f>
        <v>12</v>
      </c>
      <c r="D49" s="143"/>
      <c r="E49" s="143"/>
      <c r="F49" s="143"/>
      <c r="G49" s="143"/>
      <c r="H49" s="143"/>
      <c r="I49" s="143"/>
      <c r="J49" s="143"/>
      <c r="K49" s="143"/>
      <c r="L49" s="143"/>
      <c r="M49" s="143"/>
      <c r="N49" s="143"/>
      <c r="O49" s="143"/>
      <c r="P49" s="143"/>
    </row>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DAF4C-FB2E-4819-909E-156AF8377ADB}">
  <sheetPr>
    <tabColor theme="4"/>
  </sheetPr>
  <dimension ref="A1:AI49"/>
  <sheetViews>
    <sheetView showGridLines="0" showRowColHeaders="0" zoomScale="78" zoomScaleNormal="78" workbookViewId="0">
      <pane ySplit="1" topLeftCell="A2" activePane="bottomLeft" state="frozen"/>
      <selection pane="bottomLeft" activeCell="I1" sqref="I1"/>
      <extLst>
        <ext xmlns:xlsdti="http://schemas.microsoft.com/office/spreadsheetml/2023/showDataTypeIcons" uri="{77bfe23e-c014-4d31-8a63-9c772dbf06b6}">
          <xlsdti:showDataTypeIcons visible="0"/>
        </ext>
      </extLst>
    </sheetView>
  </sheetViews>
  <sheetFormatPr defaultRowHeight="15" x14ac:dyDescent="0.25"/>
  <cols>
    <col min="1" max="1" width="9.140625" hidden="1" customWidth="1"/>
    <col min="2" max="2" width="23.7109375" customWidth="1"/>
    <col min="6" max="6" width="9.140625" hidden="1" customWidth="1"/>
    <col min="7" max="7" width="23.7109375" customWidth="1"/>
    <col min="11" max="11" width="9.140625" hidden="1" customWidth="1"/>
    <col min="12" max="12" width="23.7109375" customWidth="1"/>
    <col min="16" max="16" width="9.140625" hidden="1" customWidth="1"/>
    <col min="17" max="17" width="23.7109375" customWidth="1"/>
    <col min="22" max="22" width="9.140625" hidden="1" customWidth="1"/>
    <col min="23" max="23" width="23.7109375" customWidth="1"/>
    <col min="28" max="28" width="9.140625" hidden="1" customWidth="1"/>
  </cols>
  <sheetData>
    <row r="1" spans="1:35" ht="15.75" thickBot="1" x14ac:dyDescent="0.3">
      <c r="A1" s="271" t="s">
        <v>618</v>
      </c>
      <c r="B1" s="699" t="s">
        <v>1269</v>
      </c>
      <c r="C1" s="700"/>
      <c r="D1" s="292"/>
      <c r="E1" s="292"/>
      <c r="F1" s="271"/>
      <c r="G1" s="707" t="s">
        <v>1271</v>
      </c>
      <c r="H1" s="701"/>
      <c r="I1" s="587"/>
      <c r="J1" s="270"/>
      <c r="K1" s="271"/>
      <c r="L1" s="701" t="s">
        <v>1272</v>
      </c>
      <c r="M1" s="702"/>
      <c r="N1" s="702"/>
      <c r="O1" s="702"/>
      <c r="P1" s="119"/>
      <c r="Q1" s="701" t="s">
        <v>1273</v>
      </c>
      <c r="R1" s="703"/>
      <c r="S1" s="703"/>
      <c r="T1" s="703"/>
      <c r="U1" s="704"/>
      <c r="V1" s="272"/>
      <c r="W1" s="701" t="s">
        <v>1273</v>
      </c>
      <c r="X1" s="703"/>
      <c r="Y1" s="703"/>
      <c r="Z1" s="703"/>
      <c r="AA1" s="704"/>
      <c r="AB1" s="272"/>
      <c r="AC1" s="705" t="s">
        <v>323</v>
      </c>
      <c r="AD1" s="706"/>
      <c r="AE1" s="706"/>
      <c r="AF1" s="706"/>
      <c r="AG1" s="706"/>
      <c r="AH1" s="706"/>
      <c r="AI1" s="706"/>
    </row>
    <row r="2" spans="1:35" x14ac:dyDescent="0.25">
      <c r="A2" s="290" t="s">
        <v>1232</v>
      </c>
      <c r="B2" s="291" t="str">
        <f>IFERROR(VLOOKUP(A2,Lookup14,7,FALSE),"")</f>
        <v>Boston Stadium</v>
      </c>
      <c r="C2" s="273" t="s">
        <v>1267</v>
      </c>
      <c r="D2" s="273" t="s">
        <v>1268</v>
      </c>
      <c r="E2" s="274" t="s">
        <v>342</v>
      </c>
      <c r="F2" s="275"/>
      <c r="G2" s="276"/>
      <c r="H2" s="277"/>
      <c r="I2" s="277"/>
      <c r="J2" s="277"/>
      <c r="K2" s="277"/>
      <c r="L2" s="278"/>
      <c r="M2" s="279"/>
      <c r="N2" s="279"/>
      <c r="O2" s="280"/>
      <c r="P2" s="280"/>
      <c r="Q2" s="278"/>
      <c r="R2" s="278"/>
      <c r="S2" s="279"/>
      <c r="T2" s="279"/>
      <c r="U2" s="279"/>
      <c r="V2" s="279"/>
      <c r="W2" s="279"/>
      <c r="X2" s="279"/>
      <c r="Y2" s="279"/>
      <c r="Z2" s="279"/>
      <c r="AA2" s="279"/>
      <c r="AB2" s="279"/>
      <c r="AC2" s="279"/>
      <c r="AD2" s="279"/>
      <c r="AE2" s="279"/>
      <c r="AF2" s="279"/>
      <c r="AG2" s="279"/>
      <c r="AH2" s="279"/>
      <c r="AI2" s="279"/>
    </row>
    <row r="3" spans="1:35" x14ac:dyDescent="0.25">
      <c r="A3" s="275" t="str">
        <f>A2&amp;"E"</f>
        <v>74E</v>
      </c>
      <c r="B3" s="281" t="str">
        <f>IFERROR(VLOOKUP(A2,Lookup14,2,FALSE),"")</f>
        <v>Winner Group E</v>
      </c>
      <c r="C3" s="282" t="str">
        <f>IFERROR(IF(VLOOKUP(A2,Lookup14,3,FALSE)="","",VLOOKUP(A2,Lookup14,3,FALSE)),"")</f>
        <v/>
      </c>
      <c r="D3" s="282" t="str">
        <f>IFERROR(IF(VLOOKUP(A3,Lookup14,3,FALSE)="","",VLOOKUP(A3,Lookup14,3,FALSE)),"")</f>
        <v/>
      </c>
      <c r="E3" s="283" t="str">
        <f>IFERROR(IF(VLOOKUP(A4,Lookup14,3,FALSE)="","",VLOOKUP(A4,Lookup14,3,FALSE)),"")</f>
        <v/>
      </c>
      <c r="F3" s="275"/>
      <c r="G3" s="276"/>
      <c r="H3" s="277"/>
      <c r="I3" s="277"/>
      <c r="J3" s="277"/>
      <c r="K3" s="277"/>
      <c r="L3" s="278"/>
      <c r="M3" s="279"/>
      <c r="N3" s="279"/>
      <c r="O3" s="280"/>
      <c r="P3" s="280"/>
      <c r="Q3" s="278"/>
      <c r="R3" s="278"/>
      <c r="S3" s="279"/>
      <c r="T3" s="279"/>
      <c r="U3" s="279"/>
      <c r="V3" s="279"/>
      <c r="W3" s="279"/>
      <c r="X3" s="279"/>
      <c r="Y3" s="279"/>
      <c r="Z3" s="279"/>
      <c r="AA3" s="279"/>
      <c r="AB3" s="279"/>
      <c r="AC3" s="279"/>
      <c r="AD3" s="279"/>
      <c r="AE3" s="279"/>
      <c r="AF3" s="279"/>
      <c r="AG3" s="279"/>
      <c r="AH3" s="279"/>
      <c r="AI3" s="279"/>
    </row>
    <row r="4" spans="1:35" x14ac:dyDescent="0.25">
      <c r="A4" s="275" t="str">
        <f>A2&amp;"P"</f>
        <v>74P</v>
      </c>
      <c r="B4" s="284" t="str">
        <f>IFERROR(VLOOKUP(A2,Lookup14,6,FALSE),"")</f>
        <v>Third Place ABCDF</v>
      </c>
      <c r="C4" s="282" t="str">
        <f>IFERROR(IF(VLOOKUP(A2,Lookup14,5,FALSE)="","",VLOOKUP(A2,Lookup14,5,FALSE)),"")</f>
        <v/>
      </c>
      <c r="D4" s="282" t="str">
        <f>IFERROR(IF(VLOOKUP(A3,Lookup14,5,FALSE)="","",VLOOKUP(A3,Lookup14,5,FALSE)),"")</f>
        <v/>
      </c>
      <c r="E4" s="283" t="str">
        <f>IFERROR(IF(VLOOKUP(A4,Lookup14,5,FALSE)="","",VLOOKUP(A4,Lookup14,5,FALSE)),"")</f>
        <v/>
      </c>
      <c r="F4" s="290" t="s">
        <v>1245</v>
      </c>
      <c r="G4" s="291" t="str">
        <f>IFERROR(VLOOKUP(F4,Lookup14,7,FALSE),"")</f>
        <v>Philadelphia Stadium</v>
      </c>
      <c r="H4" s="273" t="s">
        <v>1267</v>
      </c>
      <c r="I4" s="273" t="s">
        <v>1268</v>
      </c>
      <c r="J4" s="274" t="s">
        <v>342</v>
      </c>
      <c r="K4" s="285"/>
      <c r="L4" s="278"/>
      <c r="M4" s="279"/>
      <c r="N4" s="279"/>
      <c r="O4" s="280"/>
      <c r="P4" s="280"/>
      <c r="Q4" s="278"/>
      <c r="R4" s="278"/>
      <c r="S4" s="279"/>
      <c r="T4" s="279"/>
      <c r="U4" s="279"/>
      <c r="V4" s="279"/>
      <c r="W4" s="279"/>
      <c r="X4" s="279"/>
      <c r="Y4" s="279"/>
      <c r="Z4" s="279"/>
      <c r="AA4" s="279"/>
      <c r="AB4" s="279"/>
      <c r="AC4" s="279"/>
      <c r="AD4" s="279"/>
      <c r="AE4" s="279"/>
      <c r="AF4" s="279"/>
      <c r="AG4" s="279"/>
      <c r="AH4" s="279"/>
      <c r="AI4" s="279"/>
    </row>
    <row r="5" spans="1:35" x14ac:dyDescent="0.25">
      <c r="A5" s="290" t="s">
        <v>1234</v>
      </c>
      <c r="B5" s="291" t="str">
        <f>IFERROR(VLOOKUP(A5,Lookup14,7,FALSE),"")</f>
        <v>MetLife Stadium</v>
      </c>
      <c r="C5" s="273" t="s">
        <v>1267</v>
      </c>
      <c r="D5" s="273" t="s">
        <v>1268</v>
      </c>
      <c r="E5" s="274" t="s">
        <v>342</v>
      </c>
      <c r="F5" s="275" t="str">
        <f>F4&amp;"E"</f>
        <v>89E</v>
      </c>
      <c r="G5" s="281" t="str">
        <f>IFERROR(VLOOKUP(F4,Lookup14,2,FALSE),"")</f>
        <v>Winner Match 74</v>
      </c>
      <c r="H5" s="282" t="str">
        <f>IFERROR(IF(VLOOKUP(F4,Lookup14,3,FALSE)="","",VLOOKUP(F4,Lookup14,3,FALSE)),"")</f>
        <v/>
      </c>
      <c r="I5" s="282" t="str">
        <f>IFERROR(IF(VLOOKUP(F5,Lookup14,3,FALSE)="","",VLOOKUP(F5,Lookup14,3,FALSE)),"")</f>
        <v/>
      </c>
      <c r="J5" s="283" t="str">
        <f>IFERROR(IF(VLOOKUP(F6,Lookup14,3,FALSE)="","",VLOOKUP(F6,Lookup14,3,FALSE)),"")</f>
        <v/>
      </c>
      <c r="K5" s="286"/>
      <c r="L5" s="278"/>
      <c r="M5" s="279"/>
      <c r="N5" s="279"/>
      <c r="O5" s="280"/>
      <c r="P5" s="280"/>
      <c r="Q5" s="278"/>
      <c r="R5" s="278"/>
      <c r="S5" s="279"/>
      <c r="T5" s="279"/>
      <c r="U5" s="279"/>
      <c r="V5" s="279"/>
      <c r="W5" s="279"/>
      <c r="X5" s="279"/>
      <c r="Y5" s="279"/>
      <c r="Z5" s="279"/>
      <c r="AA5" s="279"/>
      <c r="AB5" s="279"/>
      <c r="AC5" s="279"/>
      <c r="AD5" s="279"/>
      <c r="AE5" s="279"/>
      <c r="AF5" s="279"/>
      <c r="AG5" s="279"/>
      <c r="AH5" s="279"/>
      <c r="AI5" s="279"/>
    </row>
    <row r="6" spans="1:35" x14ac:dyDescent="0.25">
      <c r="A6" s="275" t="str">
        <f>A5&amp;"E"</f>
        <v>77E</v>
      </c>
      <c r="B6" s="281" t="str">
        <f>IFERROR(VLOOKUP(A5,Lookup14,2,FALSE),"")</f>
        <v>Winner Group I</v>
      </c>
      <c r="C6" s="282" t="str">
        <f>IFERROR(IF(VLOOKUP(A5,Lookup14,3,FALSE)="","",VLOOKUP(A5,Lookup14,3,FALSE)),"")</f>
        <v/>
      </c>
      <c r="D6" s="282" t="str">
        <f>IFERROR(IF(VLOOKUP(A6,Lookup14,3,FALSE)="","",VLOOKUP(A6,Lookup14,3,FALSE)),"")</f>
        <v/>
      </c>
      <c r="E6" s="283" t="str">
        <f>IFERROR(IF(VLOOKUP(A7,Lookup14,3,FALSE)="","",VLOOKUP(A7,Lookup14,3,FALSE)),"")</f>
        <v/>
      </c>
      <c r="F6" s="275" t="str">
        <f>F4&amp;"P"</f>
        <v>89P</v>
      </c>
      <c r="G6" s="284" t="str">
        <f>IFERROR(VLOOKUP(F4,Lookup14,6,FALSE),"")</f>
        <v>Winner Match 77</v>
      </c>
      <c r="H6" s="282" t="str">
        <f>IFERROR(IF(VLOOKUP(F4,Lookup14,5,FALSE)="","",VLOOKUP(F4,Lookup14,5,FALSE)),"")</f>
        <v/>
      </c>
      <c r="I6" s="282" t="str">
        <f>IFERROR(IF(VLOOKUP(F5,Lookup14,5,FALSE)="","",VLOOKUP(F5,Lookup14,5,FALSE)),"")</f>
        <v/>
      </c>
      <c r="J6" s="283" t="str">
        <f>IFERROR(IF(VLOOKUP(F6,Lookup14,5,FALSE)="","",VLOOKUP(F6,Lookup14,5,FALSE)),"")</f>
        <v/>
      </c>
      <c r="K6" s="286"/>
      <c r="L6" s="278"/>
      <c r="M6" s="279"/>
      <c r="N6" s="279"/>
      <c r="O6" s="280"/>
      <c r="P6" s="280"/>
      <c r="Q6" s="278"/>
      <c r="R6" s="278"/>
      <c r="S6" s="279"/>
      <c r="T6" s="279"/>
      <c r="U6" s="279"/>
      <c r="V6" s="279"/>
      <c r="W6" s="279"/>
      <c r="X6" s="279"/>
      <c r="Y6" s="279"/>
      <c r="Z6" s="279"/>
      <c r="AA6" s="279"/>
      <c r="AB6" s="279"/>
      <c r="AC6" s="279"/>
      <c r="AD6" s="279"/>
      <c r="AE6" s="279"/>
      <c r="AF6" s="279"/>
      <c r="AG6" s="279"/>
      <c r="AH6" s="279"/>
      <c r="AI6" s="279"/>
    </row>
    <row r="7" spans="1:35" x14ac:dyDescent="0.25">
      <c r="A7" s="275" t="str">
        <f>A5&amp;"P"</f>
        <v>77P</v>
      </c>
      <c r="B7" s="284" t="str">
        <f>IFERROR(VLOOKUP(A5,Lookup14,6,FALSE),"")</f>
        <v>Third Place CDFGH</v>
      </c>
      <c r="C7" s="282" t="str">
        <f>IFERROR(IF(VLOOKUP(A5,Lookup14,5,FALSE)="","",VLOOKUP(A5,Lookup14,5,FALSE)),"")</f>
        <v/>
      </c>
      <c r="D7" s="282" t="str">
        <f>IFERROR(IF(VLOOKUP(A6,Lookup14,5,FALSE)="","",VLOOKUP(A6,Lookup14,5,FALSE)),"")</f>
        <v/>
      </c>
      <c r="E7" s="283" t="str">
        <f>IFERROR(IF(VLOOKUP(A7,Lookup14,5,FALSE)="","",VLOOKUP(A7,Lookup14,5,FALSE)),"")</f>
        <v/>
      </c>
      <c r="F7" s="275"/>
      <c r="G7" s="276"/>
      <c r="H7" s="277"/>
      <c r="I7" s="277"/>
      <c r="J7" s="277"/>
      <c r="K7" s="290" t="s">
        <v>1262</v>
      </c>
      <c r="L7" s="291" t="str">
        <f>IFERROR(VLOOKUP(K7,Lookup14,7,FALSE),"")</f>
        <v>Boston Stadium</v>
      </c>
      <c r="M7" s="273" t="s">
        <v>1267</v>
      </c>
      <c r="N7" s="273" t="s">
        <v>1268</v>
      </c>
      <c r="O7" s="274" t="s">
        <v>342</v>
      </c>
      <c r="P7" s="288"/>
      <c r="Q7" s="278"/>
      <c r="R7" s="278"/>
      <c r="S7" s="279"/>
      <c r="T7" s="279"/>
      <c r="U7" s="279"/>
      <c r="V7" s="279"/>
      <c r="W7" s="279"/>
      <c r="X7" s="279"/>
      <c r="Y7" s="279"/>
      <c r="Z7" s="279"/>
      <c r="AA7" s="279"/>
      <c r="AB7" s="279"/>
      <c r="AC7" s="279"/>
      <c r="AD7" s="279"/>
      <c r="AE7" s="279"/>
      <c r="AF7" s="279"/>
      <c r="AG7" s="279"/>
      <c r="AH7" s="279"/>
      <c r="AI7" s="279"/>
    </row>
    <row r="8" spans="1:35" x14ac:dyDescent="0.25">
      <c r="A8" s="290" t="s">
        <v>1229</v>
      </c>
      <c r="B8" s="291" t="str">
        <f>IFERROR(VLOOKUP(A8,Lookup14,7,FALSE),"")</f>
        <v>Los Angeles Stadium</v>
      </c>
      <c r="C8" s="273" t="s">
        <v>1267</v>
      </c>
      <c r="D8" s="273" t="s">
        <v>1268</v>
      </c>
      <c r="E8" s="274" t="s">
        <v>342</v>
      </c>
      <c r="F8" s="275"/>
      <c r="G8" s="276"/>
      <c r="H8" s="277"/>
      <c r="I8" s="277"/>
      <c r="J8" s="277"/>
      <c r="K8" s="275" t="str">
        <f>K7&amp;"E"</f>
        <v>97E</v>
      </c>
      <c r="L8" s="281" t="str">
        <f>IFERROR(VLOOKUP(K7,Lookup14,2,FALSE),"")</f>
        <v>Winner Match 89</v>
      </c>
      <c r="M8" s="282" t="str">
        <f>IFERROR(IF(VLOOKUP(K7,Lookup14,3,FALSE)="","",VLOOKUP(K7,Lookup14,3,FALSE)),"")</f>
        <v/>
      </c>
      <c r="N8" s="282" t="str">
        <f>IFERROR(IF(VLOOKUP(K8,Lookup14,3,FALSE)="","",VLOOKUP(K8,Lookup14,3,FALSE)),"")</f>
        <v/>
      </c>
      <c r="O8" s="283" t="str">
        <f>IFERROR(IF(VLOOKUP(K9,Lookup14,3,FALSE)="","",VLOOKUP(K9,Lookup14,3,FALSE)),"")</f>
        <v/>
      </c>
      <c r="P8" s="289"/>
      <c r="Q8" s="278"/>
      <c r="R8" s="278"/>
      <c r="S8" s="279"/>
      <c r="T8" s="279"/>
      <c r="U8" s="279"/>
      <c r="V8" s="279"/>
      <c r="W8" s="279"/>
      <c r="X8" s="279"/>
      <c r="Y8" s="279"/>
      <c r="Z8" s="279"/>
      <c r="AA8" s="279"/>
      <c r="AB8" s="279"/>
      <c r="AC8" s="279"/>
      <c r="AD8" s="279"/>
      <c r="AE8" s="279"/>
      <c r="AF8" s="279"/>
      <c r="AG8" s="279"/>
      <c r="AH8" s="279"/>
      <c r="AI8" s="279"/>
    </row>
    <row r="9" spans="1:35" x14ac:dyDescent="0.25">
      <c r="A9" s="275" t="str">
        <f>A8&amp;"E"</f>
        <v>73E</v>
      </c>
      <c r="B9" s="281" t="str">
        <f>IFERROR(VLOOKUP(A8,Lookup14,2,FALSE),"")</f>
        <v>Second in Group A</v>
      </c>
      <c r="C9" s="282" t="str">
        <f>IFERROR(IF(VLOOKUP(A8,Lookup14,3,FALSE)="","",VLOOKUP(A8,Lookup14,3,FALSE)),"")</f>
        <v/>
      </c>
      <c r="D9" s="282" t="str">
        <f>IFERROR(IF(VLOOKUP(A9,Lookup14,3,FALSE)="","",VLOOKUP(A9,Lookup14,3,FALSE)),"")</f>
        <v/>
      </c>
      <c r="E9" s="283" t="str">
        <f>IFERROR(IF(VLOOKUP(A10,Lookup14,3,FALSE)="","",VLOOKUP(A10,Lookup14,3,FALSE)),"")</f>
        <v/>
      </c>
      <c r="F9" s="275"/>
      <c r="G9" s="276"/>
      <c r="H9" s="277"/>
      <c r="I9" s="277"/>
      <c r="J9" s="277"/>
      <c r="K9" s="275" t="str">
        <f>K7&amp;"P"</f>
        <v>97P</v>
      </c>
      <c r="L9" s="284" t="str">
        <f>IFERROR(VLOOKUP(K7,Lookup14,6,FALSE),"")</f>
        <v>Winner Match 90</v>
      </c>
      <c r="M9" s="282" t="str">
        <f>IFERROR(IF(VLOOKUP(K7,Lookup14,5,FALSE)="","",VLOOKUP(K7,Lookup14,5,FALSE)),"")</f>
        <v/>
      </c>
      <c r="N9" s="282" t="str">
        <f>IFERROR(IF(VLOOKUP(K8,Lookup14,5,FALSE)="","",VLOOKUP(K8,Lookup14,5,FALSE)),"")</f>
        <v/>
      </c>
      <c r="O9" s="283" t="str">
        <f>IFERROR(IF(VLOOKUP(K9,Lookup14,5,FALSE)="","",VLOOKUP(K9,Lookup14,5,FALSE)),"")</f>
        <v/>
      </c>
      <c r="P9" s="289"/>
      <c r="Q9" s="278"/>
      <c r="R9" s="278"/>
      <c r="S9" s="279"/>
      <c r="T9" s="279"/>
      <c r="U9" s="279"/>
      <c r="V9" s="279"/>
      <c r="W9" s="279"/>
      <c r="X9" s="279"/>
      <c r="Y9" s="279"/>
      <c r="Z9" s="279"/>
      <c r="AA9" s="279"/>
      <c r="AB9" s="279"/>
      <c r="AC9" s="279"/>
      <c r="AD9" s="279"/>
      <c r="AE9" s="279"/>
      <c r="AF9" s="279"/>
      <c r="AG9" s="279"/>
      <c r="AH9" s="279"/>
      <c r="AI9" s="279"/>
    </row>
    <row r="10" spans="1:35" x14ac:dyDescent="0.25">
      <c r="A10" s="275" t="str">
        <f>A8&amp;"P"</f>
        <v>73P</v>
      </c>
      <c r="B10" s="284" t="str">
        <f>IFERROR(VLOOKUP(A8,Lookup14,6,FALSE),"")</f>
        <v>Second in Group B</v>
      </c>
      <c r="C10" s="282" t="str">
        <f>IFERROR(IF(VLOOKUP(A8,Lookup14,5,FALSE)="","",VLOOKUP(A8,Lookup14,5,FALSE)),"")</f>
        <v/>
      </c>
      <c r="D10" s="282" t="str">
        <f>IFERROR(IF(VLOOKUP(A9,Lookup14,5,FALSE)="","",VLOOKUP(A9,Lookup14,5,FALSE)),"")</f>
        <v/>
      </c>
      <c r="E10" s="283" t="str">
        <f>IFERROR(IF(VLOOKUP(A10,Lookup14,5,FALSE)="","",VLOOKUP(A10,Lookup14,5,FALSE)),"")</f>
        <v/>
      </c>
      <c r="F10" s="290" t="s">
        <v>1246</v>
      </c>
      <c r="G10" s="291" t="str">
        <f>IFERROR(VLOOKUP(F10,Lookup14,7,FALSE),"")</f>
        <v>Houston Stadium</v>
      </c>
      <c r="H10" s="273" t="s">
        <v>1267</v>
      </c>
      <c r="I10" s="273" t="s">
        <v>1268</v>
      </c>
      <c r="J10" s="274" t="s">
        <v>342</v>
      </c>
      <c r="K10" s="285"/>
      <c r="L10" s="278"/>
      <c r="M10" s="279"/>
      <c r="N10" s="279"/>
      <c r="O10" s="280"/>
      <c r="P10" s="280"/>
      <c r="Q10" s="278"/>
      <c r="R10" s="278"/>
      <c r="S10" s="279"/>
      <c r="T10" s="279"/>
      <c r="U10" s="279"/>
      <c r="V10" s="279"/>
      <c r="W10" s="279"/>
      <c r="X10" s="279"/>
      <c r="Y10" s="279"/>
      <c r="Z10" s="279"/>
      <c r="AA10" s="279"/>
      <c r="AB10" s="279"/>
      <c r="AC10" s="279"/>
      <c r="AD10" s="279"/>
      <c r="AE10" s="279"/>
      <c r="AF10" s="279"/>
      <c r="AG10" s="279"/>
      <c r="AH10" s="279"/>
      <c r="AI10" s="279"/>
    </row>
    <row r="11" spans="1:35" x14ac:dyDescent="0.25">
      <c r="A11" s="290" t="s">
        <v>1230</v>
      </c>
      <c r="B11" s="291" t="str">
        <f>IFERROR(VLOOKUP(A11,Lookup14,7,FALSE),"")</f>
        <v>Estadio Monterrey</v>
      </c>
      <c r="C11" s="273" t="s">
        <v>1267</v>
      </c>
      <c r="D11" s="273" t="s">
        <v>1268</v>
      </c>
      <c r="E11" s="274" t="s">
        <v>342</v>
      </c>
      <c r="F11" s="275" t="str">
        <f>F10&amp;"E"</f>
        <v>90E</v>
      </c>
      <c r="G11" s="281" t="str">
        <f>IFERROR(VLOOKUP(F10,Lookup14,2,FALSE),"")</f>
        <v>Winner Match 73</v>
      </c>
      <c r="H11" s="282" t="str">
        <f>IFERROR(IF(VLOOKUP(F10,Lookup14,3,FALSE)="","",VLOOKUP(F10,Lookup14,3,FALSE)),"")</f>
        <v/>
      </c>
      <c r="I11" s="282" t="str">
        <f>IFERROR(IF(VLOOKUP(F11,Lookup14,3,FALSE)="","",VLOOKUP(F11,Lookup14,3,FALSE)),"")</f>
        <v/>
      </c>
      <c r="J11" s="283" t="str">
        <f>IFERROR(IF(VLOOKUP(F12,Lookup14,3,FALSE)="","",VLOOKUP(F12,Lookup14,3,FALSE)),"")</f>
        <v/>
      </c>
      <c r="K11" s="286"/>
      <c r="L11" s="278"/>
      <c r="M11" s="279"/>
      <c r="N11" s="279"/>
      <c r="O11" s="280"/>
      <c r="P11" s="280"/>
      <c r="Q11" s="278"/>
      <c r="R11" s="278"/>
      <c r="S11" s="279"/>
      <c r="T11" s="279"/>
      <c r="U11" s="279"/>
      <c r="V11" s="279"/>
      <c r="W11" s="279"/>
      <c r="X11" s="279"/>
      <c r="Y11" s="279"/>
      <c r="Z11" s="279"/>
      <c r="AA11" s="279"/>
      <c r="AB11" s="279"/>
      <c r="AC11" s="279"/>
      <c r="AD11" s="279"/>
      <c r="AE11" s="279"/>
      <c r="AF11" s="279"/>
      <c r="AG11" s="279"/>
      <c r="AH11" s="279"/>
      <c r="AI11" s="279"/>
    </row>
    <row r="12" spans="1:35" x14ac:dyDescent="0.25">
      <c r="A12" s="275" t="str">
        <f>A11&amp;"E"</f>
        <v>75E</v>
      </c>
      <c r="B12" s="281" t="str">
        <f>IFERROR(VLOOKUP(A11,Lookup14,2,FALSE),"")</f>
        <v>Winner Group F</v>
      </c>
      <c r="C12" s="282" t="str">
        <f>IFERROR(IF(VLOOKUP(A11,Lookup14,3,FALSE)="","",VLOOKUP(A11,Lookup14,3,FALSE)),"")</f>
        <v/>
      </c>
      <c r="D12" s="282" t="str">
        <f>IFERROR(IF(VLOOKUP(A12,Lookup14,3,FALSE)="","",VLOOKUP(A12,Lookup14,3,FALSE)),"")</f>
        <v/>
      </c>
      <c r="E12" s="283" t="str">
        <f>IFERROR(IF(VLOOKUP(A13,Lookup14,3,FALSE)="","",VLOOKUP(A13,Lookup14,3,FALSE)),"")</f>
        <v/>
      </c>
      <c r="F12" s="275" t="str">
        <f>F10&amp;"P"</f>
        <v>90P</v>
      </c>
      <c r="G12" s="284" t="str">
        <f>IFERROR(VLOOKUP(F10,Lookup14,6,FALSE),"")</f>
        <v>Winner Match 75</v>
      </c>
      <c r="H12" s="282" t="str">
        <f>IFERROR(IF(VLOOKUP(F10,Lookup14,5,FALSE)="","",VLOOKUP(F10,Lookup14,5,FALSE)),"")</f>
        <v/>
      </c>
      <c r="I12" s="282" t="str">
        <f>IFERROR(IF(VLOOKUP(F11,Lookup14,5,FALSE)="","",VLOOKUP(F11,Lookup14,5,FALSE)),"")</f>
        <v/>
      </c>
      <c r="J12" s="283" t="str">
        <f>IFERROR(IF(VLOOKUP(F12,Lookup14,5,FALSE)="","",VLOOKUP(F12,Lookup14,5,FALSE)),"")</f>
        <v/>
      </c>
      <c r="K12" s="286"/>
      <c r="L12" s="278"/>
      <c r="M12" s="279"/>
      <c r="N12" s="279"/>
      <c r="O12" s="280"/>
      <c r="P12" s="280"/>
      <c r="Q12" s="278"/>
      <c r="R12" s="278"/>
      <c r="S12" s="279"/>
      <c r="T12" s="279"/>
      <c r="U12" s="279"/>
      <c r="V12" s="279"/>
      <c r="W12" s="279"/>
      <c r="X12" s="279"/>
      <c r="Y12" s="279"/>
      <c r="Z12" s="279"/>
      <c r="AA12" s="279"/>
      <c r="AB12" s="279"/>
      <c r="AC12" s="279"/>
      <c r="AD12" s="279"/>
      <c r="AE12" s="279"/>
      <c r="AF12" s="279"/>
      <c r="AG12" s="279"/>
      <c r="AH12" s="279"/>
      <c r="AI12" s="279"/>
    </row>
    <row r="13" spans="1:35" ht="15.75" customHeight="1" x14ac:dyDescent="0.25">
      <c r="A13" s="275" t="str">
        <f>A11&amp;"P"</f>
        <v>75P</v>
      </c>
      <c r="B13" s="284" t="str">
        <f>IFERROR(VLOOKUP(A11,Lookup14,6,FALSE),"")</f>
        <v>Second in Group C</v>
      </c>
      <c r="C13" s="282" t="str">
        <f>IFERROR(IF(VLOOKUP(A11,Lookup14,5,FALSE)="","",VLOOKUP(A11,Lookup14,5,FALSE)),"")</f>
        <v/>
      </c>
      <c r="D13" s="282" t="str">
        <f>IFERROR(IF(VLOOKUP(A12,Lookup14,5,FALSE)="","",VLOOKUP(A12,Lookup14,5,FALSE)),"")</f>
        <v/>
      </c>
      <c r="E13" s="283" t="str">
        <f>IFERROR(IF(VLOOKUP(A13,Lookup14,5,FALSE)="","",VLOOKUP(A13,Lookup14,5,FALSE)),"")</f>
        <v/>
      </c>
      <c r="F13" s="275"/>
      <c r="G13" s="276"/>
      <c r="H13" s="277"/>
      <c r="I13" s="277"/>
      <c r="J13" s="277"/>
      <c r="K13" s="287"/>
      <c r="L13" s="278"/>
      <c r="M13" s="279"/>
      <c r="N13" s="279"/>
      <c r="O13" s="280"/>
      <c r="P13" s="290" t="s">
        <v>1257</v>
      </c>
      <c r="Q13" s="291" t="str">
        <f>IFERROR(VLOOKUP(P13,Lookup14,7,FALSE),"")</f>
        <v>Dallas Stadium</v>
      </c>
      <c r="R13" s="273" t="s">
        <v>1267</v>
      </c>
      <c r="S13" s="273" t="s">
        <v>1268</v>
      </c>
      <c r="T13" s="274" t="s">
        <v>342</v>
      </c>
      <c r="U13" s="274"/>
      <c r="V13" s="279"/>
      <c r="W13" s="279"/>
      <c r="X13" s="279"/>
      <c r="Y13" s="279"/>
      <c r="Z13" s="279"/>
      <c r="AA13" s="279"/>
      <c r="AB13" s="279"/>
      <c r="AC13" s="279"/>
      <c r="AD13" s="279"/>
      <c r="AE13" s="279"/>
      <c r="AF13" s="279"/>
      <c r="AG13" s="279"/>
      <c r="AH13" s="279"/>
      <c r="AI13" s="279"/>
    </row>
    <row r="14" spans="1:35" ht="15" customHeight="1" x14ac:dyDescent="0.25">
      <c r="A14" s="290" t="s">
        <v>1240</v>
      </c>
      <c r="B14" s="291" t="str">
        <f>IFERROR(VLOOKUP(A14,Lookup14,7,FALSE),"")</f>
        <v>Toronto Stadium</v>
      </c>
      <c r="C14" s="273" t="s">
        <v>1267</v>
      </c>
      <c r="D14" s="273" t="s">
        <v>1268</v>
      </c>
      <c r="E14" s="274" t="s">
        <v>342</v>
      </c>
      <c r="F14" s="275"/>
      <c r="G14" s="276"/>
      <c r="H14" s="277"/>
      <c r="I14" s="277"/>
      <c r="J14" s="277"/>
      <c r="K14" s="287"/>
      <c r="L14" s="278"/>
      <c r="M14" s="279"/>
      <c r="N14" s="279"/>
      <c r="O14" s="280"/>
      <c r="P14" s="275" t="str">
        <f>P13&amp;"E"</f>
        <v>101E</v>
      </c>
      <c r="Q14" s="281" t="str">
        <f>IFERROR(VLOOKUP(P13,Lookup14,2,FALSE),"")</f>
        <v>Winner Match 97</v>
      </c>
      <c r="R14" s="282" t="str">
        <f>IFERROR(IF(VLOOKUP(P13,Lookup14,3,FALSE)="","",VLOOKUP(P13,Lookup14,3,FALSE)),"")</f>
        <v/>
      </c>
      <c r="S14" s="282" t="str">
        <f>IFERROR(IF(VLOOKUP(P14,Lookup14,3,FALSE)="","",VLOOKUP(P14,Lookup14,3,FALSE)),"")</f>
        <v/>
      </c>
      <c r="T14" s="283" t="str">
        <f>IFERROR(IF(VLOOKUP(P15,Lookup14,3,FALSE)="","",VLOOKUP(P15,Lookup14,3,FALSE)),"")</f>
        <v/>
      </c>
      <c r="U14" s="283"/>
      <c r="V14" s="279"/>
      <c r="W14" s="279"/>
      <c r="X14" s="279"/>
      <c r="Y14" s="279"/>
      <c r="Z14" s="279"/>
      <c r="AA14" s="279"/>
      <c r="AB14" s="279"/>
      <c r="AC14" s="279"/>
      <c r="AD14" s="279"/>
      <c r="AE14" s="279"/>
      <c r="AF14" s="279"/>
      <c r="AG14" s="279"/>
      <c r="AH14" s="279"/>
      <c r="AI14" s="279"/>
    </row>
    <row r="15" spans="1:35" ht="15.75" customHeight="1" x14ac:dyDescent="0.25">
      <c r="A15" s="275" t="str">
        <f>A14&amp;"E"</f>
        <v>83E</v>
      </c>
      <c r="B15" s="281" t="str">
        <f>IFERROR(VLOOKUP(A14,Lookup14,2,FALSE),"")</f>
        <v>Second in Group K</v>
      </c>
      <c r="C15" s="282" t="str">
        <f>IFERROR(IF(VLOOKUP(A14,Lookup14,3,FALSE)="","",VLOOKUP(A14,Lookup14,3,FALSE)),"")</f>
        <v/>
      </c>
      <c r="D15" s="282" t="str">
        <f>IFERROR(IF(VLOOKUP(A15,Lookup14,3,FALSE)="","",VLOOKUP(A15,Lookup14,3,FALSE)),"")</f>
        <v/>
      </c>
      <c r="E15" s="283" t="str">
        <f>IFERROR(IF(VLOOKUP(A16,Lookup14,3,FALSE)="","",VLOOKUP(A16,Lookup14,3,FALSE)),"")</f>
        <v/>
      </c>
      <c r="F15" s="275"/>
      <c r="G15" s="276"/>
      <c r="H15" s="277"/>
      <c r="I15" s="277"/>
      <c r="J15" s="277"/>
      <c r="K15" s="287"/>
      <c r="L15" s="278"/>
      <c r="M15" s="279"/>
      <c r="N15" s="279"/>
      <c r="O15" s="280"/>
      <c r="P15" s="275" t="str">
        <f>P13&amp;"P"</f>
        <v>101P</v>
      </c>
      <c r="Q15" s="284" t="str">
        <f>IFERROR(VLOOKUP(P13,Lookup14,6,FALSE),"")</f>
        <v>Winner Match 98</v>
      </c>
      <c r="R15" s="282" t="str">
        <f>IFERROR(IF(VLOOKUP(P13,Lookup14,5,FALSE)="","",VLOOKUP(P13,Lookup14,5,FALSE)),"")</f>
        <v/>
      </c>
      <c r="S15" s="282" t="str">
        <f>IFERROR(IF(VLOOKUP(P14,Lookup14,5,FALSE)="","",VLOOKUP(P14,Lookup14,5,FALSE)),"")</f>
        <v/>
      </c>
      <c r="T15" s="283" t="str">
        <f>IFERROR(IF(VLOOKUP(P15,Lookup14,5,FALSE)="","",VLOOKUP(P15,Lookup14,5,FALSE)),"")</f>
        <v/>
      </c>
      <c r="U15" s="283"/>
      <c r="V15" s="279"/>
      <c r="W15" s="279"/>
      <c r="X15" s="279"/>
      <c r="Y15" s="279"/>
      <c r="Z15" s="279"/>
      <c r="AA15" s="279"/>
      <c r="AB15" s="279"/>
      <c r="AC15" s="279"/>
      <c r="AD15" s="279"/>
      <c r="AE15" s="279"/>
      <c r="AF15" s="279"/>
      <c r="AG15" s="279"/>
      <c r="AH15" s="279"/>
      <c r="AI15" s="279"/>
    </row>
    <row r="16" spans="1:35" x14ac:dyDescent="0.25">
      <c r="A16" s="275" t="str">
        <f>A14&amp;"P"</f>
        <v>83P</v>
      </c>
      <c r="B16" s="284" t="str">
        <f>IFERROR(VLOOKUP(A14,Lookup14,6,FALSE),"")</f>
        <v>Second in Group L</v>
      </c>
      <c r="C16" s="282" t="str">
        <f>IFERROR(IF(VLOOKUP(A14,Lookup14,5,FALSE)="","",VLOOKUP(A14,Lookup14,5,FALSE)),"")</f>
        <v/>
      </c>
      <c r="D16" s="282" t="str">
        <f>IFERROR(IF(VLOOKUP(A15,Lookup14,5,FALSE)="","",VLOOKUP(A15,Lookup14,5,FALSE)),"")</f>
        <v/>
      </c>
      <c r="E16" s="283" t="str">
        <f>IFERROR(IF(VLOOKUP(A16,Lookup14,5,FALSE)="","",VLOOKUP(A16,Lookup14,5,FALSE)),"")</f>
        <v/>
      </c>
      <c r="F16" s="290" t="s">
        <v>1253</v>
      </c>
      <c r="G16" s="291" t="str">
        <f>IFERROR(VLOOKUP(F16,Lookup14,7,FALSE),"")</f>
        <v>Dallas Stadium</v>
      </c>
      <c r="H16" s="273" t="s">
        <v>1267</v>
      </c>
      <c r="I16" s="273" t="s">
        <v>1268</v>
      </c>
      <c r="J16" s="274" t="s">
        <v>342</v>
      </c>
      <c r="K16" s="285"/>
      <c r="L16" s="278"/>
      <c r="M16" s="279"/>
      <c r="N16" s="279"/>
      <c r="O16" s="280"/>
      <c r="P16" s="280"/>
      <c r="Q16" s="278"/>
      <c r="R16" s="278"/>
      <c r="S16" s="279"/>
      <c r="T16" s="279"/>
      <c r="U16" s="279"/>
      <c r="V16" s="279"/>
      <c r="W16" s="279"/>
      <c r="X16" s="279"/>
      <c r="Y16" s="279"/>
      <c r="Z16" s="279"/>
      <c r="AA16" s="279"/>
      <c r="AB16" s="279"/>
      <c r="AC16" s="279"/>
      <c r="AD16" s="279"/>
      <c r="AE16" s="279"/>
      <c r="AF16" s="279"/>
      <c r="AG16" s="279"/>
      <c r="AH16" s="279"/>
      <c r="AI16" s="279"/>
    </row>
    <row r="17" spans="1:35" x14ac:dyDescent="0.25">
      <c r="A17" s="290" t="s">
        <v>1239</v>
      </c>
      <c r="B17" s="291" t="str">
        <f>IFERROR(VLOOKUP(A17,Lookup14,7,FALSE),"")</f>
        <v>Los Angeles Stadium</v>
      </c>
      <c r="C17" s="273" t="s">
        <v>1267</v>
      </c>
      <c r="D17" s="273" t="s">
        <v>1268</v>
      </c>
      <c r="E17" s="274" t="s">
        <v>342</v>
      </c>
      <c r="F17" s="275" t="str">
        <f>F16&amp;"E"</f>
        <v>93E</v>
      </c>
      <c r="G17" s="281" t="str">
        <f>IFERROR(VLOOKUP(F16,Lookup14,2,FALSE),"")</f>
        <v>Winner Match 83</v>
      </c>
      <c r="H17" s="282" t="str">
        <f>IFERROR(IF(VLOOKUP(F16,Lookup14,3,FALSE)="","",VLOOKUP(F16,Lookup14,3,FALSE)),"")</f>
        <v/>
      </c>
      <c r="I17" s="282" t="str">
        <f>IFERROR(IF(VLOOKUP(F17,Lookup14,3,FALSE)="","",VLOOKUP(F17,Lookup14,3,FALSE)),"")</f>
        <v/>
      </c>
      <c r="J17" s="283" t="str">
        <f>IFERROR(IF(VLOOKUP(F18,Lookup14,3,FALSE)="","",VLOOKUP(F18,Lookup14,3,FALSE)),"")</f>
        <v/>
      </c>
      <c r="K17" s="286"/>
      <c r="L17" s="278"/>
      <c r="M17" s="279"/>
      <c r="N17" s="279"/>
      <c r="O17" s="280"/>
      <c r="P17" s="280"/>
      <c r="Q17" s="278"/>
      <c r="R17" s="278"/>
      <c r="S17" s="279"/>
      <c r="T17" s="279"/>
      <c r="U17" s="279"/>
      <c r="V17" s="279"/>
      <c r="W17" s="279"/>
      <c r="X17" s="279"/>
      <c r="Y17" s="279"/>
      <c r="Z17" s="279"/>
      <c r="AA17" s="279"/>
      <c r="AB17" s="279"/>
      <c r="AC17" s="279"/>
      <c r="AD17" s="279"/>
      <c r="AE17" s="279"/>
      <c r="AF17" s="279"/>
      <c r="AG17" s="279"/>
      <c r="AH17" s="279"/>
      <c r="AI17" s="279"/>
    </row>
    <row r="18" spans="1:35" x14ac:dyDescent="0.25">
      <c r="A18" s="275" t="str">
        <f>A17&amp;"E"</f>
        <v>84E</v>
      </c>
      <c r="B18" s="281" t="str">
        <f>IFERROR(VLOOKUP(A17,Lookup14,2,FALSE),"")</f>
        <v>Winner Group H</v>
      </c>
      <c r="C18" s="282" t="str">
        <f>IFERROR(IF(VLOOKUP(A17,Lookup14,3,FALSE)="","",VLOOKUP(A17,Lookup14,3,FALSE)),"")</f>
        <v/>
      </c>
      <c r="D18" s="282" t="str">
        <f>IFERROR(IF(VLOOKUP(A18,Lookup14,3,FALSE)="","",VLOOKUP(A18,Lookup14,3,FALSE)),"")</f>
        <v/>
      </c>
      <c r="E18" s="283" t="str">
        <f>IFERROR(IF(VLOOKUP(A19,Lookup14,3,FALSE)="","",VLOOKUP(A19,Lookup14,3,FALSE)),"")</f>
        <v/>
      </c>
      <c r="F18" s="275" t="str">
        <f>F16&amp;"P"</f>
        <v>93P</v>
      </c>
      <c r="G18" s="284" t="str">
        <f>IFERROR(VLOOKUP(F16,Lookup14,6,FALSE),"")</f>
        <v>Winner Match 84</v>
      </c>
      <c r="H18" s="282" t="str">
        <f>IFERROR(IF(VLOOKUP(F16,Lookup14,5,FALSE)="","",VLOOKUP(F16,Lookup14,5,FALSE)),"")</f>
        <v/>
      </c>
      <c r="I18" s="282" t="str">
        <f>IFERROR(IF(VLOOKUP(F17,Lookup14,5,FALSE)="","",VLOOKUP(F17,Lookup14,5,FALSE)),"")</f>
        <v/>
      </c>
      <c r="J18" s="283" t="str">
        <f>IFERROR(IF(VLOOKUP(F18,Lookup14,5,FALSE)="","",VLOOKUP(F18,Lookup14,5,FALSE)),"")</f>
        <v/>
      </c>
      <c r="K18" s="286"/>
      <c r="L18" s="278"/>
      <c r="M18" s="279"/>
      <c r="N18" s="279"/>
      <c r="O18" s="280"/>
      <c r="P18" s="280"/>
      <c r="Q18" s="278"/>
      <c r="R18" s="278"/>
      <c r="S18" s="279"/>
      <c r="T18" s="279"/>
      <c r="U18" s="279"/>
      <c r="AB18" s="279"/>
      <c r="AC18" s="279"/>
      <c r="AD18" s="279"/>
      <c r="AE18" s="279"/>
      <c r="AF18" s="279"/>
      <c r="AG18" s="279"/>
      <c r="AH18" s="279"/>
      <c r="AI18" s="279"/>
    </row>
    <row r="19" spans="1:35" x14ac:dyDescent="0.25">
      <c r="A19" s="275" t="str">
        <f>A17&amp;"P"</f>
        <v>84P</v>
      </c>
      <c r="B19" s="284" t="str">
        <f>IFERROR(VLOOKUP(A17,Lookup14,6,FALSE),"")</f>
        <v>Second in Group J</v>
      </c>
      <c r="C19" s="282" t="str">
        <f>IFERROR(IF(VLOOKUP(A17,Lookup14,5,FALSE)="","",VLOOKUP(A17,Lookup14,5,FALSE)),"")</f>
        <v/>
      </c>
      <c r="D19" s="282" t="str">
        <f>IFERROR(IF(VLOOKUP(A18,Lookup14,5,FALSE)="","",VLOOKUP(A18,Lookup14,5,FALSE)),"")</f>
        <v/>
      </c>
      <c r="E19" s="283" t="str">
        <f>IFERROR(IF(VLOOKUP(A19,Lookup14,5,FALSE)="","",VLOOKUP(A19,Lookup14,5,FALSE)),"")</f>
        <v/>
      </c>
      <c r="F19" s="275"/>
      <c r="G19" s="276"/>
      <c r="H19" s="277"/>
      <c r="I19" s="277"/>
      <c r="J19" s="277"/>
      <c r="K19" s="290" t="s">
        <v>1263</v>
      </c>
      <c r="L19" s="291" t="str">
        <f>IFERROR(VLOOKUP(K19,Lookup14,7,FALSE),"")</f>
        <v>Los Angeles Stadium</v>
      </c>
      <c r="M19" s="273" t="s">
        <v>1267</v>
      </c>
      <c r="N19" s="273" t="s">
        <v>1268</v>
      </c>
      <c r="O19" s="274" t="s">
        <v>342</v>
      </c>
      <c r="P19" s="288"/>
      <c r="Q19" s="278"/>
      <c r="R19" s="278"/>
      <c r="S19" s="279"/>
      <c r="T19" s="279"/>
      <c r="U19" s="279"/>
      <c r="AB19" s="279"/>
      <c r="AC19" s="279"/>
      <c r="AD19" s="279"/>
      <c r="AE19" s="279"/>
      <c r="AF19" s="279"/>
      <c r="AG19" s="279"/>
      <c r="AH19" s="279"/>
      <c r="AI19" s="279"/>
    </row>
    <row r="20" spans="1:35" x14ac:dyDescent="0.25">
      <c r="A20" s="290" t="s">
        <v>1238</v>
      </c>
      <c r="B20" s="291" t="str">
        <f>IFERROR(VLOOKUP(A20,Lookup14,7,FALSE),"")</f>
        <v>San Franciso Bay Stadium</v>
      </c>
      <c r="C20" s="273" t="s">
        <v>1267</v>
      </c>
      <c r="D20" s="273" t="s">
        <v>1268</v>
      </c>
      <c r="E20" s="274" t="s">
        <v>342</v>
      </c>
      <c r="F20" s="275"/>
      <c r="G20" s="276"/>
      <c r="H20" s="277"/>
      <c r="I20" s="277"/>
      <c r="J20" s="277"/>
      <c r="K20" s="275" t="str">
        <f>K19&amp;"E"</f>
        <v>98E</v>
      </c>
      <c r="L20" s="281" t="str">
        <f>IFERROR(VLOOKUP(K19,Lookup14,2,FALSE),"")</f>
        <v>Winner Match 93</v>
      </c>
      <c r="M20" s="282" t="str">
        <f>IFERROR(IF(VLOOKUP(K19,Lookup14,3,FALSE)="","",VLOOKUP(K19,Lookup14,3,FALSE)),"")</f>
        <v/>
      </c>
      <c r="N20" s="282" t="str">
        <f>IFERROR(IF(VLOOKUP(K20,Lookup14,3,FALSE)="","",VLOOKUP(K20,Lookup14,3,FALSE)),"")</f>
        <v/>
      </c>
      <c r="O20" s="283" t="str">
        <f>IFERROR(IF(VLOOKUP(K21,Lookup14,3,FALSE)="","",VLOOKUP(K21,Lookup14,3,FALSE)),"")</f>
        <v/>
      </c>
      <c r="P20" s="289"/>
      <c r="Q20" s="278"/>
      <c r="R20" s="278"/>
      <c r="S20" s="279"/>
      <c r="T20" s="279"/>
      <c r="U20" s="279"/>
      <c r="AB20" s="279"/>
      <c r="AC20" s="279"/>
      <c r="AD20" s="279"/>
      <c r="AE20" s="279"/>
      <c r="AF20" s="279"/>
      <c r="AG20" s="279"/>
      <c r="AH20" s="279"/>
      <c r="AI20" s="279"/>
    </row>
    <row r="21" spans="1:35" x14ac:dyDescent="0.25">
      <c r="A21" s="275" t="str">
        <f>A20&amp;"E"</f>
        <v>81E</v>
      </c>
      <c r="B21" s="281" t="str">
        <f>IFERROR(VLOOKUP(A20,Lookup14,2,FALSE),"")</f>
        <v>Winner Group D</v>
      </c>
      <c r="C21" s="282" t="str">
        <f>IFERROR(IF(VLOOKUP(A20,Lookup14,3,FALSE)="","",VLOOKUP(A20,Lookup14,3,FALSE)),"")</f>
        <v/>
      </c>
      <c r="D21" s="282" t="str">
        <f>IFERROR(IF(VLOOKUP(A21,Lookup14,3,FALSE)="","",VLOOKUP(A21,Lookup14,3,FALSE)),"")</f>
        <v/>
      </c>
      <c r="E21" s="283" t="str">
        <f>IFERROR(IF(VLOOKUP(A22,Lookup14,3,FALSE)="","",VLOOKUP(A22,Lookup14,3,FALSE)),"")</f>
        <v/>
      </c>
      <c r="F21" s="275"/>
      <c r="G21" s="276"/>
      <c r="H21" s="277"/>
      <c r="I21" s="277"/>
      <c r="J21" s="277"/>
      <c r="K21" s="275" t="str">
        <f>K19&amp;"P"</f>
        <v>98P</v>
      </c>
      <c r="L21" s="284" t="str">
        <f>IFERROR(VLOOKUP(K19,Lookup14,6,FALSE),"")</f>
        <v>Winner Match 94</v>
      </c>
      <c r="M21" s="282" t="str">
        <f>IFERROR(IF(VLOOKUP(K19,Lookup14,5,FALSE)="","",VLOOKUP(K19,Lookup14,5,FALSE)),"")</f>
        <v/>
      </c>
      <c r="N21" s="282" t="str">
        <f>IFERROR(IF(VLOOKUP(K20,Lookup14,5,FALSE)="","",VLOOKUP(K20,Lookup14,5,FALSE)),"")</f>
        <v/>
      </c>
      <c r="O21" s="283" t="str">
        <f>IFERROR(IF(VLOOKUP(K21,Lookup14,5,FALSE)="","",VLOOKUP(K21,Lookup14,5,FALSE)),"")</f>
        <v/>
      </c>
      <c r="P21" s="289"/>
      <c r="Q21" s="278"/>
      <c r="R21" s="278"/>
      <c r="S21" s="279"/>
      <c r="T21" s="279"/>
      <c r="U21" s="279"/>
      <c r="V21" s="279"/>
      <c r="W21" s="279"/>
      <c r="X21" s="279"/>
      <c r="Y21" s="279"/>
      <c r="Z21" s="279"/>
      <c r="AA21" s="279"/>
      <c r="AB21" s="279"/>
      <c r="AC21" s="279"/>
      <c r="AD21" s="279"/>
      <c r="AE21" s="279"/>
      <c r="AF21" s="279"/>
      <c r="AG21" s="279"/>
      <c r="AH21" s="279"/>
      <c r="AI21" s="279"/>
    </row>
    <row r="22" spans="1:35" x14ac:dyDescent="0.25">
      <c r="A22" s="275" t="str">
        <f>A20&amp;"P"</f>
        <v>81P</v>
      </c>
      <c r="B22" s="284" t="str">
        <f>IFERROR(VLOOKUP(A20,Lookup14,6,FALSE),"")</f>
        <v>Third Place BEFIJ</v>
      </c>
      <c r="C22" s="282" t="str">
        <f>IFERROR(IF(VLOOKUP(A20,Lookup14,5,FALSE)="","",VLOOKUP(A20,Lookup14,5,FALSE)),"")</f>
        <v/>
      </c>
      <c r="D22" s="282" t="str">
        <f>IFERROR(IF(VLOOKUP(A21,Lookup14,5,FALSE)="","",VLOOKUP(A21,Lookup14,5,FALSE)),"")</f>
        <v/>
      </c>
      <c r="E22" s="283" t="str">
        <f>IFERROR(IF(VLOOKUP(A22,Lookup14,5,FALSE)="","",VLOOKUP(A22,Lookup14,5,FALSE)),"")</f>
        <v/>
      </c>
      <c r="F22" s="290" t="s">
        <v>1254</v>
      </c>
      <c r="G22" s="291" t="str">
        <f>IFERROR(VLOOKUP(F22,Lookup14,7,FALSE),"")</f>
        <v>Seattle Stadium</v>
      </c>
      <c r="H22" s="273" t="s">
        <v>1267</v>
      </c>
      <c r="I22" s="273" t="s">
        <v>1268</v>
      </c>
      <c r="J22" s="274" t="s">
        <v>342</v>
      </c>
      <c r="K22" s="285"/>
      <c r="L22" s="278"/>
      <c r="M22" s="279"/>
      <c r="N22" s="279"/>
      <c r="O22" s="280"/>
      <c r="P22" s="280"/>
      <c r="Q22" s="278"/>
      <c r="R22" s="278"/>
      <c r="S22" s="279"/>
      <c r="T22" s="279"/>
      <c r="U22" s="279"/>
      <c r="V22" s="279"/>
      <c r="W22" s="279"/>
      <c r="X22" s="279"/>
      <c r="Y22" s="279"/>
      <c r="Z22" s="279"/>
      <c r="AA22" s="279"/>
      <c r="AB22" s="279"/>
      <c r="AC22" s="279"/>
      <c r="AD22" s="279"/>
      <c r="AE22" s="279"/>
      <c r="AF22" s="279"/>
      <c r="AG22" s="279"/>
      <c r="AH22" s="279"/>
      <c r="AI22" s="279"/>
    </row>
    <row r="23" spans="1:35" x14ac:dyDescent="0.25">
      <c r="A23" s="290" t="s">
        <v>1237</v>
      </c>
      <c r="B23" s="291" t="str">
        <f>IFERROR(VLOOKUP(A23,Lookup14,7,FALSE),"")</f>
        <v>Seattle Stadium</v>
      </c>
      <c r="C23" s="273" t="s">
        <v>1267</v>
      </c>
      <c r="D23" s="273" t="s">
        <v>1268</v>
      </c>
      <c r="E23" s="274" t="s">
        <v>342</v>
      </c>
      <c r="F23" s="275" t="str">
        <f>F22&amp;"E"</f>
        <v>94E</v>
      </c>
      <c r="G23" s="281" t="str">
        <f>IFERROR(VLOOKUP(F22,Lookup14,2,FALSE),"")</f>
        <v>Winner Match 81</v>
      </c>
      <c r="H23" s="282" t="str">
        <f>IFERROR(IF(VLOOKUP(F22,Lookup14,3,FALSE)="","",VLOOKUP(F22,Lookup14,3,FALSE)),"")</f>
        <v/>
      </c>
      <c r="I23" s="282" t="str">
        <f>IFERROR(IF(VLOOKUP(F23,Lookup14,3,FALSE)="","",VLOOKUP(F23,Lookup14,3,FALSE)),"")</f>
        <v/>
      </c>
      <c r="J23" s="283" t="str">
        <f>IFERROR(IF(VLOOKUP(F24,Lookup14,3,FALSE)="","",VLOOKUP(F24,Lookup14,3,FALSE)),"")</f>
        <v/>
      </c>
      <c r="K23" s="286"/>
      <c r="L23" s="278"/>
      <c r="M23" s="279"/>
      <c r="N23" s="279"/>
      <c r="O23" s="280"/>
      <c r="P23" s="280"/>
      <c r="Q23" s="278"/>
      <c r="R23" s="278"/>
      <c r="S23" s="279"/>
      <c r="T23" s="279"/>
      <c r="U23" s="279"/>
      <c r="V23" s="279"/>
      <c r="W23" s="279"/>
      <c r="X23" s="279"/>
      <c r="Y23" s="279"/>
      <c r="Z23" s="279"/>
      <c r="AA23" s="279"/>
      <c r="AB23" s="279"/>
      <c r="AC23" s="279"/>
      <c r="AD23" s="279"/>
      <c r="AE23" s="279"/>
      <c r="AF23" s="279"/>
      <c r="AG23" s="279"/>
      <c r="AH23" s="279"/>
      <c r="AI23" s="279"/>
    </row>
    <row r="24" spans="1:35" x14ac:dyDescent="0.25">
      <c r="A24" s="275" t="str">
        <f>A23&amp;"E"</f>
        <v>82E</v>
      </c>
      <c r="B24" s="281" t="str">
        <f>IFERROR(VLOOKUP(A23,Lookup14,2,FALSE),"")</f>
        <v>Winner Group G</v>
      </c>
      <c r="C24" s="282" t="str">
        <f>IFERROR(IF(VLOOKUP(A23,Lookup14,3,FALSE)="","",VLOOKUP(A23,Lookup14,3,FALSE)),"")</f>
        <v/>
      </c>
      <c r="D24" s="282" t="str">
        <f>IFERROR(IF(VLOOKUP(A24,Lookup14,3,FALSE)="","",VLOOKUP(A24,Lookup14,3,FALSE)),"")</f>
        <v/>
      </c>
      <c r="E24" s="283" t="str">
        <f>IFERROR(IF(VLOOKUP(A25,Lookup14,3,FALSE)="","",VLOOKUP(A25,Lookup14,3,FALSE)),"")</f>
        <v/>
      </c>
      <c r="F24" s="275" t="str">
        <f>F22&amp;"P"</f>
        <v>94P</v>
      </c>
      <c r="G24" s="284" t="str">
        <f>IFERROR(VLOOKUP(F22,Lookup14,6,FALSE),"")</f>
        <v>Winner Match 82</v>
      </c>
      <c r="H24" s="282" t="str">
        <f>IFERROR(IF(VLOOKUP(F22,Lookup14,5,FALSE)="","",VLOOKUP(F22,Lookup14,5,FALSE)),"")</f>
        <v/>
      </c>
      <c r="I24" s="282" t="str">
        <f>IFERROR(IF(VLOOKUP(F23,Lookup14,5,FALSE)="","",VLOOKUP(F23,Lookup14,5,FALSE)),"")</f>
        <v/>
      </c>
      <c r="J24" s="283" t="str">
        <f>IFERROR(IF(VLOOKUP(F24,Lookup14,5,FALSE)="","",VLOOKUP(F24,Lookup14,5,FALSE)),"")</f>
        <v/>
      </c>
      <c r="K24" s="286"/>
      <c r="L24" s="278"/>
      <c r="M24" s="279"/>
      <c r="N24" s="279"/>
      <c r="O24" s="280"/>
      <c r="P24" s="280"/>
      <c r="Q24" s="278"/>
      <c r="R24" s="278"/>
      <c r="S24" s="279"/>
      <c r="T24" s="279"/>
      <c r="U24" s="279"/>
      <c r="V24" s="279"/>
      <c r="W24" s="279"/>
      <c r="X24" s="279"/>
      <c r="Y24" s="279"/>
      <c r="Z24" s="279"/>
      <c r="AA24" s="279"/>
      <c r="AB24" s="279"/>
      <c r="AC24" s="279"/>
      <c r="AD24" s="279"/>
      <c r="AE24" s="279"/>
      <c r="AF24" s="279"/>
      <c r="AG24" s="279"/>
      <c r="AH24" s="279"/>
      <c r="AI24" s="279"/>
    </row>
    <row r="25" spans="1:35" ht="15.75" customHeight="1" x14ac:dyDescent="0.25">
      <c r="A25" s="275" t="str">
        <f>A23&amp;"P"</f>
        <v>82P</v>
      </c>
      <c r="B25" s="284" t="str">
        <f>IFERROR(VLOOKUP(A23,Lookup14,6,FALSE),"")</f>
        <v>Third Place AEHIJ</v>
      </c>
      <c r="C25" s="282" t="str">
        <f>IFERROR(IF(VLOOKUP(A23,Lookup14,5,FALSE)="","",VLOOKUP(A23,Lookup14,5,FALSE)),"")</f>
        <v/>
      </c>
      <c r="D25" s="282" t="str">
        <f>IFERROR(IF(VLOOKUP(A24,Lookup14,5,FALSE)="","",VLOOKUP(A24,Lookup14,5,FALSE)),"")</f>
        <v/>
      </c>
      <c r="E25" s="283" t="str">
        <f>IFERROR(IF(VLOOKUP(A25,Lookup14,5,FALSE)="","",VLOOKUP(A25,Lookup14,5,FALSE)),"")</f>
        <v/>
      </c>
      <c r="F25" s="275"/>
      <c r="G25" s="276"/>
      <c r="H25" s="277"/>
      <c r="I25" s="277"/>
      <c r="J25" s="277"/>
      <c r="K25" s="277"/>
      <c r="L25" s="278"/>
      <c r="M25" s="279"/>
      <c r="N25" s="279"/>
      <c r="O25" s="280"/>
      <c r="P25" s="280"/>
      <c r="Q25" s="278"/>
      <c r="R25" s="278"/>
      <c r="S25" s="279"/>
      <c r="T25" s="279"/>
      <c r="U25" s="279"/>
      <c r="V25" s="290" t="s">
        <v>1260</v>
      </c>
      <c r="W25" s="291" t="str">
        <f>IFERROR(VLOOKUP(V25,Lookup14,7,FALSE),"")</f>
        <v>MetLife Stadium</v>
      </c>
      <c r="X25" s="273" t="s">
        <v>1267</v>
      </c>
      <c r="Y25" s="273" t="s">
        <v>1268</v>
      </c>
      <c r="Z25" s="274" t="s">
        <v>342</v>
      </c>
      <c r="AA25" s="274"/>
      <c r="AB25" s="279"/>
      <c r="AC25" s="690" t="str">
        <f>Poster!L195</f>
        <v>1st Place</v>
      </c>
      <c r="AD25" s="691"/>
      <c r="AE25" s="691"/>
      <c r="AF25" s="691"/>
      <c r="AG25" s="691"/>
      <c r="AH25" s="691"/>
      <c r="AI25" s="692"/>
    </row>
    <row r="26" spans="1:35" ht="15.75" customHeight="1" x14ac:dyDescent="0.25">
      <c r="A26" s="290" t="s">
        <v>1231</v>
      </c>
      <c r="B26" s="291" t="str">
        <f>IFERROR(VLOOKUP(A26,Lookup14,7,FALSE),"")</f>
        <v>Houston Stadium</v>
      </c>
      <c r="C26" s="273" t="s">
        <v>1267</v>
      </c>
      <c r="D26" s="273" t="s">
        <v>1268</v>
      </c>
      <c r="E26" s="274" t="s">
        <v>342</v>
      </c>
      <c r="F26" s="275"/>
      <c r="G26" s="276"/>
      <c r="H26" s="277"/>
      <c r="I26" s="277"/>
      <c r="J26" s="277"/>
      <c r="K26" s="277"/>
      <c r="L26" s="278"/>
      <c r="M26" s="279"/>
      <c r="N26" s="279"/>
      <c r="O26" s="280"/>
      <c r="P26" s="280"/>
      <c r="Q26" s="278"/>
      <c r="R26" s="278"/>
      <c r="S26" s="279"/>
      <c r="T26" s="279"/>
      <c r="U26" s="279"/>
      <c r="V26" s="275" t="str">
        <f>V25&amp;"E"</f>
        <v>104E</v>
      </c>
      <c r="W26" s="281" t="str">
        <f>IFERROR(VLOOKUP(V25,Lookup14,2,FALSE),"")</f>
        <v>Winner Match 101</v>
      </c>
      <c r="X26" s="282" t="str">
        <f>IFERROR(IF(VLOOKUP(V25,Lookup14,3,FALSE)="","",VLOOKUP(V25,Lookup14,3,FALSE)),"")</f>
        <v/>
      </c>
      <c r="Y26" s="282" t="str">
        <f>IFERROR(IF(VLOOKUP(V26,Lookup14,3,FALSE)="","",VLOOKUP(V26,Lookup14,3,FALSE)),"")</f>
        <v/>
      </c>
      <c r="Z26" s="283" t="str">
        <f>IFERROR(IF(VLOOKUP(V27,Lookup14,3,FALSE)="","",VLOOKUP(V27,Lookup14,3,FALSE)),"")</f>
        <v/>
      </c>
      <c r="AA26" s="283"/>
      <c r="AB26" s="279"/>
      <c r="AC26" s="693"/>
      <c r="AD26" s="694"/>
      <c r="AE26" s="694"/>
      <c r="AF26" s="694"/>
      <c r="AG26" s="694"/>
      <c r="AH26" s="694"/>
      <c r="AI26" s="695"/>
    </row>
    <row r="27" spans="1:35" x14ac:dyDescent="0.25">
      <c r="A27" s="275" t="str">
        <f>A26&amp;"E"</f>
        <v>76E</v>
      </c>
      <c r="B27" s="281" t="str">
        <f>IFERROR(VLOOKUP(A26,Lookup14,2,FALSE),"")</f>
        <v>Winner Group C</v>
      </c>
      <c r="C27" s="282" t="str">
        <f>IFERROR(IF(VLOOKUP(A26,Lookup14,3,FALSE)="","",VLOOKUP(A26,Lookup14,3,FALSE)),"")</f>
        <v/>
      </c>
      <c r="D27" s="282" t="str">
        <f>IFERROR(IF(VLOOKUP(A27,Lookup14,3,FALSE)="","",VLOOKUP(A27,Lookup14,3,FALSE)),"")</f>
        <v/>
      </c>
      <c r="E27" s="283" t="str">
        <f>IFERROR(IF(VLOOKUP(A28,Lookup14,3,FALSE)="","",VLOOKUP(A28,Lookup14,3,FALSE)),"")</f>
        <v/>
      </c>
      <c r="F27" s="275"/>
      <c r="G27" s="276"/>
      <c r="H27" s="277"/>
      <c r="I27" s="277"/>
      <c r="J27" s="277"/>
      <c r="K27" s="277"/>
      <c r="L27" s="278"/>
      <c r="M27" s="279"/>
      <c r="N27" s="279"/>
      <c r="O27" s="280"/>
      <c r="P27" s="280"/>
      <c r="Q27" s="278"/>
      <c r="R27" s="278"/>
      <c r="S27" s="279"/>
      <c r="T27" s="279"/>
      <c r="U27" s="279"/>
      <c r="V27" s="275" t="str">
        <f>V25&amp;"P"</f>
        <v>104P</v>
      </c>
      <c r="W27" s="284" t="str">
        <f>IFERROR(VLOOKUP(V25,Lookup14,6,FALSE),"")</f>
        <v>Winner Match 102</v>
      </c>
      <c r="X27" s="282" t="str">
        <f>IFERROR(IF(VLOOKUP(V25,Lookup14,5,FALSE)="","",VLOOKUP(V25,Lookup14,5,FALSE)),"")</f>
        <v/>
      </c>
      <c r="Y27" s="282" t="str">
        <f>IFERROR(IF(VLOOKUP(V26,Lookup14,5,FALSE)="","",VLOOKUP(V26,Lookup14,5,FALSE)),"")</f>
        <v/>
      </c>
      <c r="Z27" s="283" t="str">
        <f>IFERROR(IF(VLOOKUP(V27,Lookup14,5,FALSE)="","",VLOOKUP(V27,Lookup14,5,FALSE)),"")</f>
        <v/>
      </c>
      <c r="AA27" s="283"/>
      <c r="AB27" s="279"/>
      <c r="AC27" s="696"/>
      <c r="AD27" s="697"/>
      <c r="AE27" s="697"/>
      <c r="AF27" s="697"/>
      <c r="AG27" s="697"/>
      <c r="AH27" s="697"/>
      <c r="AI27" s="698"/>
    </row>
    <row r="28" spans="1:35" x14ac:dyDescent="0.25">
      <c r="A28" s="275" t="str">
        <f>A26&amp;"P"</f>
        <v>76P</v>
      </c>
      <c r="B28" s="284" t="str">
        <f>IFERROR(VLOOKUP(A26,Lookup14,6,FALSE),"")</f>
        <v>Second in Group F</v>
      </c>
      <c r="C28" s="282" t="str">
        <f>IFERROR(IF(VLOOKUP(A26,Lookup14,5,FALSE)="","",VLOOKUP(A26,Lookup14,5,FALSE)),"")</f>
        <v/>
      </c>
      <c r="D28" s="282" t="str">
        <f>IFERROR(IF(VLOOKUP(A27,Lookup14,5,FALSE)="","",VLOOKUP(A27,Lookup14,5,FALSE)),"")</f>
        <v/>
      </c>
      <c r="E28" s="283" t="str">
        <f>IFERROR(IF(VLOOKUP(A28,Lookup14,5,FALSE)="","",VLOOKUP(A28,Lookup14,5,FALSE)),"")</f>
        <v/>
      </c>
      <c r="F28" s="290" t="s">
        <v>1251</v>
      </c>
      <c r="G28" s="291" t="str">
        <f>IFERROR(VLOOKUP(F28,Lookup14,7,FALSE),"")</f>
        <v>MetLife Stadium</v>
      </c>
      <c r="H28" s="273" t="s">
        <v>1267</v>
      </c>
      <c r="I28" s="273" t="s">
        <v>1268</v>
      </c>
      <c r="J28" s="274" t="s">
        <v>342</v>
      </c>
      <c r="K28" s="285"/>
      <c r="L28" s="278"/>
      <c r="M28" s="279"/>
      <c r="N28" s="279"/>
      <c r="O28" s="280"/>
      <c r="P28" s="280"/>
      <c r="Q28" s="278"/>
      <c r="R28" s="278"/>
      <c r="S28" s="279"/>
      <c r="T28" s="279"/>
      <c r="U28" s="279"/>
      <c r="V28" s="279"/>
      <c r="W28" s="279"/>
      <c r="X28" s="279"/>
      <c r="Y28" s="279"/>
      <c r="Z28" s="279"/>
      <c r="AA28" s="279"/>
      <c r="AB28" s="279"/>
      <c r="AC28" s="279"/>
      <c r="AD28" s="279"/>
      <c r="AE28" s="279"/>
      <c r="AF28" s="279"/>
      <c r="AG28" s="279"/>
      <c r="AH28" s="279"/>
      <c r="AI28" s="279"/>
    </row>
    <row r="29" spans="1:35" x14ac:dyDescent="0.25">
      <c r="A29" s="290" t="s">
        <v>1233</v>
      </c>
      <c r="B29" s="291" t="str">
        <f>IFERROR(VLOOKUP(A29,Lookup14,7,FALSE),"")</f>
        <v>Dallas Stadium</v>
      </c>
      <c r="C29" s="273" t="s">
        <v>1267</v>
      </c>
      <c r="D29" s="273" t="s">
        <v>1268</v>
      </c>
      <c r="E29" s="274" t="s">
        <v>342</v>
      </c>
      <c r="F29" s="275" t="str">
        <f>F28&amp;"E"</f>
        <v>91E</v>
      </c>
      <c r="G29" s="281" t="str">
        <f>IFERROR(VLOOKUP(F28,Lookup14,2,FALSE),"")</f>
        <v>Winner Match 76</v>
      </c>
      <c r="H29" s="282" t="str">
        <f>IFERROR(IF(VLOOKUP(F28,Lookup14,3,FALSE)="","",VLOOKUP(F28,Lookup14,3,FALSE)),"")</f>
        <v/>
      </c>
      <c r="I29" s="282" t="str">
        <f>IFERROR(IF(VLOOKUP(F29,Lookup14,3,FALSE)="","",VLOOKUP(F29,Lookup14,3,FALSE)),"")</f>
        <v/>
      </c>
      <c r="J29" s="283" t="str">
        <f>IFERROR(IF(VLOOKUP(F30,Lookup14,3,FALSE)="","",VLOOKUP(F30,Lookup14,3,FALSE)),"")</f>
        <v/>
      </c>
      <c r="K29" s="286"/>
      <c r="L29" s="278"/>
      <c r="M29" s="279"/>
      <c r="N29" s="279"/>
      <c r="O29" s="280"/>
      <c r="P29" s="280"/>
      <c r="Q29" s="278"/>
      <c r="R29" s="278"/>
      <c r="S29" s="279"/>
      <c r="T29" s="279"/>
      <c r="U29" s="279"/>
      <c r="V29" s="279"/>
      <c r="W29" s="279"/>
      <c r="X29" s="279"/>
      <c r="Y29" s="279"/>
      <c r="Z29" s="279"/>
      <c r="AA29" s="279"/>
      <c r="AB29" s="279"/>
      <c r="AC29" s="279"/>
      <c r="AD29" s="279"/>
      <c r="AE29" s="279"/>
      <c r="AF29" s="279"/>
      <c r="AG29" s="279"/>
      <c r="AH29" s="279"/>
      <c r="AI29" s="279"/>
    </row>
    <row r="30" spans="1:35" x14ac:dyDescent="0.25">
      <c r="A30" s="275" t="str">
        <f>A29&amp;"E"</f>
        <v>78E</v>
      </c>
      <c r="B30" s="281" t="str">
        <f>IFERROR(VLOOKUP(A29,Lookup14,2,FALSE),"")</f>
        <v>Second in Group E</v>
      </c>
      <c r="C30" s="282" t="str">
        <f>IFERROR(IF(VLOOKUP(A29,Lookup14,3,FALSE)="","",VLOOKUP(A29,Lookup14,3,FALSE)),"")</f>
        <v/>
      </c>
      <c r="D30" s="282" t="str">
        <f>IFERROR(IF(VLOOKUP(A30,Lookup14,3,FALSE)="","",VLOOKUP(A30,Lookup14,3,FALSE)),"")</f>
        <v/>
      </c>
      <c r="E30" s="283" t="str">
        <f>IFERROR(IF(VLOOKUP(A31,Lookup14,3,FALSE)="","",VLOOKUP(A31,Lookup14,3,FALSE)),"")</f>
        <v/>
      </c>
      <c r="F30" s="275" t="str">
        <f>F28&amp;"P"</f>
        <v>91P</v>
      </c>
      <c r="G30" s="284" t="str">
        <f>IFERROR(VLOOKUP(F28,Lookup14,6,FALSE),"")</f>
        <v>Winner Match 78</v>
      </c>
      <c r="H30" s="282" t="str">
        <f>IFERROR(IF(VLOOKUP(F28,Lookup14,5,FALSE)="","",VLOOKUP(F28,Lookup14,5,FALSE)),"")</f>
        <v/>
      </c>
      <c r="I30" s="282" t="str">
        <f>IFERROR(IF(VLOOKUP(F29,Lookup14,5,FALSE)="","",VLOOKUP(F29,Lookup14,5,FALSE)),"")</f>
        <v/>
      </c>
      <c r="J30" s="283" t="str">
        <f>IFERROR(IF(VLOOKUP(F30,Lookup14,5,FALSE)="","",VLOOKUP(F30,Lookup14,5,FALSE)),"")</f>
        <v/>
      </c>
      <c r="K30" s="286"/>
      <c r="L30" s="278"/>
      <c r="M30" s="279"/>
      <c r="N30" s="279"/>
      <c r="O30" s="280"/>
      <c r="P30" s="280"/>
      <c r="Q30" s="278"/>
      <c r="R30" s="278"/>
      <c r="S30" s="279"/>
      <c r="T30" s="279"/>
      <c r="U30" s="279"/>
      <c r="V30" s="279"/>
      <c r="W30" s="279"/>
      <c r="X30" s="279"/>
      <c r="Y30" s="279"/>
      <c r="Z30" s="279"/>
      <c r="AA30" s="279"/>
      <c r="AB30" s="279"/>
      <c r="AC30" s="279"/>
      <c r="AD30" s="279"/>
      <c r="AE30" s="279"/>
      <c r="AF30" s="279"/>
      <c r="AG30" s="279"/>
      <c r="AH30" s="279"/>
      <c r="AI30" s="279"/>
    </row>
    <row r="31" spans="1:35" x14ac:dyDescent="0.25">
      <c r="A31" s="275" t="str">
        <f>A29&amp;"P"</f>
        <v>78P</v>
      </c>
      <c r="B31" s="284" t="str">
        <f>IFERROR(VLOOKUP(A29,Lookup14,6,FALSE),"")</f>
        <v>Second in Group I</v>
      </c>
      <c r="C31" s="282" t="str">
        <f>IFERROR(IF(VLOOKUP(A29,Lookup14,5,FALSE)="","",VLOOKUP(A29,Lookup14,5,FALSE)),"")</f>
        <v/>
      </c>
      <c r="D31" s="282" t="str">
        <f>IFERROR(IF(VLOOKUP(A30,Lookup14,5,FALSE)="","",VLOOKUP(A30,Lookup14,5,FALSE)),"")</f>
        <v/>
      </c>
      <c r="E31" s="283" t="str">
        <f>IFERROR(IF(VLOOKUP(A31,Lookup14,5,FALSE)="","",VLOOKUP(A31,Lookup14,5,FALSE)),"")</f>
        <v/>
      </c>
      <c r="F31" s="275"/>
      <c r="G31" s="276"/>
      <c r="H31" s="277"/>
      <c r="I31" s="277"/>
      <c r="J31" s="277"/>
      <c r="K31" s="290" t="s">
        <v>1264</v>
      </c>
      <c r="L31" s="291" t="str">
        <f>IFERROR(VLOOKUP(K31,Lookup14,7,FALSE),"")</f>
        <v>Miami Stadium</v>
      </c>
      <c r="M31" s="273" t="s">
        <v>1267</v>
      </c>
      <c r="N31" s="273" t="s">
        <v>1268</v>
      </c>
      <c r="O31" s="274" t="s">
        <v>342</v>
      </c>
      <c r="P31" s="288"/>
      <c r="Q31" s="278"/>
      <c r="R31" s="278"/>
      <c r="S31" s="279"/>
      <c r="T31" s="279"/>
      <c r="U31" s="279"/>
      <c r="V31" s="279"/>
      <c r="W31" s="279"/>
      <c r="X31" s="279"/>
      <c r="Y31" s="279"/>
      <c r="Z31" s="279"/>
      <c r="AA31" s="279"/>
      <c r="AB31" s="279"/>
      <c r="AC31" s="279"/>
      <c r="AD31" s="279"/>
      <c r="AE31" s="279"/>
      <c r="AF31" s="279"/>
      <c r="AG31" s="279"/>
      <c r="AH31" s="279"/>
      <c r="AI31" s="279"/>
    </row>
    <row r="32" spans="1:35" x14ac:dyDescent="0.25">
      <c r="A32" s="290" t="s">
        <v>1235</v>
      </c>
      <c r="B32" s="291" t="str">
        <f>IFERROR(VLOOKUP(A32,Lookup14,7,FALSE),"")</f>
        <v>Mexico City Stadium</v>
      </c>
      <c r="C32" s="273" t="s">
        <v>1267</v>
      </c>
      <c r="D32" s="273" t="s">
        <v>1268</v>
      </c>
      <c r="E32" s="274" t="s">
        <v>342</v>
      </c>
      <c r="F32" s="275"/>
      <c r="G32" s="276"/>
      <c r="H32" s="277"/>
      <c r="I32" s="277"/>
      <c r="J32" s="277"/>
      <c r="K32" s="275" t="str">
        <f>K31&amp;"E"</f>
        <v>99E</v>
      </c>
      <c r="L32" s="281" t="str">
        <f>IFERROR(VLOOKUP(K31,Lookup14,2,FALSE),"")</f>
        <v>Winner Match 91</v>
      </c>
      <c r="M32" s="282" t="str">
        <f>IFERROR(IF(VLOOKUP(K31,Lookup14,3,FALSE)="","",VLOOKUP(K31,Lookup14,3,FALSE)),"")</f>
        <v/>
      </c>
      <c r="N32" s="282" t="str">
        <f>IFERROR(IF(VLOOKUP(K32,Lookup14,3,FALSE)="","",VLOOKUP(K32,Lookup14,3,FALSE)),"")</f>
        <v/>
      </c>
      <c r="O32" s="283" t="str">
        <f>IFERROR(IF(VLOOKUP(K33,Lookup14,3,FALSE)="","",VLOOKUP(K33,Lookup14,3,FALSE)),"")</f>
        <v/>
      </c>
      <c r="P32" s="289"/>
      <c r="Q32" s="278"/>
      <c r="R32" s="278"/>
      <c r="S32" s="279"/>
      <c r="T32" s="279"/>
      <c r="U32" s="279"/>
      <c r="V32" s="279"/>
      <c r="W32" s="279"/>
      <c r="X32" s="279"/>
      <c r="Y32" s="279"/>
      <c r="Z32" s="279"/>
      <c r="AA32" s="279"/>
      <c r="AB32" s="279"/>
      <c r="AC32" s="279"/>
      <c r="AD32" s="279"/>
      <c r="AE32" s="279"/>
      <c r="AF32" s="279"/>
      <c r="AG32" s="279"/>
      <c r="AH32" s="279"/>
      <c r="AI32" s="279"/>
    </row>
    <row r="33" spans="1:35" x14ac:dyDescent="0.25">
      <c r="A33" s="275" t="str">
        <f>A32&amp;"E"</f>
        <v>79E</v>
      </c>
      <c r="B33" s="281" t="str">
        <f>IFERROR(VLOOKUP(A32,Lookup14,2,FALSE),"")</f>
        <v>Winner Group A</v>
      </c>
      <c r="C33" s="282" t="str">
        <f>IFERROR(IF(VLOOKUP(A32,Lookup14,3,FALSE)="","",VLOOKUP(A32,Lookup14,3,FALSE)),"")</f>
        <v/>
      </c>
      <c r="D33" s="282" t="str">
        <f>IFERROR(IF(VLOOKUP(A33,Lookup14,3,FALSE)="","",VLOOKUP(A33,Lookup14,3,FALSE)),"")</f>
        <v/>
      </c>
      <c r="E33" s="283" t="str">
        <f>IFERROR(IF(VLOOKUP(A34,Lookup14,3,FALSE)="","",VLOOKUP(A34,Lookup14,3,FALSE)),"")</f>
        <v/>
      </c>
      <c r="F33" s="275"/>
      <c r="G33" s="276"/>
      <c r="H33" s="277"/>
      <c r="I33" s="277"/>
      <c r="J33" s="277"/>
      <c r="K33" s="275" t="str">
        <f>K31&amp;"P"</f>
        <v>99P</v>
      </c>
      <c r="L33" s="284" t="str">
        <f>IFERROR(VLOOKUP(K31,Lookup14,6,FALSE),"")</f>
        <v>Winner Match 92</v>
      </c>
      <c r="M33" s="282" t="str">
        <f>IFERROR(IF(VLOOKUP(K31,Lookup14,5,FALSE)="","",VLOOKUP(K31,Lookup14,5,FALSE)),"")</f>
        <v/>
      </c>
      <c r="N33" s="282" t="str">
        <f>IFERROR(IF(VLOOKUP(K32,Lookup14,5,FALSE)="","",VLOOKUP(K32,Lookup14,5,FALSE)),"")</f>
        <v/>
      </c>
      <c r="O33" s="283" t="str">
        <f>IFERROR(IF(VLOOKUP(K33,Lookup14,5,FALSE)="","",VLOOKUP(K33,Lookup14,5,FALSE)),"")</f>
        <v/>
      </c>
      <c r="P33" s="289"/>
      <c r="Q33" s="278"/>
      <c r="R33" s="278"/>
      <c r="S33" s="279"/>
      <c r="T33" s="279"/>
      <c r="U33" s="279"/>
      <c r="V33" s="279"/>
      <c r="W33" s="279"/>
      <c r="X33" s="279"/>
      <c r="Y33" s="279"/>
      <c r="Z33" s="279"/>
      <c r="AA33" s="279"/>
      <c r="AB33" s="279"/>
      <c r="AC33" s="279"/>
      <c r="AD33" s="279"/>
      <c r="AE33" s="279"/>
      <c r="AF33" s="279"/>
      <c r="AG33" s="279"/>
      <c r="AH33" s="279"/>
      <c r="AI33" s="279"/>
    </row>
    <row r="34" spans="1:35" x14ac:dyDescent="0.25">
      <c r="A34" s="275" t="str">
        <f>A32&amp;"P"</f>
        <v>79P</v>
      </c>
      <c r="B34" s="284" t="str">
        <f>IFERROR(VLOOKUP(A32,Lookup14,6,FALSE),"")</f>
        <v>Third Place CEFHI</v>
      </c>
      <c r="C34" s="282" t="str">
        <f>IFERROR(IF(VLOOKUP(A32,Lookup14,5,FALSE)="","",VLOOKUP(A32,Lookup14,5,FALSE)),"")</f>
        <v/>
      </c>
      <c r="D34" s="282" t="str">
        <f>IFERROR(IF(VLOOKUP(A33,Lookup14,5,FALSE)="","",VLOOKUP(A33,Lookup14,5,FALSE)),"")</f>
        <v/>
      </c>
      <c r="E34" s="283" t="str">
        <f>IFERROR(IF(VLOOKUP(A34,Lookup14,5,FALSE)="","",VLOOKUP(A34,Lookup14,5,FALSE)),"")</f>
        <v/>
      </c>
      <c r="F34" s="290" t="s">
        <v>1252</v>
      </c>
      <c r="G34" s="291" t="str">
        <f>IFERROR(VLOOKUP(F34,Lookup14,7,FALSE),"")</f>
        <v>Mexico City Stadium</v>
      </c>
      <c r="H34" s="273" t="s">
        <v>1267</v>
      </c>
      <c r="I34" s="273" t="s">
        <v>1268</v>
      </c>
      <c r="J34" s="274" t="s">
        <v>342</v>
      </c>
      <c r="K34" s="285"/>
      <c r="L34" s="278"/>
      <c r="M34" s="279"/>
      <c r="N34" s="279"/>
      <c r="O34" s="280"/>
      <c r="P34" s="280"/>
      <c r="Q34" s="278"/>
      <c r="R34" s="278"/>
      <c r="S34" s="279"/>
      <c r="T34" s="279"/>
      <c r="U34" s="279"/>
      <c r="V34" s="279"/>
      <c r="W34" s="279"/>
      <c r="X34" s="279"/>
      <c r="Y34" s="279"/>
      <c r="Z34" s="279"/>
      <c r="AA34" s="279"/>
      <c r="AB34" s="279"/>
      <c r="AC34" s="279"/>
      <c r="AD34" s="279"/>
      <c r="AE34" s="279"/>
      <c r="AF34" s="279"/>
      <c r="AG34" s="279"/>
      <c r="AH34" s="279"/>
      <c r="AI34" s="279"/>
    </row>
    <row r="35" spans="1:35" x14ac:dyDescent="0.25">
      <c r="A35" s="290" t="s">
        <v>1236</v>
      </c>
      <c r="B35" s="291" t="str">
        <f>IFERROR(VLOOKUP(A35,Lookup14,7,FALSE),"")</f>
        <v>Atlanta Stadium</v>
      </c>
      <c r="C35" s="273" t="s">
        <v>1267</v>
      </c>
      <c r="D35" s="273" t="s">
        <v>1268</v>
      </c>
      <c r="E35" s="274" t="s">
        <v>342</v>
      </c>
      <c r="F35" s="275" t="str">
        <f>F34&amp;"E"</f>
        <v>92E</v>
      </c>
      <c r="G35" s="281" t="str">
        <f>IFERROR(VLOOKUP(F34,Lookup14,2,FALSE),"")</f>
        <v>Winner Match 79</v>
      </c>
      <c r="H35" s="282" t="str">
        <f>IFERROR(IF(VLOOKUP(F34,Lookup14,3,FALSE)="","",VLOOKUP(F34,Lookup14,3,FALSE)),"")</f>
        <v/>
      </c>
      <c r="I35" s="282" t="str">
        <f>IFERROR(IF(VLOOKUP(F35,Lookup14,3,FALSE)="","",VLOOKUP(F35,Lookup14,3,FALSE)),"")</f>
        <v/>
      </c>
      <c r="J35" s="283" t="str">
        <f>IFERROR(IF(VLOOKUP(F36,Lookup14,3,FALSE)="","",VLOOKUP(F36,Lookup14,3,FALSE)),"")</f>
        <v/>
      </c>
      <c r="K35" s="286"/>
      <c r="L35" s="278"/>
      <c r="M35" s="279"/>
      <c r="N35" s="279"/>
      <c r="O35" s="280"/>
      <c r="P35" s="280"/>
      <c r="Q35" s="278"/>
      <c r="R35" s="278"/>
      <c r="S35" s="279"/>
      <c r="T35" s="279"/>
      <c r="U35" s="279"/>
      <c r="V35" s="279"/>
      <c r="W35" s="279"/>
      <c r="X35" s="279"/>
      <c r="Y35" s="279"/>
      <c r="Z35" s="279"/>
      <c r="AA35" s="279"/>
      <c r="AB35" s="279"/>
      <c r="AC35" s="279"/>
      <c r="AD35" s="279"/>
      <c r="AE35" s="279"/>
      <c r="AF35" s="279"/>
      <c r="AG35" s="279"/>
      <c r="AH35" s="279"/>
      <c r="AI35" s="279"/>
    </row>
    <row r="36" spans="1:35" x14ac:dyDescent="0.25">
      <c r="A36" s="275" t="str">
        <f>A35&amp;"E"</f>
        <v>80E</v>
      </c>
      <c r="B36" s="281" t="str">
        <f>IFERROR(VLOOKUP(A35,Lookup14,2,FALSE),"")</f>
        <v>Winner Group L</v>
      </c>
      <c r="C36" s="282" t="str">
        <f>IFERROR(IF(VLOOKUP(A35,Lookup14,3,FALSE)="","",VLOOKUP(A35,Lookup14,3,FALSE)),"")</f>
        <v/>
      </c>
      <c r="D36" s="282" t="str">
        <f>IFERROR(IF(VLOOKUP(A36,Lookup14,3,FALSE)="","",VLOOKUP(A36,Lookup14,3,FALSE)),"")</f>
        <v/>
      </c>
      <c r="E36" s="283" t="str">
        <f>IFERROR(IF(VLOOKUP(A37,Lookup14,3,FALSE)="","",VLOOKUP(A37,Lookup14,3,FALSE)),"")</f>
        <v/>
      </c>
      <c r="F36" s="275" t="str">
        <f>F34&amp;"P"</f>
        <v>92P</v>
      </c>
      <c r="G36" s="284" t="str">
        <f>IFERROR(VLOOKUP(F34,Lookup14,6,FALSE),"")</f>
        <v>Winner Match 80</v>
      </c>
      <c r="H36" s="282" t="str">
        <f>IFERROR(IF(VLOOKUP(F34,Lookup14,5,FALSE)="","",VLOOKUP(F34,Lookup14,5,FALSE)),"")</f>
        <v/>
      </c>
      <c r="I36" s="282" t="str">
        <f>IFERROR(IF(VLOOKUP(F35,Lookup14,5,FALSE)="","",VLOOKUP(F35,Lookup14,5,FALSE)),"")</f>
        <v/>
      </c>
      <c r="J36" s="283" t="str">
        <f>IFERROR(IF(VLOOKUP(F36,Lookup14,5,FALSE)="","",VLOOKUP(F36,Lookup14,5,FALSE)),"")</f>
        <v/>
      </c>
      <c r="K36" s="286"/>
      <c r="L36" s="278"/>
      <c r="M36" s="279"/>
      <c r="N36" s="279"/>
      <c r="O36" s="280"/>
      <c r="P36" s="280"/>
      <c r="Q36" s="278"/>
      <c r="R36" s="278"/>
      <c r="S36" s="279"/>
      <c r="T36" s="279"/>
      <c r="U36" s="279"/>
      <c r="V36" s="279"/>
      <c r="W36" s="279"/>
      <c r="X36" s="279"/>
      <c r="Y36" s="279"/>
      <c r="Z36" s="279"/>
      <c r="AA36" s="279"/>
      <c r="AB36" s="279"/>
      <c r="AC36" s="279"/>
      <c r="AD36" s="279"/>
      <c r="AE36" s="279"/>
      <c r="AF36" s="279"/>
      <c r="AG36" s="279"/>
      <c r="AH36" s="279"/>
      <c r="AI36" s="279"/>
    </row>
    <row r="37" spans="1:35" ht="15.75" customHeight="1" x14ac:dyDescent="0.25">
      <c r="A37" s="275" t="str">
        <f>A35&amp;"P"</f>
        <v>80P</v>
      </c>
      <c r="B37" s="284" t="str">
        <f>IFERROR(VLOOKUP(A35,Lookup14,6,FALSE),"")</f>
        <v>Third Place EHIJK</v>
      </c>
      <c r="C37" s="282" t="str">
        <f>IFERROR(IF(VLOOKUP(A35,Lookup14,5,FALSE)="","",VLOOKUP(A35,Lookup14,5,FALSE)),"")</f>
        <v/>
      </c>
      <c r="D37" s="282" t="str">
        <f>IFERROR(IF(VLOOKUP(A36,Lookup14,5,FALSE)="","",VLOOKUP(A36,Lookup14,5,FALSE)),"")</f>
        <v/>
      </c>
      <c r="E37" s="283" t="str">
        <f>IFERROR(IF(VLOOKUP(A37,Lookup14,5,FALSE)="","",VLOOKUP(A37,Lookup14,5,FALSE)),"")</f>
        <v/>
      </c>
      <c r="F37" s="275"/>
      <c r="G37" s="276"/>
      <c r="H37" s="277"/>
      <c r="I37" s="277"/>
      <c r="J37" s="277"/>
      <c r="K37" s="287"/>
      <c r="L37" s="278"/>
      <c r="M37" s="279"/>
      <c r="N37" s="279"/>
      <c r="O37" s="280"/>
      <c r="P37" s="290" t="s">
        <v>1258</v>
      </c>
      <c r="Q37" s="291" t="str">
        <f>IFERROR(VLOOKUP(P37,Lookup14,7,FALSE),"")</f>
        <v>Atlanta Stadium</v>
      </c>
      <c r="R37" s="273" t="s">
        <v>1267</v>
      </c>
      <c r="S37" s="273" t="s">
        <v>1268</v>
      </c>
      <c r="T37" s="274" t="s">
        <v>342</v>
      </c>
      <c r="U37" s="274"/>
      <c r="V37" s="279"/>
      <c r="W37" s="279"/>
      <c r="X37" s="279"/>
      <c r="Y37" s="279"/>
      <c r="Z37" s="279"/>
      <c r="AA37" s="279"/>
      <c r="AB37" s="279"/>
      <c r="AC37" s="279"/>
      <c r="AD37" s="279"/>
      <c r="AE37" s="279"/>
      <c r="AF37" s="279"/>
      <c r="AG37" s="279"/>
      <c r="AH37" s="279"/>
      <c r="AI37" s="279"/>
    </row>
    <row r="38" spans="1:35" ht="15" customHeight="1" x14ac:dyDescent="0.25">
      <c r="A38" s="290" t="s">
        <v>1243</v>
      </c>
      <c r="B38" s="291" t="str">
        <f>IFERROR(VLOOKUP(A38,Lookup14,7,FALSE),"")</f>
        <v>Miami Stadium</v>
      </c>
      <c r="C38" s="273" t="s">
        <v>1267</v>
      </c>
      <c r="D38" s="273" t="s">
        <v>1268</v>
      </c>
      <c r="E38" s="274" t="s">
        <v>342</v>
      </c>
      <c r="F38" s="275"/>
      <c r="G38" s="276"/>
      <c r="H38" s="277"/>
      <c r="I38" s="277"/>
      <c r="J38" s="277"/>
      <c r="K38" s="287"/>
      <c r="L38" s="278"/>
      <c r="M38" s="279"/>
      <c r="N38" s="279"/>
      <c r="O38" s="280"/>
      <c r="P38" s="275" t="str">
        <f>P37&amp;"E"</f>
        <v>102E</v>
      </c>
      <c r="Q38" s="281" t="str">
        <f>IFERROR(VLOOKUP(P37,Lookup14,2,FALSE),"")</f>
        <v>Winner Match 99</v>
      </c>
      <c r="R38" s="282" t="str">
        <f>IFERROR(IF(VLOOKUP(P37,Lookup14,3,FALSE)="","",VLOOKUP(P37,Lookup14,3,FALSE)),"")</f>
        <v/>
      </c>
      <c r="S38" s="282" t="str">
        <f>IFERROR(IF(VLOOKUP(P38,Lookup14,3,FALSE)="","",VLOOKUP(P38,Lookup14,3,FALSE)),"")</f>
        <v/>
      </c>
      <c r="T38" s="283" t="str">
        <f>IFERROR(IF(VLOOKUP(P39,Lookup14,3,FALSE)="","",VLOOKUP(P39,Lookup14,3,FALSE)),"")</f>
        <v/>
      </c>
      <c r="U38" s="283"/>
      <c r="V38" s="279"/>
      <c r="W38" s="279"/>
      <c r="X38" s="279"/>
      <c r="Y38" s="279"/>
      <c r="Z38" s="279"/>
      <c r="AA38" s="279"/>
      <c r="AB38" s="279"/>
      <c r="AC38" s="279"/>
      <c r="AD38" s="279"/>
      <c r="AE38" s="279"/>
      <c r="AF38" s="279"/>
      <c r="AG38" s="279"/>
      <c r="AH38" s="279"/>
      <c r="AI38" s="279"/>
    </row>
    <row r="39" spans="1:35" ht="15.75" customHeight="1" x14ac:dyDescent="0.25">
      <c r="A39" s="275" t="str">
        <f>A38&amp;"E"</f>
        <v>86E</v>
      </c>
      <c r="B39" s="281" t="str">
        <f>IFERROR(VLOOKUP(A38,Lookup14,2,FALSE),"")</f>
        <v>Winner Group J</v>
      </c>
      <c r="C39" s="282" t="str">
        <f>IFERROR(IF(VLOOKUP(A38,Lookup14,3,FALSE)="","",VLOOKUP(A38,Lookup14,3,FALSE)),"")</f>
        <v/>
      </c>
      <c r="D39" s="282" t="str">
        <f>IFERROR(IF(VLOOKUP(A39,Lookup14,3,FALSE)="","",VLOOKUP(A39,Lookup14,3,FALSE)),"")</f>
        <v/>
      </c>
      <c r="E39" s="283" t="str">
        <f>IFERROR(IF(VLOOKUP(A40,Lookup14,3,FALSE)="","",VLOOKUP(A40,Lookup14,3,FALSE)),"")</f>
        <v/>
      </c>
      <c r="F39" s="275"/>
      <c r="G39" s="276"/>
      <c r="H39" s="277"/>
      <c r="I39" s="277"/>
      <c r="J39" s="277"/>
      <c r="K39" s="287"/>
      <c r="L39" s="278"/>
      <c r="M39" s="279"/>
      <c r="N39" s="279"/>
      <c r="O39" s="280"/>
      <c r="P39" s="275" t="str">
        <f>P37&amp;"P"</f>
        <v>102P</v>
      </c>
      <c r="Q39" s="284" t="str">
        <f>IFERROR(VLOOKUP(P37,Lookup14,6,FALSE),"")</f>
        <v>Winner Match 100</v>
      </c>
      <c r="R39" s="282" t="str">
        <f>IFERROR(IF(VLOOKUP(P37,Lookup14,5,FALSE)="","",VLOOKUP(P37,Lookup14,5,FALSE)),"")</f>
        <v/>
      </c>
      <c r="S39" s="282" t="str">
        <f>IFERROR(IF(VLOOKUP(P38,Lookup14,5,FALSE)="","",VLOOKUP(P38,Lookup14,5,FALSE)),"")</f>
        <v/>
      </c>
      <c r="T39" s="283" t="str">
        <f>IFERROR(IF(VLOOKUP(P39,Lookup14,5,FALSE)="","",VLOOKUP(P39,Lookup14,5,FALSE)),"")</f>
        <v/>
      </c>
      <c r="U39" s="283"/>
      <c r="V39" s="279"/>
      <c r="W39" s="279"/>
      <c r="X39" s="279"/>
      <c r="Y39" s="279"/>
      <c r="Z39" s="279"/>
      <c r="AA39" s="279"/>
      <c r="AB39" s="279"/>
      <c r="AC39" s="279"/>
      <c r="AD39" s="279"/>
      <c r="AE39" s="279"/>
      <c r="AF39" s="279"/>
      <c r="AG39" s="279"/>
      <c r="AH39" s="279"/>
      <c r="AI39" s="279"/>
    </row>
    <row r="40" spans="1:35" x14ac:dyDescent="0.25">
      <c r="A40" s="275" t="str">
        <f>A38&amp;"P"</f>
        <v>86P</v>
      </c>
      <c r="B40" s="284" t="str">
        <f>IFERROR(VLOOKUP(A38,Lookup14,6,FALSE),"")</f>
        <v>Second in Group H</v>
      </c>
      <c r="C40" s="282" t="str">
        <f>IFERROR(IF(VLOOKUP(A38,Lookup14,5,FALSE)="","",VLOOKUP(A38,Lookup14,5,FALSE)),"")</f>
        <v/>
      </c>
      <c r="D40" s="282" t="str">
        <f>IFERROR(IF(VLOOKUP(A39,Lookup14,5,FALSE)="","",VLOOKUP(A39,Lookup14,5,FALSE)),"")</f>
        <v/>
      </c>
      <c r="E40" s="283" t="str">
        <f>IFERROR(IF(VLOOKUP(A40,Lookup14,5,FALSE)="","",VLOOKUP(A40,Lookup14,5,FALSE)),"")</f>
        <v/>
      </c>
      <c r="F40" s="290" t="s">
        <v>1255</v>
      </c>
      <c r="G40" s="291" t="str">
        <f>IFERROR(VLOOKUP(F40,Lookup14,7,FALSE),"")</f>
        <v>Atlanta Stadium</v>
      </c>
      <c r="H40" s="273" t="s">
        <v>1267</v>
      </c>
      <c r="I40" s="273" t="s">
        <v>1268</v>
      </c>
      <c r="J40" s="274" t="s">
        <v>342</v>
      </c>
      <c r="K40" s="285"/>
      <c r="L40" s="278"/>
      <c r="M40" s="279"/>
      <c r="N40" s="279"/>
      <c r="O40" s="280"/>
      <c r="P40" s="280"/>
      <c r="Q40" s="278"/>
      <c r="R40" s="278"/>
      <c r="S40" s="279"/>
      <c r="T40" s="279"/>
      <c r="U40" s="279"/>
      <c r="V40" s="279"/>
      <c r="W40" s="279"/>
      <c r="X40" s="279"/>
      <c r="Y40" s="279"/>
      <c r="Z40" s="279"/>
      <c r="AA40" s="279"/>
      <c r="AB40" s="279"/>
      <c r="AC40" s="279"/>
      <c r="AD40" s="279"/>
      <c r="AE40" s="279"/>
      <c r="AF40" s="279"/>
      <c r="AG40" s="279"/>
      <c r="AH40" s="279"/>
      <c r="AI40" s="279"/>
    </row>
    <row r="41" spans="1:35" x14ac:dyDescent="0.25">
      <c r="A41" s="290" t="s">
        <v>1242</v>
      </c>
      <c r="B41" s="291" t="str">
        <f>IFERROR(VLOOKUP(A41,Lookup14,7,FALSE),"")</f>
        <v>Dallas Stadium</v>
      </c>
      <c r="C41" s="273" t="s">
        <v>1267</v>
      </c>
      <c r="D41" s="273" t="s">
        <v>1268</v>
      </c>
      <c r="E41" s="274" t="s">
        <v>342</v>
      </c>
      <c r="F41" s="275" t="str">
        <f>F40&amp;"E"</f>
        <v>95E</v>
      </c>
      <c r="G41" s="281" t="str">
        <f>IFERROR(VLOOKUP(F40,Lookup14,2,FALSE),"")</f>
        <v>Winner Match 86</v>
      </c>
      <c r="H41" s="282" t="str">
        <f>IFERROR(IF(VLOOKUP(F40,Lookup14,3,FALSE)="","",VLOOKUP(F40,Lookup14,3,FALSE)),"")</f>
        <v/>
      </c>
      <c r="I41" s="282" t="str">
        <f>IFERROR(IF(VLOOKUP(F41,Lookup14,3,FALSE)="","",VLOOKUP(F41,Lookup14,3,FALSE)),"")</f>
        <v/>
      </c>
      <c r="J41" s="283" t="str">
        <f>IFERROR(IF(VLOOKUP(F42,Lookup14,3,FALSE)="","",VLOOKUP(F42,Lookup14,3,FALSE)),"")</f>
        <v/>
      </c>
      <c r="K41" s="286"/>
      <c r="L41" s="278"/>
      <c r="M41" s="279"/>
      <c r="N41" s="279"/>
      <c r="O41" s="280"/>
      <c r="P41" s="280"/>
      <c r="Q41" s="278"/>
      <c r="R41" s="278"/>
      <c r="S41" s="279"/>
      <c r="T41" s="279"/>
      <c r="U41" s="279"/>
      <c r="V41" s="279"/>
      <c r="W41" s="279"/>
      <c r="X41" s="279"/>
      <c r="Y41" s="279"/>
      <c r="Z41" s="279"/>
      <c r="AA41" s="279"/>
      <c r="AB41" s="279"/>
      <c r="AC41" s="279"/>
      <c r="AD41" s="279"/>
      <c r="AE41" s="279"/>
      <c r="AF41" s="279"/>
      <c r="AG41" s="279"/>
      <c r="AH41" s="279"/>
      <c r="AI41" s="279"/>
    </row>
    <row r="42" spans="1:35" x14ac:dyDescent="0.25">
      <c r="A42" s="275" t="str">
        <f>A41&amp;"E"</f>
        <v>88E</v>
      </c>
      <c r="B42" s="281" t="str">
        <f>IFERROR(VLOOKUP(A41,Lookup14,2,FALSE),"")</f>
        <v>Second in Group D</v>
      </c>
      <c r="C42" s="282" t="str">
        <f>IFERROR(IF(VLOOKUP(A41,Lookup14,3,FALSE)="","",VLOOKUP(A41,Lookup14,3,FALSE)),"")</f>
        <v/>
      </c>
      <c r="D42" s="282" t="str">
        <f>IFERROR(IF(VLOOKUP(A42,Lookup14,3,FALSE)="","",VLOOKUP(A42,Lookup14,3,FALSE)),"")</f>
        <v/>
      </c>
      <c r="E42" s="283" t="str">
        <f>IFERROR(IF(VLOOKUP(A43,Lookup14,3,FALSE)="","",VLOOKUP(A43,Lookup14,3,FALSE)),"")</f>
        <v/>
      </c>
      <c r="F42" s="275" t="str">
        <f>F40&amp;"P"</f>
        <v>95P</v>
      </c>
      <c r="G42" s="284" t="str">
        <f>IFERROR(VLOOKUP(F40,Lookup14,6,FALSE),"")</f>
        <v>Winner Match 88</v>
      </c>
      <c r="H42" s="282" t="str">
        <f>IFERROR(IF(VLOOKUP(F40,Lookup14,5,FALSE)="","",VLOOKUP(F40,Lookup14,5,FALSE)),"")</f>
        <v/>
      </c>
      <c r="I42" s="282" t="str">
        <f>IFERROR(IF(VLOOKUP(F41,Lookup14,5,FALSE)="","",VLOOKUP(F41,Lookup14,5,FALSE)),"")</f>
        <v/>
      </c>
      <c r="J42" s="283" t="str">
        <f>IFERROR(IF(VLOOKUP(F42,Lookup14,5,FALSE)="","",VLOOKUP(F42,Lookup14,5,FALSE)),"")</f>
        <v/>
      </c>
      <c r="K42" s="286"/>
      <c r="L42" s="278"/>
      <c r="M42" s="279"/>
      <c r="N42" s="279"/>
      <c r="O42" s="280"/>
      <c r="P42" s="280"/>
      <c r="Q42" s="278"/>
      <c r="R42" s="278"/>
      <c r="S42" s="279"/>
      <c r="T42" s="279"/>
      <c r="U42" s="279"/>
      <c r="V42" s="279"/>
      <c r="W42" s="279"/>
      <c r="X42" s="279"/>
      <c r="Y42" s="279"/>
      <c r="Z42" s="279"/>
      <c r="AA42" s="279"/>
      <c r="AB42" s="279"/>
      <c r="AC42" s="279"/>
      <c r="AD42" s="279"/>
      <c r="AE42" s="279"/>
      <c r="AF42" s="279"/>
      <c r="AG42" s="279"/>
      <c r="AH42" s="279"/>
      <c r="AI42" s="279"/>
    </row>
    <row r="43" spans="1:35" x14ac:dyDescent="0.25">
      <c r="A43" s="275" t="str">
        <f>A41&amp;"P"</f>
        <v>88P</v>
      </c>
      <c r="B43" s="284" t="str">
        <f>IFERROR(VLOOKUP(A41,Lookup14,6,FALSE),"")</f>
        <v>Second in Group G</v>
      </c>
      <c r="C43" s="282" t="str">
        <f>IFERROR(IF(VLOOKUP(A41,Lookup14,5,FALSE)="","",VLOOKUP(A41,Lookup14,5,FALSE)),"")</f>
        <v/>
      </c>
      <c r="D43" s="282" t="str">
        <f>IFERROR(IF(VLOOKUP(A42,Lookup14,5,FALSE)="","",VLOOKUP(A42,Lookup14,5,FALSE)),"")</f>
        <v/>
      </c>
      <c r="E43" s="283" t="str">
        <f>IFERROR(IF(VLOOKUP(A43,Lookup14,5,FALSE)="","",VLOOKUP(A43,Lookup14,5,FALSE)),"")</f>
        <v/>
      </c>
      <c r="F43" s="275"/>
      <c r="G43" s="276"/>
      <c r="H43" s="277"/>
      <c r="I43" s="277"/>
      <c r="J43" s="277"/>
      <c r="K43" s="290" t="s">
        <v>1265</v>
      </c>
      <c r="L43" s="291" t="str">
        <f>IFERROR(VLOOKUP(K43,Lookup14,7,FALSE),"")</f>
        <v>Kansas City Stadium</v>
      </c>
      <c r="M43" s="273" t="s">
        <v>1267</v>
      </c>
      <c r="N43" s="273" t="s">
        <v>1268</v>
      </c>
      <c r="O43" s="274" t="s">
        <v>342</v>
      </c>
      <c r="P43" s="288"/>
      <c r="Q43" s="278"/>
      <c r="R43" s="278"/>
      <c r="S43" s="279"/>
      <c r="T43" s="279"/>
      <c r="U43" s="279"/>
      <c r="V43" s="279"/>
      <c r="W43" s="279"/>
      <c r="X43" s="279"/>
      <c r="Y43" s="279"/>
      <c r="Z43" s="279"/>
      <c r="AA43" s="279"/>
      <c r="AB43" s="279"/>
      <c r="AC43" s="279"/>
      <c r="AD43" s="279"/>
      <c r="AE43" s="279"/>
      <c r="AF43" s="279"/>
      <c r="AG43" s="279"/>
      <c r="AH43" s="279"/>
      <c r="AI43" s="279"/>
    </row>
    <row r="44" spans="1:35" x14ac:dyDescent="0.25">
      <c r="A44" s="290" t="s">
        <v>1241</v>
      </c>
      <c r="B44" s="291" t="str">
        <f>IFERROR(VLOOKUP(A44,Lookup14,7,FALSE),"")</f>
        <v>BC Place Vancouver</v>
      </c>
      <c r="C44" s="273" t="s">
        <v>1267</v>
      </c>
      <c r="D44" s="273" t="s">
        <v>1268</v>
      </c>
      <c r="E44" s="274" t="s">
        <v>342</v>
      </c>
      <c r="F44" s="275"/>
      <c r="G44" s="276"/>
      <c r="H44" s="277"/>
      <c r="I44" s="277"/>
      <c r="J44" s="277"/>
      <c r="K44" s="275" t="str">
        <f>K43&amp;"E"</f>
        <v>100E</v>
      </c>
      <c r="L44" s="281" t="str">
        <f>IFERROR(VLOOKUP(K43,Lookup14,2,FALSE),"")</f>
        <v>Winner Match 95</v>
      </c>
      <c r="M44" s="282" t="str">
        <f>IFERROR(IF(VLOOKUP(K43,Lookup14,3,FALSE)="","",VLOOKUP(K43,Lookup14,3,FALSE)),"")</f>
        <v/>
      </c>
      <c r="N44" s="282" t="str">
        <f>IFERROR(IF(VLOOKUP(K44,Lookup14,3,FALSE)="","",VLOOKUP(K44,Lookup14,3,FALSE)),"")</f>
        <v/>
      </c>
      <c r="O44" s="283" t="str">
        <f>IFERROR(IF(VLOOKUP(K45,Lookup14,3,FALSE)="","",VLOOKUP(K45,Lookup14,3,FALSE)),"")</f>
        <v/>
      </c>
      <c r="P44" s="289"/>
      <c r="Q44" s="278"/>
      <c r="R44" s="278"/>
      <c r="S44" s="279"/>
      <c r="T44" s="279"/>
      <c r="U44" s="279"/>
      <c r="V44" s="279"/>
      <c r="W44" s="279"/>
      <c r="X44" s="279"/>
      <c r="Y44" s="279"/>
      <c r="Z44" s="279"/>
      <c r="AA44" s="279"/>
      <c r="AB44" s="279"/>
      <c r="AC44" s="279"/>
      <c r="AD44" s="279"/>
      <c r="AE44" s="279"/>
      <c r="AF44" s="279"/>
      <c r="AG44" s="279"/>
      <c r="AH44" s="279"/>
      <c r="AI44" s="279"/>
    </row>
    <row r="45" spans="1:35" x14ac:dyDescent="0.25">
      <c r="A45" s="275" t="str">
        <f>A44&amp;"E"</f>
        <v>85E</v>
      </c>
      <c r="B45" s="281" t="str">
        <f>IFERROR(VLOOKUP(A44,Lookup14,2,FALSE),"")</f>
        <v>Winner Group B</v>
      </c>
      <c r="C45" s="282" t="str">
        <f>IFERROR(IF(VLOOKUP(A44,Lookup14,3,FALSE)="","",VLOOKUP(A44,Lookup14,3,FALSE)),"")</f>
        <v/>
      </c>
      <c r="D45" s="282" t="str">
        <f>IFERROR(IF(VLOOKUP(A45,Lookup14,3,FALSE)="","",VLOOKUP(A45,Lookup14,3,FALSE)),"")</f>
        <v/>
      </c>
      <c r="E45" s="283" t="str">
        <f>IFERROR(IF(VLOOKUP(A46,Lookup14,3,FALSE)="","",VLOOKUP(A46,Lookup14,3,FALSE)),"")</f>
        <v/>
      </c>
      <c r="F45" s="275"/>
      <c r="G45" s="276"/>
      <c r="H45" s="277"/>
      <c r="I45" s="277"/>
      <c r="J45" s="277"/>
      <c r="K45" s="275" t="str">
        <f>K43&amp;"P"</f>
        <v>100P</v>
      </c>
      <c r="L45" s="284" t="str">
        <f>IFERROR(VLOOKUP(K43,Lookup14,6,FALSE),"")</f>
        <v>Winner Match 96</v>
      </c>
      <c r="M45" s="282" t="str">
        <f>IFERROR(IF(VLOOKUP(K43,Lookup14,5,FALSE)="","",VLOOKUP(K43,Lookup14,5,FALSE)),"")</f>
        <v/>
      </c>
      <c r="N45" s="282" t="str">
        <f>IFERROR(IF(VLOOKUP(K44,Lookup14,5,FALSE)="","",VLOOKUP(K44,Lookup14,5,FALSE)),"")</f>
        <v/>
      </c>
      <c r="O45" s="283" t="str">
        <f>IFERROR(IF(VLOOKUP(K45,Lookup14,5,FALSE)="","",VLOOKUP(K45,Lookup14,5,FALSE)),"")</f>
        <v/>
      </c>
      <c r="P45" s="289"/>
      <c r="Q45" s="278"/>
      <c r="R45" s="278"/>
      <c r="S45" s="279"/>
      <c r="T45" s="279"/>
      <c r="U45" s="279"/>
      <c r="V45" s="279"/>
      <c r="W45" s="279"/>
      <c r="X45" s="279"/>
      <c r="Y45" s="279"/>
      <c r="Z45" s="279"/>
      <c r="AA45" s="279"/>
      <c r="AB45" s="279"/>
      <c r="AC45" s="279"/>
      <c r="AD45" s="279"/>
      <c r="AE45" s="279"/>
      <c r="AF45" s="279"/>
      <c r="AG45" s="279"/>
      <c r="AH45" s="279"/>
      <c r="AI45" s="279"/>
    </row>
    <row r="46" spans="1:35" x14ac:dyDescent="0.25">
      <c r="A46" s="275" t="str">
        <f>A44&amp;"P"</f>
        <v>85P</v>
      </c>
      <c r="B46" s="284" t="str">
        <f>IFERROR(VLOOKUP(A44,Lookup14,6,FALSE),"")</f>
        <v>Third Place EFGIJ</v>
      </c>
      <c r="C46" s="282" t="str">
        <f>IFERROR(IF(VLOOKUP(A44,Lookup14,5,FALSE)="","",VLOOKUP(A44,Lookup14,5,FALSE)),"")</f>
        <v/>
      </c>
      <c r="D46" s="282" t="str">
        <f>IFERROR(IF(VLOOKUP(A45,Lookup14,5,FALSE)="","",VLOOKUP(A45,Lookup14,5,FALSE)),"")</f>
        <v/>
      </c>
      <c r="E46" s="283" t="str">
        <f>IFERROR(IF(VLOOKUP(A46,Lookup14,5,FALSE)="","",VLOOKUP(A46,Lookup14,5,FALSE)),"")</f>
        <v/>
      </c>
      <c r="F46" s="290" t="s">
        <v>1256</v>
      </c>
      <c r="G46" s="291" t="str">
        <f>IFERROR(VLOOKUP(F46,Lookup14,7,FALSE),"")</f>
        <v>BC Place Vancouver</v>
      </c>
      <c r="H46" s="273" t="s">
        <v>1267</v>
      </c>
      <c r="I46" s="273" t="s">
        <v>1268</v>
      </c>
      <c r="J46" s="274" t="s">
        <v>342</v>
      </c>
      <c r="K46" s="285"/>
      <c r="L46" s="278"/>
      <c r="M46" s="279"/>
      <c r="N46" s="279"/>
      <c r="O46" s="280"/>
      <c r="P46" s="280"/>
      <c r="Q46" s="278"/>
      <c r="R46" s="278"/>
      <c r="S46" s="279"/>
      <c r="T46" s="279"/>
      <c r="U46" s="279"/>
      <c r="V46" s="279"/>
      <c r="W46" s="279"/>
      <c r="X46" s="279"/>
      <c r="Y46" s="279"/>
      <c r="Z46" s="279"/>
      <c r="AA46" s="279"/>
      <c r="AB46" s="279"/>
      <c r="AC46" s="279"/>
      <c r="AD46" s="279"/>
      <c r="AE46" s="279"/>
      <c r="AF46" s="279"/>
      <c r="AG46" s="279"/>
      <c r="AH46" s="279"/>
      <c r="AI46" s="279"/>
    </row>
    <row r="47" spans="1:35" x14ac:dyDescent="0.25">
      <c r="A47" s="290" t="s">
        <v>1244</v>
      </c>
      <c r="B47" s="291" t="str">
        <f>IFERROR(VLOOKUP(A47,Lookup14,7,FALSE),"")</f>
        <v>Kansas City Stadium</v>
      </c>
      <c r="C47" s="273" t="s">
        <v>1267</v>
      </c>
      <c r="D47" s="273" t="s">
        <v>1268</v>
      </c>
      <c r="E47" s="274" t="s">
        <v>342</v>
      </c>
      <c r="F47" s="275" t="str">
        <f>F46&amp;"E"</f>
        <v>96E</v>
      </c>
      <c r="G47" s="281" t="str">
        <f>IFERROR(VLOOKUP(F46,Lookup14,2,FALSE),"")</f>
        <v>Winner Match 85</v>
      </c>
      <c r="H47" s="282" t="str">
        <f>IFERROR(IF(VLOOKUP(F46,Lookup14,3,FALSE)="","",VLOOKUP(F46,Lookup14,3,FALSE)),"")</f>
        <v/>
      </c>
      <c r="I47" s="282" t="str">
        <f>IFERROR(IF(VLOOKUP(F47,Lookup14,3,FALSE)="","",VLOOKUP(F47,Lookup14,3,FALSE)),"")</f>
        <v/>
      </c>
      <c r="J47" s="283" t="str">
        <f>IFERROR(IF(VLOOKUP(F48,Lookup14,3,FALSE)="","",VLOOKUP(F48,Lookup14,3,FALSE)),"")</f>
        <v/>
      </c>
      <c r="K47" s="286"/>
      <c r="L47" s="278"/>
      <c r="M47" s="279"/>
      <c r="N47" s="279"/>
      <c r="O47" s="280"/>
      <c r="P47" s="280"/>
      <c r="Q47" s="278"/>
      <c r="R47" s="278"/>
      <c r="S47" s="279"/>
      <c r="T47" s="279"/>
      <c r="U47" s="279"/>
      <c r="V47" s="279"/>
      <c r="W47" s="279"/>
      <c r="X47" s="279"/>
      <c r="Y47" s="279"/>
      <c r="Z47" s="279"/>
      <c r="AA47" s="279"/>
      <c r="AB47" s="279"/>
      <c r="AC47" s="279"/>
      <c r="AD47" s="279"/>
      <c r="AE47" s="279"/>
      <c r="AF47" s="279"/>
      <c r="AG47" s="279"/>
      <c r="AH47" s="279"/>
      <c r="AI47" s="279"/>
    </row>
    <row r="48" spans="1:35" x14ac:dyDescent="0.25">
      <c r="A48" s="275" t="str">
        <f>A47&amp;"E"</f>
        <v>87E</v>
      </c>
      <c r="B48" s="281" t="str">
        <f>IFERROR(VLOOKUP(A47,Lookup14,2,FALSE),"")</f>
        <v>Winner Group K</v>
      </c>
      <c r="C48" s="282" t="str">
        <f>IFERROR(IF(VLOOKUP(A47,Lookup14,3,FALSE)="","",VLOOKUP(A47,Lookup14,3,FALSE)),"")</f>
        <v/>
      </c>
      <c r="D48" s="282" t="str">
        <f>IFERROR(IF(VLOOKUP(A48,Lookup14,3,FALSE)="","",VLOOKUP(A48,Lookup14,3,FALSE)),"")</f>
        <v/>
      </c>
      <c r="E48" s="283" t="str">
        <f>IFERROR(IF(VLOOKUP(A49,Lookup14,3,FALSE)="","",VLOOKUP(A49,Lookup14,3,FALSE)),"")</f>
        <v/>
      </c>
      <c r="F48" s="275" t="str">
        <f>F46&amp;"P"</f>
        <v>96P</v>
      </c>
      <c r="G48" s="284" t="str">
        <f>IFERROR(VLOOKUP(F46,Lookup14,6,FALSE),"")</f>
        <v>Winner Match 87</v>
      </c>
      <c r="H48" s="282" t="str">
        <f>IFERROR(IF(VLOOKUP(F46,Lookup14,5,FALSE)="","",VLOOKUP(F46,Lookup14,5,FALSE)),"")</f>
        <v/>
      </c>
      <c r="I48" s="282" t="str">
        <f>IFERROR(IF(VLOOKUP(F47,Lookup14,5,FALSE)="","",VLOOKUP(F47,Lookup14,5,FALSE)),"")</f>
        <v/>
      </c>
      <c r="J48" s="283" t="str">
        <f>IFERROR(IF(VLOOKUP(F48,Lookup14,5,FALSE)="","",VLOOKUP(F48,Lookup14,5,FALSE)),"")</f>
        <v/>
      </c>
      <c r="K48" s="286"/>
      <c r="L48" s="278"/>
      <c r="M48" s="279"/>
      <c r="N48" s="279"/>
      <c r="O48" s="280"/>
      <c r="P48" s="280"/>
      <c r="Q48" s="278"/>
      <c r="R48" s="278"/>
      <c r="S48" s="279"/>
      <c r="T48" s="279"/>
      <c r="U48" s="279"/>
      <c r="V48" s="279"/>
      <c r="W48" s="279"/>
      <c r="X48" s="279"/>
      <c r="Y48" s="279"/>
      <c r="Z48" s="279"/>
      <c r="AA48" s="279"/>
      <c r="AB48" s="279"/>
      <c r="AC48" s="279"/>
      <c r="AD48" s="279"/>
      <c r="AE48" s="279"/>
      <c r="AF48" s="279"/>
      <c r="AG48" s="279"/>
      <c r="AH48" s="279"/>
      <c r="AI48" s="279"/>
    </row>
    <row r="49" spans="1:35" x14ac:dyDescent="0.25">
      <c r="A49" s="275" t="str">
        <f>A47&amp;"P"</f>
        <v>87P</v>
      </c>
      <c r="B49" s="284" t="str">
        <f>IFERROR(VLOOKUP(A47,Lookup14,6,FALSE),"")</f>
        <v>Third Place DEIJL</v>
      </c>
      <c r="C49" s="282" t="str">
        <f>IFERROR(IF(VLOOKUP(A47,Lookup14,5,FALSE)="","",VLOOKUP(A47,Lookup14,5,FALSE)),"")</f>
        <v/>
      </c>
      <c r="D49" s="282" t="str">
        <f>IFERROR(IF(VLOOKUP(A48,Lookup14,5,FALSE)="","",VLOOKUP(A48,Lookup14,5,FALSE)),"")</f>
        <v/>
      </c>
      <c r="E49" s="283" t="str">
        <f>IFERROR(IF(VLOOKUP(A49,Lookup14,5,FALSE)="","",VLOOKUP(A49,Lookup14,5,FALSE)),"")</f>
        <v/>
      </c>
      <c r="F49" s="275"/>
      <c r="G49" s="276"/>
      <c r="H49" s="277"/>
      <c r="I49" s="277"/>
      <c r="J49" s="277"/>
      <c r="K49" s="277"/>
      <c r="L49" s="278"/>
      <c r="M49" s="279"/>
      <c r="N49" s="279"/>
      <c r="O49" s="280"/>
      <c r="P49" s="280"/>
      <c r="Q49" s="278"/>
      <c r="R49" s="278"/>
      <c r="S49" s="279"/>
      <c r="T49" s="279"/>
      <c r="U49" s="279"/>
      <c r="V49" s="279"/>
      <c r="W49" s="279"/>
      <c r="X49" s="279"/>
      <c r="Y49" s="279"/>
      <c r="Z49" s="279"/>
      <c r="AA49" s="279"/>
      <c r="AB49" s="279"/>
      <c r="AC49" s="279"/>
      <c r="AD49" s="279"/>
      <c r="AE49" s="279"/>
      <c r="AF49" s="279"/>
      <c r="AG49" s="279"/>
      <c r="AH49" s="279"/>
      <c r="AI49" s="279"/>
    </row>
  </sheetData>
  <sheetProtection sheet="1" objects="1" scenarios="1" selectLockedCells="1"/>
  <mergeCells count="7">
    <mergeCell ref="AC25:AI27"/>
    <mergeCell ref="B1:C1"/>
    <mergeCell ref="L1:O1"/>
    <mergeCell ref="Q1:U1"/>
    <mergeCell ref="AC1:AI1"/>
    <mergeCell ref="G1:H1"/>
    <mergeCell ref="W1:AA1"/>
  </mergeCells>
  <conditionalFormatting sqref="B1">
    <cfRule type="expression" dxfId="264" priority="577" stopIfTrue="1">
      <formula>$AF$5="Black and White"</formula>
    </cfRule>
  </conditionalFormatting>
  <conditionalFormatting sqref="C3:E4">
    <cfRule type="expression" dxfId="263" priority="244" stopIfTrue="1">
      <formula>$AF$5="Black and White"</formula>
    </cfRule>
    <cfRule type="expression" dxfId="262" priority="243" stopIfTrue="1">
      <formula>$AF$5="Black and White"</formula>
    </cfRule>
    <cfRule type="expression" dxfId="261" priority="242" stopIfTrue="1">
      <formula>$AF$5="Black and White"</formula>
    </cfRule>
    <cfRule type="expression" dxfId="260" priority="241" stopIfTrue="1">
      <formula>$AF$5="Black and White"</formula>
    </cfRule>
  </conditionalFormatting>
  <conditionalFormatting sqref="C6:E7">
    <cfRule type="expression" dxfId="259" priority="234" stopIfTrue="1">
      <formula>$AF$5="Black and White"</formula>
    </cfRule>
    <cfRule type="expression" dxfId="258" priority="236" stopIfTrue="1">
      <formula>$AF$5="Black and White"</formula>
    </cfRule>
    <cfRule type="expression" dxfId="257" priority="235" stopIfTrue="1">
      <formula>$AF$5="Black and White"</formula>
    </cfRule>
    <cfRule type="expression" dxfId="256" priority="233" stopIfTrue="1">
      <formula>$AF$5="Black and White"</formula>
    </cfRule>
  </conditionalFormatting>
  <conditionalFormatting sqref="C9:E10">
    <cfRule type="expression" dxfId="255" priority="226" stopIfTrue="1">
      <formula>$AF$5="Black and White"</formula>
    </cfRule>
    <cfRule type="expression" dxfId="254" priority="228" stopIfTrue="1">
      <formula>$AF$5="Black and White"</formula>
    </cfRule>
    <cfRule type="expression" dxfId="253" priority="227" stopIfTrue="1">
      <formula>$AF$5="Black and White"</formula>
    </cfRule>
    <cfRule type="expression" dxfId="252" priority="225" stopIfTrue="1">
      <formula>$AF$5="Black and White"</formula>
    </cfRule>
  </conditionalFormatting>
  <conditionalFormatting sqref="C12:E13">
    <cfRule type="expression" dxfId="251" priority="220" stopIfTrue="1">
      <formula>$AF$5="Black and White"</formula>
    </cfRule>
    <cfRule type="expression" dxfId="250" priority="219" stopIfTrue="1">
      <formula>$AF$5="Black and White"</formula>
    </cfRule>
    <cfRule type="expression" dxfId="249" priority="218" stopIfTrue="1">
      <formula>$AF$5="Black and White"</formula>
    </cfRule>
    <cfRule type="expression" dxfId="248" priority="217" stopIfTrue="1">
      <formula>$AF$5="Black and White"</formula>
    </cfRule>
  </conditionalFormatting>
  <conditionalFormatting sqref="C15:E16">
    <cfRule type="expression" dxfId="247" priority="211" stopIfTrue="1">
      <formula>$AF$5="Black and White"</formula>
    </cfRule>
    <cfRule type="expression" dxfId="246" priority="210" stopIfTrue="1">
      <formula>$AF$5="Black and White"</formula>
    </cfRule>
    <cfRule type="expression" dxfId="245" priority="209" stopIfTrue="1">
      <formula>$AF$5="Black and White"</formula>
    </cfRule>
    <cfRule type="expression" dxfId="244" priority="212" stopIfTrue="1">
      <formula>$AF$5="Black and White"</formula>
    </cfRule>
  </conditionalFormatting>
  <conditionalFormatting sqref="C18:E19">
    <cfRule type="expression" dxfId="243" priority="201" stopIfTrue="1">
      <formula>$AF$5="Black and White"</formula>
    </cfRule>
    <cfRule type="expression" dxfId="242" priority="202" stopIfTrue="1">
      <formula>$AF$5="Black and White"</formula>
    </cfRule>
    <cfRule type="expression" dxfId="241" priority="204" stopIfTrue="1">
      <formula>$AF$5="Black and White"</formula>
    </cfRule>
    <cfRule type="expression" dxfId="240" priority="203" stopIfTrue="1">
      <formula>$AF$5="Black and White"</formula>
    </cfRule>
  </conditionalFormatting>
  <conditionalFormatting sqref="C21:E22">
    <cfRule type="expression" dxfId="239" priority="196" stopIfTrue="1">
      <formula>$AF$5="Black and White"</formula>
    </cfRule>
    <cfRule type="expression" dxfId="238" priority="195" stopIfTrue="1">
      <formula>$AF$5="Black and White"</formula>
    </cfRule>
    <cfRule type="expression" dxfId="237" priority="193" stopIfTrue="1">
      <formula>$AF$5="Black and White"</formula>
    </cfRule>
    <cfRule type="expression" dxfId="236" priority="194" stopIfTrue="1">
      <formula>$AF$5="Black and White"</formula>
    </cfRule>
  </conditionalFormatting>
  <conditionalFormatting sqref="C24:E25">
    <cfRule type="expression" dxfId="235" priority="188" stopIfTrue="1">
      <formula>$AF$5="Black and White"</formula>
    </cfRule>
    <cfRule type="expression" dxfId="234" priority="187" stopIfTrue="1">
      <formula>$AF$5="Black and White"</formula>
    </cfRule>
    <cfRule type="expression" dxfId="233" priority="186" stopIfTrue="1">
      <formula>$AF$5="Black and White"</formula>
    </cfRule>
    <cfRule type="expression" dxfId="232" priority="185" stopIfTrue="1">
      <formula>$AF$5="Black and White"</formula>
    </cfRule>
  </conditionalFormatting>
  <conditionalFormatting sqref="C27:E28">
    <cfRule type="expression" dxfId="231" priority="180" stopIfTrue="1">
      <formula>$AF$5="Black and White"</formula>
    </cfRule>
    <cfRule type="expression" dxfId="230" priority="179" stopIfTrue="1">
      <formula>$AF$5="Black and White"</formula>
    </cfRule>
    <cfRule type="expression" dxfId="229" priority="178" stopIfTrue="1">
      <formula>$AF$5="Black and White"</formula>
    </cfRule>
    <cfRule type="expression" dxfId="228" priority="177" stopIfTrue="1">
      <formula>$AF$5="Black and White"</formula>
    </cfRule>
  </conditionalFormatting>
  <conditionalFormatting sqref="C30:E31">
    <cfRule type="expression" dxfId="227" priority="172" stopIfTrue="1">
      <formula>$AF$5="Black and White"</formula>
    </cfRule>
    <cfRule type="expression" dxfId="226" priority="171" stopIfTrue="1">
      <formula>$AF$5="Black and White"</formula>
    </cfRule>
    <cfRule type="expression" dxfId="225" priority="170" stopIfTrue="1">
      <formula>$AF$5="Black and White"</formula>
    </cfRule>
    <cfRule type="expression" dxfId="224" priority="169" stopIfTrue="1">
      <formula>$AF$5="Black and White"</formula>
    </cfRule>
  </conditionalFormatting>
  <conditionalFormatting sqref="C33:E34">
    <cfRule type="expression" dxfId="223" priority="164" stopIfTrue="1">
      <formula>$AF$5="Black and White"</formula>
    </cfRule>
    <cfRule type="expression" dxfId="222" priority="162" stopIfTrue="1">
      <formula>$AF$5="Black and White"</formula>
    </cfRule>
    <cfRule type="expression" dxfId="221" priority="163" stopIfTrue="1">
      <formula>$AF$5="Black and White"</formula>
    </cfRule>
    <cfRule type="expression" dxfId="220" priority="161" stopIfTrue="1">
      <formula>$AF$5="Black and White"</formula>
    </cfRule>
  </conditionalFormatting>
  <conditionalFormatting sqref="C36:E37">
    <cfRule type="expression" dxfId="219" priority="156" stopIfTrue="1">
      <formula>$AF$5="Black and White"</formula>
    </cfRule>
    <cfRule type="expression" dxfId="218" priority="155" stopIfTrue="1">
      <formula>$AF$5="Black and White"</formula>
    </cfRule>
    <cfRule type="expression" dxfId="217" priority="154" stopIfTrue="1">
      <formula>$AF$5="Black and White"</formula>
    </cfRule>
    <cfRule type="expression" dxfId="216" priority="153" stopIfTrue="1">
      <formula>$AF$5="Black and White"</formula>
    </cfRule>
  </conditionalFormatting>
  <conditionalFormatting sqref="C39:E40">
    <cfRule type="expression" dxfId="215" priority="146" stopIfTrue="1">
      <formula>$AF$5="Black and White"</formula>
    </cfRule>
    <cfRule type="expression" dxfId="214" priority="145" stopIfTrue="1">
      <formula>$AF$5="Black and White"</formula>
    </cfRule>
    <cfRule type="expression" dxfId="213" priority="147" stopIfTrue="1">
      <formula>$AF$5="Black and White"</formula>
    </cfRule>
    <cfRule type="expression" dxfId="212" priority="148" stopIfTrue="1">
      <formula>$AF$5="Black and White"</formula>
    </cfRule>
  </conditionalFormatting>
  <conditionalFormatting sqref="C42:E43">
    <cfRule type="expression" dxfId="211" priority="140" stopIfTrue="1">
      <formula>$AF$5="Black and White"</formula>
    </cfRule>
    <cfRule type="expression" dxfId="210" priority="137" stopIfTrue="1">
      <formula>$AF$5="Black and White"</formula>
    </cfRule>
    <cfRule type="expression" dxfId="209" priority="139" stopIfTrue="1">
      <formula>$AF$5="Black and White"</formula>
    </cfRule>
    <cfRule type="expression" dxfId="208" priority="138" stopIfTrue="1">
      <formula>$AF$5="Black and White"</formula>
    </cfRule>
  </conditionalFormatting>
  <conditionalFormatting sqref="C45:E46">
    <cfRule type="expression" dxfId="207" priority="130" stopIfTrue="1">
      <formula>$AF$5="Black and White"</formula>
    </cfRule>
    <cfRule type="expression" dxfId="206" priority="131" stopIfTrue="1">
      <formula>$AF$5="Black and White"</formula>
    </cfRule>
    <cfRule type="expression" dxfId="205" priority="132" stopIfTrue="1">
      <formula>$AF$5="Black and White"</formula>
    </cfRule>
    <cfRule type="expression" dxfId="204" priority="129" stopIfTrue="1">
      <formula>$AF$5="Black and White"</formula>
    </cfRule>
  </conditionalFormatting>
  <conditionalFormatting sqref="C48:E49">
    <cfRule type="expression" dxfId="203" priority="123" stopIfTrue="1">
      <formula>$AF$5="Black and White"</formula>
    </cfRule>
    <cfRule type="expression" dxfId="202" priority="124" stopIfTrue="1">
      <formula>$AF$5="Black and White"</formula>
    </cfRule>
    <cfRule type="expression" dxfId="201" priority="122" stopIfTrue="1">
      <formula>$AF$5="Black and White"</formula>
    </cfRule>
    <cfRule type="expression" dxfId="200" priority="121" stopIfTrue="1">
      <formula>$AF$5="Black and White"</formula>
    </cfRule>
  </conditionalFormatting>
  <conditionalFormatting sqref="G1">
    <cfRule type="expression" dxfId="199" priority="251" stopIfTrue="1">
      <formula>$AF$5="Black and White"</formula>
    </cfRule>
  </conditionalFormatting>
  <conditionalFormatting sqref="H5:K6">
    <cfRule type="expression" dxfId="198" priority="116" stopIfTrue="1">
      <formula>$AF$5="Black and White"</formula>
    </cfRule>
    <cfRule type="expression" dxfId="197" priority="115" stopIfTrue="1">
      <formula>$AF$5="Black and White"</formula>
    </cfRule>
    <cfRule type="expression" dxfId="196" priority="114" stopIfTrue="1">
      <formula>$AF$5="Black and White"</formula>
    </cfRule>
    <cfRule type="expression" dxfId="195" priority="113" stopIfTrue="1">
      <formula>$AF$5="Black and White"</formula>
    </cfRule>
  </conditionalFormatting>
  <conditionalFormatting sqref="H11:K12">
    <cfRule type="expression" dxfId="194" priority="107" stopIfTrue="1">
      <formula>$AF$5="Black and White"</formula>
    </cfRule>
    <cfRule type="expression" dxfId="193" priority="108" stopIfTrue="1">
      <formula>$AF$5="Black and White"</formula>
    </cfRule>
    <cfRule type="expression" dxfId="192" priority="106" stopIfTrue="1">
      <formula>$AF$5="Black and White"</formula>
    </cfRule>
    <cfRule type="expression" dxfId="191" priority="105" stopIfTrue="1">
      <formula>$AF$5="Black and White"</formula>
    </cfRule>
  </conditionalFormatting>
  <conditionalFormatting sqref="H17:K18">
    <cfRule type="expression" dxfId="190" priority="100" stopIfTrue="1">
      <formula>$AF$5="Black and White"</formula>
    </cfRule>
    <cfRule type="expression" dxfId="189" priority="98" stopIfTrue="1">
      <formula>$AF$5="Black and White"</formula>
    </cfRule>
    <cfRule type="expression" dxfId="188" priority="99" stopIfTrue="1">
      <formula>$AF$5="Black and White"</formula>
    </cfRule>
    <cfRule type="expression" dxfId="187" priority="97" stopIfTrue="1">
      <formula>$AF$5="Black and White"</formula>
    </cfRule>
  </conditionalFormatting>
  <conditionalFormatting sqref="H23:K24">
    <cfRule type="expression" dxfId="186" priority="90" stopIfTrue="1">
      <formula>$AF$5="Black and White"</formula>
    </cfRule>
    <cfRule type="expression" dxfId="185" priority="89" stopIfTrue="1">
      <formula>$AF$5="Black and White"</formula>
    </cfRule>
    <cfRule type="expression" dxfId="184" priority="92" stopIfTrue="1">
      <formula>$AF$5="Black and White"</formula>
    </cfRule>
    <cfRule type="expression" dxfId="183" priority="91" stopIfTrue="1">
      <formula>$AF$5="Black and White"</formula>
    </cfRule>
  </conditionalFormatting>
  <conditionalFormatting sqref="H29:K30">
    <cfRule type="expression" dxfId="182" priority="84" stopIfTrue="1">
      <formula>$AF$5="Black and White"</formula>
    </cfRule>
    <cfRule type="expression" dxfId="181" priority="83" stopIfTrue="1">
      <formula>$AF$5="Black and White"</formula>
    </cfRule>
    <cfRule type="expression" dxfId="180" priority="82" stopIfTrue="1">
      <formula>$AF$5="Black and White"</formula>
    </cfRule>
    <cfRule type="expression" dxfId="179" priority="81" stopIfTrue="1">
      <formula>$AF$5="Black and White"</formula>
    </cfRule>
  </conditionalFormatting>
  <conditionalFormatting sqref="H35:K36">
    <cfRule type="expression" dxfId="178" priority="74" stopIfTrue="1">
      <formula>$AF$5="Black and White"</formula>
    </cfRule>
    <cfRule type="expression" dxfId="177" priority="73" stopIfTrue="1">
      <formula>$AF$5="Black and White"</formula>
    </cfRule>
    <cfRule type="expression" dxfId="176" priority="76" stopIfTrue="1">
      <formula>$AF$5="Black and White"</formula>
    </cfRule>
    <cfRule type="expression" dxfId="175" priority="75" stopIfTrue="1">
      <formula>$AF$5="Black and White"</formula>
    </cfRule>
  </conditionalFormatting>
  <conditionalFormatting sqref="H41:K42">
    <cfRule type="expression" dxfId="174" priority="68" stopIfTrue="1">
      <formula>$AF$5="Black and White"</formula>
    </cfRule>
    <cfRule type="expression" dxfId="173" priority="67" stopIfTrue="1">
      <formula>$AF$5="Black and White"</formula>
    </cfRule>
    <cfRule type="expression" dxfId="172" priority="66" stopIfTrue="1">
      <formula>$AF$5="Black and White"</formula>
    </cfRule>
    <cfRule type="expression" dxfId="171" priority="65" stopIfTrue="1">
      <formula>$AF$5="Black and White"</formula>
    </cfRule>
  </conditionalFormatting>
  <conditionalFormatting sqref="H47:K48">
    <cfRule type="expression" dxfId="170" priority="60" stopIfTrue="1">
      <formula>$AF$5="Black and White"</formula>
    </cfRule>
    <cfRule type="expression" dxfId="169" priority="59" stopIfTrue="1">
      <formula>$AF$5="Black and White"</formula>
    </cfRule>
    <cfRule type="expression" dxfId="168" priority="58" stopIfTrue="1">
      <formula>$AF$5="Black and White"</formula>
    </cfRule>
    <cfRule type="expression" dxfId="167" priority="57" stopIfTrue="1">
      <formula>$AF$5="Black and White"</formula>
    </cfRule>
  </conditionalFormatting>
  <conditionalFormatting sqref="I1:K1">
    <cfRule type="expression" dxfId="166" priority="576" stopIfTrue="1">
      <formula>$AF$5="Black and White"</formula>
    </cfRule>
  </conditionalFormatting>
  <conditionalFormatting sqref="M8:P9">
    <cfRule type="expression" dxfId="165" priority="49" stopIfTrue="1">
      <formula>$AF$5="Black and White"</formula>
    </cfRule>
    <cfRule type="expression" dxfId="164" priority="52" stopIfTrue="1">
      <formula>$AF$5="Black and White"</formula>
    </cfRule>
    <cfRule type="expression" dxfId="163" priority="51" stopIfTrue="1">
      <formula>$AF$5="Black and White"</formula>
    </cfRule>
    <cfRule type="expression" dxfId="162" priority="50" stopIfTrue="1">
      <formula>$AF$5="Black and White"</formula>
    </cfRule>
  </conditionalFormatting>
  <conditionalFormatting sqref="M20:P21">
    <cfRule type="expression" dxfId="161" priority="42" stopIfTrue="1">
      <formula>$AF$5="Black and White"</formula>
    </cfRule>
    <cfRule type="expression" dxfId="160" priority="44" stopIfTrue="1">
      <formula>$AF$5="Black and White"</formula>
    </cfRule>
    <cfRule type="expression" dxfId="159" priority="43" stopIfTrue="1">
      <formula>$AF$5="Black and White"</formula>
    </cfRule>
    <cfRule type="expression" dxfId="158" priority="41" stopIfTrue="1">
      <formula>$AF$5="Black and White"</formula>
    </cfRule>
  </conditionalFormatting>
  <conditionalFormatting sqref="M32:P33">
    <cfRule type="expression" dxfId="157" priority="33" stopIfTrue="1">
      <formula>$AF$5="Black and White"</formula>
    </cfRule>
    <cfRule type="expression" dxfId="156" priority="36" stopIfTrue="1">
      <formula>$AF$5="Black and White"</formula>
    </cfRule>
    <cfRule type="expression" dxfId="155" priority="35" stopIfTrue="1">
      <formula>$AF$5="Black and White"</formula>
    </cfRule>
    <cfRule type="expression" dxfId="154" priority="34" stopIfTrue="1">
      <formula>$AF$5="Black and White"</formula>
    </cfRule>
  </conditionalFormatting>
  <conditionalFormatting sqref="M44:P45">
    <cfRule type="expression" dxfId="153" priority="28" stopIfTrue="1">
      <formula>$AF$5="Black and White"</formula>
    </cfRule>
    <cfRule type="expression" dxfId="152" priority="27" stopIfTrue="1">
      <formula>$AF$5="Black and White"</formula>
    </cfRule>
    <cfRule type="expression" dxfId="151" priority="26" stopIfTrue="1">
      <formula>$AF$5="Black and White"</formula>
    </cfRule>
    <cfRule type="expression" dxfId="150" priority="25" stopIfTrue="1">
      <formula>$AF$5="Black and White"</formula>
    </cfRule>
  </conditionalFormatting>
  <conditionalFormatting sqref="Q1">
    <cfRule type="expression" dxfId="149" priority="575" stopIfTrue="1">
      <formula>$AF$5="Black and White"</formula>
    </cfRule>
  </conditionalFormatting>
  <conditionalFormatting sqref="R14:U15">
    <cfRule type="expression" dxfId="148" priority="20" stopIfTrue="1">
      <formula>$AF$5="Black and White"</formula>
    </cfRule>
    <cfRule type="expression" dxfId="147" priority="19" stopIfTrue="1">
      <formula>$AF$5="Black and White"</formula>
    </cfRule>
    <cfRule type="expression" dxfId="146" priority="18" stopIfTrue="1">
      <formula>$AF$5="Black and White"</formula>
    </cfRule>
    <cfRule type="expression" dxfId="145" priority="17" stopIfTrue="1">
      <formula>$AF$5="Black and White"</formula>
    </cfRule>
  </conditionalFormatting>
  <conditionalFormatting sqref="R38:U39">
    <cfRule type="expression" dxfId="144" priority="10" stopIfTrue="1">
      <formula>$AF$5="Black and White"</formula>
    </cfRule>
    <cfRule type="expression" dxfId="143" priority="11" stopIfTrue="1">
      <formula>$AF$5="Black and White"</formula>
    </cfRule>
    <cfRule type="expression" dxfId="142" priority="12" stopIfTrue="1">
      <formula>$AF$5="Black and White"</formula>
    </cfRule>
    <cfRule type="expression" dxfId="141" priority="9" stopIfTrue="1">
      <formula>$AF$5="Black and White"</formula>
    </cfRule>
  </conditionalFormatting>
  <conditionalFormatting sqref="W1">
    <cfRule type="expression" dxfId="140" priority="246" stopIfTrue="1">
      <formula>$AF$5="Black and White"</formula>
    </cfRule>
  </conditionalFormatting>
  <conditionalFormatting sqref="X26:AA27">
    <cfRule type="expression" dxfId="139" priority="4" stopIfTrue="1">
      <formula>$AF$5="Black and White"</formula>
    </cfRule>
    <cfRule type="expression" dxfId="138" priority="3" stopIfTrue="1">
      <formula>$AF$5="Black and White"</formula>
    </cfRule>
    <cfRule type="expression" dxfId="137" priority="1" stopIfTrue="1">
      <formula>$AF$5="Black and White"</formula>
    </cfRule>
    <cfRule type="expression" dxfId="136" priority="2" stopIfTrue="1">
      <formula>$AF$5="Black and White"</formula>
    </cfRule>
  </conditionalFormatting>
  <conditionalFormatting sqref="AC1">
    <cfRule type="expression" dxfId="135" priority="245" stopIfTrue="1">
      <formula>$AF$5="Black and White"</formula>
    </cfRule>
  </conditionalFormatting>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E99879-0B8A-4AEE-9968-D856934AF92F}">
  <sheetPr>
    <tabColor rgb="FF7030A0"/>
  </sheetPr>
  <dimension ref="A1:AI49"/>
  <sheetViews>
    <sheetView showGridLines="0" showRowColHeaders="0" topLeftCell="B1" zoomScale="78" zoomScaleNormal="78" workbookViewId="0">
      <pane ySplit="1" topLeftCell="A2" activePane="bottomLeft" state="frozen"/>
      <selection pane="bottomLeft" activeCell="I1" sqref="I1"/>
      <extLst>
        <ext xmlns:xlsdti="http://schemas.microsoft.com/office/spreadsheetml/2023/showDataTypeIcons" uri="{77bfe23e-c014-4d31-8a63-9c772dbf06b6}">
          <xlsdti:showDataTypeIcons visible="0"/>
        </ext>
      </extLst>
    </sheetView>
  </sheetViews>
  <sheetFormatPr defaultRowHeight="15" x14ac:dyDescent="0.25"/>
  <cols>
    <col min="1" max="1" width="9.140625" hidden="1" customWidth="1"/>
    <col min="2" max="2" width="23.7109375" customWidth="1"/>
    <col min="6" max="6" width="9.140625" hidden="1" customWidth="1"/>
    <col min="7" max="7" width="23.7109375" customWidth="1"/>
    <col min="11" max="11" width="9.140625" hidden="1" customWidth="1"/>
    <col min="12" max="12" width="23.7109375" customWidth="1"/>
    <col min="16" max="16" width="9.140625" hidden="1" customWidth="1"/>
    <col min="17" max="17" width="23.7109375" customWidth="1"/>
    <col min="22" max="22" width="9.140625" hidden="1" customWidth="1"/>
    <col min="23" max="23" width="23.7109375" customWidth="1"/>
    <col min="28" max="28" width="9.140625" hidden="1" customWidth="1"/>
  </cols>
  <sheetData>
    <row r="1" spans="1:35" ht="15.75" thickBot="1" x14ac:dyDescent="0.3">
      <c r="A1" s="271" t="s">
        <v>618</v>
      </c>
      <c r="B1" s="699" t="s">
        <v>1269</v>
      </c>
      <c r="C1" s="700"/>
      <c r="D1" s="292"/>
      <c r="E1" s="292"/>
      <c r="F1" s="271"/>
      <c r="G1" s="707" t="s">
        <v>1271</v>
      </c>
      <c r="H1" s="701"/>
      <c r="I1" s="587"/>
      <c r="J1" s="270"/>
      <c r="K1" s="271"/>
      <c r="L1" s="701" t="s">
        <v>1272</v>
      </c>
      <c r="M1" s="702"/>
      <c r="N1" s="702"/>
      <c r="O1" s="702"/>
      <c r="P1" s="119"/>
      <c r="Q1" s="701" t="s">
        <v>1273</v>
      </c>
      <c r="R1" s="703"/>
      <c r="S1" s="703"/>
      <c r="T1" s="703"/>
      <c r="U1" s="704"/>
      <c r="V1" s="272"/>
      <c r="W1" s="701" t="s">
        <v>1273</v>
      </c>
      <c r="X1" s="703"/>
      <c r="Y1" s="703"/>
      <c r="Z1" s="703"/>
      <c r="AA1" s="704"/>
      <c r="AB1" s="272"/>
      <c r="AC1" s="705" t="s">
        <v>323</v>
      </c>
      <c r="AD1" s="706"/>
      <c r="AE1" s="706"/>
      <c r="AF1" s="706"/>
      <c r="AG1" s="706"/>
      <c r="AH1" s="706"/>
      <c r="AI1" s="706"/>
    </row>
    <row r="2" spans="1:35" x14ac:dyDescent="0.25">
      <c r="A2" s="290" t="s">
        <v>1232</v>
      </c>
      <c r="B2" s="291" t="str">
        <f ca="1">IFERROR(VLOOKUP(A2,Lookup17,7,FALSE),"")</f>
        <v>Boston Stadium</v>
      </c>
      <c r="C2" s="273" t="s">
        <v>1267</v>
      </c>
      <c r="D2" s="273" t="s">
        <v>1268</v>
      </c>
      <c r="E2" s="274" t="s">
        <v>342</v>
      </c>
      <c r="F2" s="275"/>
      <c r="G2" s="276"/>
      <c r="H2" s="277"/>
      <c r="I2" s="277"/>
      <c r="J2" s="277"/>
      <c r="K2" s="277"/>
      <c r="L2" s="278"/>
      <c r="M2" s="279"/>
      <c r="N2" s="279"/>
      <c r="O2" s="280"/>
      <c r="P2" s="280"/>
      <c r="Q2" s="278"/>
      <c r="R2" s="278"/>
      <c r="S2" s="279"/>
      <c r="T2" s="279"/>
      <c r="U2" s="279"/>
      <c r="V2" s="279"/>
      <c r="W2" s="279"/>
      <c r="X2" s="279"/>
      <c r="Y2" s="279"/>
      <c r="Z2" s="279"/>
      <c r="AA2" s="279"/>
      <c r="AB2" s="279"/>
      <c r="AC2" s="279"/>
      <c r="AD2" s="279"/>
      <c r="AE2" s="279"/>
      <c r="AF2" s="279"/>
      <c r="AG2" s="279"/>
      <c r="AH2" s="279"/>
      <c r="AI2" s="279"/>
    </row>
    <row r="3" spans="1:35" x14ac:dyDescent="0.25">
      <c r="A3" s="275" t="str">
        <f>A2&amp;"E"</f>
        <v>74E</v>
      </c>
      <c r="B3" s="281" t="str">
        <f ca="1">IFERROR(VLOOKUP(A2,Lookup17,2,FALSE),"")</f>
        <v>Cote d'Ivorie</v>
      </c>
      <c r="C3" s="282">
        <f ca="1">IFERROR(VLOOKUP(A2,Lookup17,3,FALSE),"")</f>
        <v>1</v>
      </c>
      <c r="D3" s="282" t="str">
        <f ca="1">IFERROR(VLOOKUP(A3,Lookup17,3,FALSE),"")</f>
        <v/>
      </c>
      <c r="E3" s="283" t="str">
        <f ca="1">IFERROR(VLOOKUP(A4,Lookup17,3,FALSE),"")</f>
        <v/>
      </c>
      <c r="F3" s="275"/>
      <c r="G3" s="276"/>
      <c r="H3" s="277"/>
      <c r="I3" s="277"/>
      <c r="J3" s="277"/>
      <c r="K3" s="277"/>
      <c r="L3" s="278"/>
      <c r="M3" s="279"/>
      <c r="N3" s="279"/>
      <c r="O3" s="280"/>
      <c r="P3" s="280"/>
      <c r="Q3" s="278"/>
      <c r="R3" s="278"/>
      <c r="S3" s="279"/>
      <c r="T3" s="279"/>
      <c r="U3" s="279"/>
      <c r="V3" s="279"/>
      <c r="W3" s="279"/>
      <c r="X3" s="279"/>
      <c r="Y3" s="279"/>
      <c r="Z3" s="279"/>
      <c r="AA3" s="279"/>
      <c r="AB3" s="279"/>
      <c r="AC3" s="279"/>
      <c r="AD3" s="279"/>
      <c r="AE3" s="279"/>
      <c r="AF3" s="279"/>
      <c r="AG3" s="279"/>
      <c r="AH3" s="279"/>
      <c r="AI3" s="279"/>
    </row>
    <row r="4" spans="1:35" x14ac:dyDescent="0.25">
      <c r="A4" s="275" t="str">
        <f>A2&amp;"P"</f>
        <v>74P</v>
      </c>
      <c r="B4" s="284" t="str">
        <f ca="1">IFERROR(VLOOKUP(A2,Lookup17,6,FALSE),"")</f>
        <v>Paraguay</v>
      </c>
      <c r="C4" s="282">
        <f ca="1">IFERROR(VLOOKUP(A2,Lookup17,5,FALSE),"")</f>
        <v>0</v>
      </c>
      <c r="D4" s="282" t="str">
        <f ca="1">IFERROR(VLOOKUP(A3,Lookup17,5,FALSE),"")</f>
        <v/>
      </c>
      <c r="E4" s="283" t="str">
        <f ca="1">IFERROR(VLOOKUP(A4,Lookup17,5,FALSE),"")</f>
        <v/>
      </c>
      <c r="F4" s="290" t="s">
        <v>1245</v>
      </c>
      <c r="G4" s="291" t="str">
        <f ca="1">IFERROR(VLOOKUP(F4,Lookup17,7,FALSE),"")</f>
        <v>Philadelphia Stadium</v>
      </c>
      <c r="H4" s="273" t="s">
        <v>1267</v>
      </c>
      <c r="I4" s="273" t="s">
        <v>1268</v>
      </c>
      <c r="J4" s="274" t="s">
        <v>342</v>
      </c>
      <c r="K4" s="285"/>
      <c r="L4" s="278"/>
      <c r="M4" s="279"/>
      <c r="N4" s="279"/>
      <c r="O4" s="280"/>
      <c r="P4" s="280"/>
      <c r="Q4" s="278"/>
      <c r="R4" s="278"/>
      <c r="S4" s="279"/>
      <c r="T4" s="279"/>
      <c r="U4" s="279"/>
      <c r="V4" s="279"/>
      <c r="W4" s="279"/>
      <c r="X4" s="279"/>
      <c r="Y4" s="279"/>
      <c r="Z4" s="279"/>
      <c r="AA4" s="279"/>
      <c r="AB4" s="279"/>
      <c r="AC4" s="279"/>
      <c r="AD4" s="279"/>
      <c r="AE4" s="279"/>
      <c r="AF4" s="279"/>
      <c r="AG4" s="279"/>
      <c r="AH4" s="279"/>
      <c r="AI4" s="279"/>
    </row>
    <row r="5" spans="1:35" x14ac:dyDescent="0.25">
      <c r="A5" s="290" t="s">
        <v>1234</v>
      </c>
      <c r="B5" s="291" t="str">
        <f ca="1">IFERROR(VLOOKUP(A5,Lookup17,7,FALSE),"")</f>
        <v>MetLife Stadium</v>
      </c>
      <c r="C5" s="273" t="s">
        <v>1267</v>
      </c>
      <c r="D5" s="273" t="s">
        <v>1268</v>
      </c>
      <c r="E5" s="274" t="s">
        <v>342</v>
      </c>
      <c r="F5" s="275" t="str">
        <f>F4&amp;"E"</f>
        <v>89E</v>
      </c>
      <c r="G5" s="281" t="str">
        <f ca="1">IFERROR(VLOOKUP(F4,Lookup17,2,FALSE),"")</f>
        <v>Cote d'Ivorie</v>
      </c>
      <c r="H5" s="282">
        <f ca="1">IFERROR(VLOOKUP(F4,Lookup17,3,FALSE),"")</f>
        <v>1</v>
      </c>
      <c r="I5" s="282" t="str">
        <f ca="1">IFERROR(VLOOKUP(F5,Lookup17,3,FALSE),"")</f>
        <v/>
      </c>
      <c r="J5" s="283" t="str">
        <f ca="1">IFERROR(VLOOKUP(F6,Lookup17,3,FALSE),"")</f>
        <v/>
      </c>
      <c r="K5" s="286"/>
      <c r="L5" s="278"/>
      <c r="M5" s="279"/>
      <c r="N5" s="279"/>
      <c r="O5" s="280"/>
      <c r="P5" s="280"/>
      <c r="Q5" s="278"/>
      <c r="R5" s="278"/>
      <c r="S5" s="279"/>
      <c r="T5" s="279"/>
      <c r="U5" s="279"/>
      <c r="V5" s="279"/>
      <c r="W5" s="279"/>
      <c r="X5" s="279"/>
      <c r="Y5" s="279"/>
      <c r="Z5" s="279"/>
      <c r="AA5" s="279"/>
      <c r="AB5" s="279"/>
      <c r="AC5" s="279"/>
      <c r="AD5" s="279"/>
      <c r="AE5" s="279"/>
      <c r="AF5" s="279"/>
      <c r="AG5" s="279"/>
      <c r="AH5" s="279"/>
      <c r="AI5" s="279"/>
    </row>
    <row r="6" spans="1:35" x14ac:dyDescent="0.25">
      <c r="A6" s="275" t="str">
        <f>A5&amp;"E"</f>
        <v>77E</v>
      </c>
      <c r="B6" s="281" t="str">
        <f ca="1">IFERROR(VLOOKUP(A5,Lookup17,2,FALSE),"")</f>
        <v>Senegal</v>
      </c>
      <c r="C6" s="282">
        <f ca="1">IFERROR(VLOOKUP(A5,Lookup17,3,FALSE),"")</f>
        <v>1</v>
      </c>
      <c r="D6" s="282" t="str">
        <f ca="1">IFERROR(VLOOKUP(A6,Lookup17,3,FALSE),"")</f>
        <v/>
      </c>
      <c r="E6" s="283" t="str">
        <f ca="1">IFERROR(VLOOKUP(A7,Lookup17,3,FALSE),"")</f>
        <v/>
      </c>
      <c r="F6" s="275" t="str">
        <f>F4&amp;"P"</f>
        <v>89P</v>
      </c>
      <c r="G6" s="284" t="str">
        <f ca="1">IFERROR(VLOOKUP(F4,Lookup17,6,FALSE),"")</f>
        <v>Sweden</v>
      </c>
      <c r="H6" s="282">
        <f ca="1">IFERROR(VLOOKUP(F4,Lookup17,5,FALSE),"")</f>
        <v>0</v>
      </c>
      <c r="I6" s="282" t="str">
        <f ca="1">IFERROR(VLOOKUP(F5,Lookup17,5,FALSE),"")</f>
        <v/>
      </c>
      <c r="J6" s="283" t="str">
        <f ca="1">IFERROR(VLOOKUP(F6,Lookup17,5,FALSE),"")</f>
        <v/>
      </c>
      <c r="K6" s="286"/>
      <c r="L6" s="278"/>
      <c r="M6" s="279"/>
      <c r="N6" s="279"/>
      <c r="O6" s="280"/>
      <c r="P6" s="280"/>
      <c r="Q6" s="278"/>
      <c r="R6" s="278"/>
      <c r="S6" s="279"/>
      <c r="T6" s="279"/>
      <c r="U6" s="279"/>
      <c r="V6" s="279"/>
      <c r="W6" s="279"/>
      <c r="X6" s="279"/>
      <c r="Y6" s="279"/>
      <c r="Z6" s="279"/>
      <c r="AA6" s="279"/>
      <c r="AB6" s="279"/>
      <c r="AC6" s="279"/>
      <c r="AD6" s="279"/>
      <c r="AE6" s="279"/>
      <c r="AF6" s="279"/>
      <c r="AG6" s="279"/>
      <c r="AH6" s="279"/>
      <c r="AI6" s="279"/>
    </row>
    <row r="7" spans="1:35" x14ac:dyDescent="0.25">
      <c r="A7" s="275" t="str">
        <f>A5&amp;"P"</f>
        <v>77P</v>
      </c>
      <c r="B7" s="284" t="str">
        <f ca="1">IFERROR(VLOOKUP(A5,Lookup17,6,FALSE),"")</f>
        <v>Sweden</v>
      </c>
      <c r="C7" s="282">
        <f ca="1">IFERROR(VLOOKUP(A5,Lookup17,5,FALSE),"")</f>
        <v>2</v>
      </c>
      <c r="D7" s="282" t="str">
        <f ca="1">IFERROR(VLOOKUP(A6,Lookup17,5,FALSE),"")</f>
        <v/>
      </c>
      <c r="E7" s="283" t="str">
        <f ca="1">IFERROR(VLOOKUP(A7,Lookup17,5,FALSE),"")</f>
        <v/>
      </c>
      <c r="F7" s="275"/>
      <c r="G7" s="276"/>
      <c r="H7" s="277"/>
      <c r="I7" s="277"/>
      <c r="J7" s="277"/>
      <c r="K7" s="290" t="s">
        <v>1262</v>
      </c>
      <c r="L7" s="291" t="str">
        <f ca="1">IFERROR(VLOOKUP(K7,Lookup17,7,FALSE),"")</f>
        <v>Boston Stadium</v>
      </c>
      <c r="M7" s="273" t="s">
        <v>1267</v>
      </c>
      <c r="N7" s="273" t="s">
        <v>1268</v>
      </c>
      <c r="O7" s="274" t="s">
        <v>342</v>
      </c>
      <c r="P7" s="288"/>
      <c r="Q7" s="278"/>
      <c r="R7" s="278"/>
      <c r="S7" s="279"/>
      <c r="T7" s="279"/>
      <c r="U7" s="279"/>
      <c r="V7" s="279"/>
      <c r="W7" s="279"/>
      <c r="X7" s="279"/>
      <c r="Y7" s="279"/>
      <c r="Z7" s="279"/>
      <c r="AA7" s="279"/>
      <c r="AB7" s="279"/>
      <c r="AC7" s="279"/>
      <c r="AD7" s="279"/>
      <c r="AE7" s="279"/>
      <c r="AF7" s="279"/>
      <c r="AG7" s="279"/>
      <c r="AH7" s="279"/>
      <c r="AI7" s="279"/>
    </row>
    <row r="8" spans="1:35" x14ac:dyDescent="0.25">
      <c r="A8" s="290" t="s">
        <v>1229</v>
      </c>
      <c r="B8" s="291" t="str">
        <f>IFERROR(VLOOKUP(A8,Lookup17,7,FALSE),"")</f>
        <v>Los Angeles Stadium</v>
      </c>
      <c r="C8" s="273" t="s">
        <v>1267</v>
      </c>
      <c r="D8" s="273" t="s">
        <v>1268</v>
      </c>
      <c r="E8" s="274" t="s">
        <v>342</v>
      </c>
      <c r="F8" s="275"/>
      <c r="G8" s="276"/>
      <c r="H8" s="277"/>
      <c r="I8" s="277"/>
      <c r="J8" s="277"/>
      <c r="K8" s="275" t="str">
        <f>K7&amp;"E"</f>
        <v>97E</v>
      </c>
      <c r="L8" s="281" t="str">
        <f ca="1">IFERROR(VLOOKUP(K7,Lookup17,2,FALSE),"")</f>
        <v>Cote d'Ivorie</v>
      </c>
      <c r="M8" s="282">
        <f ca="1">IFERROR(VLOOKUP(K7,Lookup17,3,FALSE),"")</f>
        <v>0</v>
      </c>
      <c r="N8" s="282" t="str">
        <f ca="1">IFERROR(VLOOKUP(K8,Lookup17,3,FALSE),"")</f>
        <v/>
      </c>
      <c r="O8" s="283" t="str">
        <f ca="1">IFERROR(VLOOKUP(K9,Lookup17,3,FALSE),"")</f>
        <v/>
      </c>
      <c r="P8" s="289"/>
      <c r="Q8" s="278"/>
      <c r="R8" s="278"/>
      <c r="S8" s="279"/>
      <c r="T8" s="279"/>
      <c r="U8" s="279"/>
      <c r="V8" s="279"/>
      <c r="W8" s="279"/>
      <c r="X8" s="279"/>
      <c r="Y8" s="279"/>
      <c r="Z8" s="279"/>
      <c r="AA8" s="279"/>
      <c r="AB8" s="279"/>
      <c r="AC8" s="279"/>
      <c r="AD8" s="279"/>
      <c r="AE8" s="279"/>
      <c r="AF8" s="279"/>
      <c r="AG8" s="279"/>
      <c r="AH8" s="279"/>
      <c r="AI8" s="279"/>
    </row>
    <row r="9" spans="1:35" x14ac:dyDescent="0.25">
      <c r="A9" s="275" t="str">
        <f>A8&amp;"E"</f>
        <v>73E</v>
      </c>
      <c r="B9" s="281" t="str">
        <f ca="1">IFERROR(VLOOKUP(A8,Lookup17,2,FALSE),"")</f>
        <v>Mexico</v>
      </c>
      <c r="C9" s="282">
        <f ca="1">IFERROR(VLOOKUP(A8,Lookup17,3,FALSE),"")</f>
        <v>0</v>
      </c>
      <c r="D9" s="282" t="str">
        <f ca="1">IFERROR(VLOOKUP(A9,Lookup17,3,FALSE),"")</f>
        <v/>
      </c>
      <c r="E9" s="283" t="str">
        <f ca="1">IFERROR(VLOOKUP(A10,Lookup17,3,FALSE),"")</f>
        <v/>
      </c>
      <c r="F9" s="275"/>
      <c r="G9" s="276"/>
      <c r="H9" s="277"/>
      <c r="I9" s="277"/>
      <c r="J9" s="277"/>
      <c r="K9" s="275" t="str">
        <f>K7&amp;"P"</f>
        <v>97P</v>
      </c>
      <c r="L9" s="284" t="str">
        <f ca="1">IFERROR(VLOOKUP(K7,Lookup17,6,FALSE),"")</f>
        <v>Canada</v>
      </c>
      <c r="M9" s="282">
        <f ca="1">IFERROR(VLOOKUP(K7,Lookup17,5,FALSE),"")</f>
        <v>1</v>
      </c>
      <c r="N9" s="282" t="str">
        <f ca="1">IFERROR(VLOOKUP(K8,Lookup17,5,FALSE),"")</f>
        <v/>
      </c>
      <c r="O9" s="283" t="str">
        <f ca="1">IFERROR(VLOOKUP(K9,Lookup17,5,FALSE),"")</f>
        <v/>
      </c>
      <c r="P9" s="289"/>
      <c r="Q9" s="278"/>
      <c r="R9" s="278"/>
      <c r="S9" s="279"/>
      <c r="T9" s="279"/>
      <c r="U9" s="279"/>
      <c r="V9" s="279"/>
      <c r="W9" s="279"/>
      <c r="X9" s="279"/>
      <c r="Y9" s="279"/>
      <c r="Z9" s="279"/>
      <c r="AA9" s="279"/>
      <c r="AB9" s="279"/>
      <c r="AC9" s="279"/>
      <c r="AD9" s="279"/>
      <c r="AE9" s="279"/>
      <c r="AF9" s="279"/>
      <c r="AG9" s="279"/>
      <c r="AH9" s="279"/>
      <c r="AI9" s="279"/>
    </row>
    <row r="10" spans="1:35" x14ac:dyDescent="0.25">
      <c r="A10" s="275" t="str">
        <f>A8&amp;"P"</f>
        <v>73P</v>
      </c>
      <c r="B10" s="284" t="str">
        <f ca="1">IFERROR(VLOOKUP(A8,Lookup17,6,FALSE),"")</f>
        <v>Canada</v>
      </c>
      <c r="C10" s="282">
        <f ca="1">IFERROR(VLOOKUP(A8,Lookup17,5,FALSE),"")</f>
        <v>1</v>
      </c>
      <c r="D10" s="282" t="str">
        <f ca="1">IFERROR(VLOOKUP(A9,Lookup17,5,FALSE),"")</f>
        <v/>
      </c>
      <c r="E10" s="283" t="str">
        <f ca="1">IFERROR(VLOOKUP(A10,Lookup17,5,FALSE),"")</f>
        <v/>
      </c>
      <c r="F10" s="290" t="s">
        <v>1246</v>
      </c>
      <c r="G10" s="291" t="str">
        <f ca="1">IFERROR(VLOOKUP(F10,Lookup17,7,FALSE),"")</f>
        <v>Houston Stadium</v>
      </c>
      <c r="H10" s="273" t="s">
        <v>1267</v>
      </c>
      <c r="I10" s="273" t="s">
        <v>1268</v>
      </c>
      <c r="J10" s="274" t="s">
        <v>342</v>
      </c>
      <c r="K10" s="285"/>
      <c r="L10" s="278"/>
      <c r="M10" s="279"/>
      <c r="N10" s="279"/>
      <c r="O10" s="280"/>
      <c r="P10" s="280"/>
      <c r="Q10" s="278"/>
      <c r="R10" s="278"/>
      <c r="S10" s="279"/>
      <c r="T10" s="279"/>
      <c r="U10" s="279"/>
      <c r="V10" s="279"/>
      <c r="W10" s="279"/>
      <c r="X10" s="279"/>
      <c r="Y10" s="279"/>
      <c r="Z10" s="279"/>
      <c r="AA10" s="279"/>
      <c r="AB10" s="279"/>
      <c r="AC10" s="279"/>
      <c r="AD10" s="279"/>
      <c r="AE10" s="279"/>
      <c r="AF10" s="279"/>
      <c r="AG10" s="279"/>
      <c r="AH10" s="279"/>
      <c r="AI10" s="279"/>
    </row>
    <row r="11" spans="1:35" x14ac:dyDescent="0.25">
      <c r="A11" s="290" t="s">
        <v>1230</v>
      </c>
      <c r="B11" s="291" t="str">
        <f ca="1">IFERROR(VLOOKUP(A11,Lookup17,7,FALSE),"")</f>
        <v>Estadio Monterrey</v>
      </c>
      <c r="C11" s="273" t="s">
        <v>1267</v>
      </c>
      <c r="D11" s="273" t="s">
        <v>1268</v>
      </c>
      <c r="E11" s="274" t="s">
        <v>342</v>
      </c>
      <c r="F11" s="275" t="str">
        <f>F10&amp;"E"</f>
        <v>90E</v>
      </c>
      <c r="G11" s="281" t="str">
        <f ca="1">IFERROR(VLOOKUP(F10,Lookup17,2,FALSE),"")</f>
        <v>Canada</v>
      </c>
      <c r="H11" s="282">
        <f ca="1">IFERROR(VLOOKUP(F10,Lookup17,3,FALSE),"")</f>
        <v>1</v>
      </c>
      <c r="I11" s="282" t="str">
        <f ca="1">IFERROR(VLOOKUP(F11,Lookup17,3,FALSE),"")</f>
        <v/>
      </c>
      <c r="J11" s="283" t="str">
        <f ca="1">IFERROR(VLOOKUP(F12,Lookup17,3,FALSE),"")</f>
        <v/>
      </c>
      <c r="K11" s="286"/>
      <c r="L11" s="278"/>
      <c r="M11" s="279"/>
      <c r="N11" s="279"/>
      <c r="O11" s="280"/>
      <c r="P11" s="280"/>
      <c r="Q11" s="278"/>
      <c r="R11" s="278"/>
      <c r="S11" s="279"/>
      <c r="T11" s="279"/>
      <c r="U11" s="279"/>
      <c r="V11" s="279"/>
      <c r="W11" s="279"/>
      <c r="X11" s="279"/>
      <c r="Y11" s="279"/>
      <c r="Z11" s="279"/>
      <c r="AA11" s="279"/>
      <c r="AB11" s="279"/>
      <c r="AC11" s="279"/>
      <c r="AD11" s="279"/>
      <c r="AE11" s="279"/>
      <c r="AF11" s="279"/>
      <c r="AG11" s="279"/>
      <c r="AH11" s="279"/>
      <c r="AI11" s="279"/>
    </row>
    <row r="12" spans="1:35" x14ac:dyDescent="0.25">
      <c r="A12" s="275" t="str">
        <f>A11&amp;"E"</f>
        <v>75E</v>
      </c>
      <c r="B12" s="281" t="str">
        <f ca="1">IFERROR(VLOOKUP(A11,Lookup17,2,FALSE),"")</f>
        <v>Netherlands</v>
      </c>
      <c r="C12" s="282">
        <f ca="1">IFERROR(VLOOKUP(A11,Lookup17,3,FALSE),"")</f>
        <v>1</v>
      </c>
      <c r="D12" s="282" t="str">
        <f ca="1">IFERROR(VLOOKUP(A12,Lookup17,3,FALSE),"")</f>
        <v/>
      </c>
      <c r="E12" s="283" t="str">
        <f ca="1">IFERROR(VLOOKUP(A13,Lookup17,3,FALSE),"")</f>
        <v/>
      </c>
      <c r="F12" s="275" t="str">
        <f>F10&amp;"P"</f>
        <v>90P</v>
      </c>
      <c r="G12" s="284" t="str">
        <f ca="1">IFERROR(VLOOKUP(F10,Lookup17,6,FALSE),"")</f>
        <v>Brazil</v>
      </c>
      <c r="H12" s="282">
        <f ca="1">IFERROR(VLOOKUP(F10,Lookup17,5,FALSE),"")</f>
        <v>0</v>
      </c>
      <c r="I12" s="282" t="str">
        <f ca="1">IFERROR(VLOOKUP(F11,Lookup17,5,FALSE),"")</f>
        <v/>
      </c>
      <c r="J12" s="283" t="str">
        <f ca="1">IFERROR(VLOOKUP(F12,Lookup17,5,FALSE),"")</f>
        <v/>
      </c>
      <c r="K12" s="286"/>
      <c r="L12" s="278"/>
      <c r="M12" s="279"/>
      <c r="N12" s="279"/>
      <c r="O12" s="280"/>
      <c r="P12" s="280"/>
      <c r="Q12" s="278"/>
      <c r="R12" s="278"/>
      <c r="S12" s="279"/>
      <c r="T12" s="279"/>
      <c r="U12" s="279"/>
      <c r="V12" s="279"/>
      <c r="W12" s="279"/>
      <c r="X12" s="279"/>
      <c r="Y12" s="279"/>
      <c r="Z12" s="279"/>
      <c r="AA12" s="279"/>
      <c r="AB12" s="279"/>
      <c r="AC12" s="279"/>
      <c r="AD12" s="279"/>
      <c r="AE12" s="279"/>
      <c r="AF12" s="279"/>
      <c r="AG12" s="279"/>
      <c r="AH12" s="279"/>
      <c r="AI12" s="279"/>
    </row>
    <row r="13" spans="1:35" ht="15.75" customHeight="1" x14ac:dyDescent="0.25">
      <c r="A13" s="275" t="str">
        <f>A11&amp;"P"</f>
        <v>75P</v>
      </c>
      <c r="B13" s="284" t="str">
        <f ca="1">IFERROR(VLOOKUP(A11,Lookup17,6,FALSE),"")</f>
        <v>Brazil</v>
      </c>
      <c r="C13" s="282">
        <f ca="1">IFERROR(VLOOKUP(A11,Lookup17,5,FALSE),"")</f>
        <v>4</v>
      </c>
      <c r="D13" s="282" t="str">
        <f ca="1">IFERROR(VLOOKUP(A12,Lookup17,5,FALSE),"")</f>
        <v/>
      </c>
      <c r="E13" s="283" t="str">
        <f ca="1">IFERROR(VLOOKUP(A13,Lookup17,5,FALSE),"")</f>
        <v/>
      </c>
      <c r="F13" s="275"/>
      <c r="G13" s="276"/>
      <c r="H13" s="277"/>
      <c r="I13" s="277"/>
      <c r="J13" s="277"/>
      <c r="K13" s="287"/>
      <c r="L13" s="278"/>
      <c r="M13" s="279"/>
      <c r="N13" s="279"/>
      <c r="O13" s="280"/>
      <c r="P13" s="290" t="s">
        <v>1257</v>
      </c>
      <c r="Q13" s="291" t="str">
        <f ca="1">IFERROR(VLOOKUP(P13,Lookup17,7,FALSE),"")</f>
        <v>Dallas Stadium</v>
      </c>
      <c r="R13" s="273" t="s">
        <v>1267</v>
      </c>
      <c r="S13" s="273" t="s">
        <v>1268</v>
      </c>
      <c r="T13" s="274" t="s">
        <v>342</v>
      </c>
      <c r="U13" s="274"/>
      <c r="V13" s="279"/>
      <c r="W13" s="279"/>
      <c r="X13" s="279"/>
      <c r="Y13" s="279"/>
      <c r="Z13" s="279"/>
      <c r="AA13" s="279"/>
      <c r="AB13" s="279"/>
      <c r="AC13" s="279"/>
      <c r="AD13" s="279"/>
      <c r="AE13" s="279"/>
      <c r="AF13" s="279"/>
      <c r="AG13" s="279"/>
      <c r="AH13" s="279"/>
      <c r="AI13" s="279"/>
    </row>
    <row r="14" spans="1:35" ht="15" customHeight="1" x14ac:dyDescent="0.25">
      <c r="A14" s="290" t="s">
        <v>1240</v>
      </c>
      <c r="B14" s="291" t="str">
        <f ca="1">IFERROR(VLOOKUP(A14,Lookup17,7,FALSE),"")</f>
        <v>Toronto Stadium</v>
      </c>
      <c r="C14" s="273" t="s">
        <v>1267</v>
      </c>
      <c r="D14" s="273" t="s">
        <v>1268</v>
      </c>
      <c r="E14" s="274" t="s">
        <v>342</v>
      </c>
      <c r="F14" s="275"/>
      <c r="G14" s="276"/>
      <c r="H14" s="277"/>
      <c r="I14" s="277"/>
      <c r="J14" s="277"/>
      <c r="K14" s="287"/>
      <c r="L14" s="278"/>
      <c r="M14" s="279"/>
      <c r="N14" s="279"/>
      <c r="O14" s="280"/>
      <c r="P14" s="275" t="str">
        <f>P13&amp;"E"</f>
        <v>101E</v>
      </c>
      <c r="Q14" s="281" t="str">
        <f ca="1">IFERROR(VLOOKUP(P13,Lookup17,2,FALSE),"")</f>
        <v>Canada</v>
      </c>
      <c r="R14" s="282">
        <f ca="1">IFERROR(VLOOKUP(P13,Lookup17,3,FALSE),"")</f>
        <v>0</v>
      </c>
      <c r="S14" s="282" t="str">
        <f ca="1">IFERROR(VLOOKUP(P14,Lookup17,3,FALSE),"")</f>
        <v/>
      </c>
      <c r="T14" s="283" t="str">
        <f ca="1">IFERROR(VLOOKUP(P15,Lookup17,3,FALSE),"")</f>
        <v/>
      </c>
      <c r="U14" s="283"/>
      <c r="V14" s="279"/>
      <c r="W14" s="279"/>
      <c r="X14" s="279"/>
      <c r="Y14" s="279"/>
      <c r="Z14" s="279"/>
      <c r="AA14" s="279"/>
      <c r="AB14" s="279"/>
      <c r="AC14" s="279"/>
      <c r="AD14" s="279"/>
      <c r="AE14" s="279"/>
      <c r="AF14" s="279"/>
      <c r="AG14" s="279"/>
      <c r="AH14" s="279"/>
      <c r="AI14" s="279"/>
    </row>
    <row r="15" spans="1:35" ht="15.75" customHeight="1" x14ac:dyDescent="0.25">
      <c r="A15" s="275" t="str">
        <f>A14&amp;"E"</f>
        <v>83E</v>
      </c>
      <c r="B15" s="281" t="str">
        <f ca="1">IFERROR(VLOOKUP(A14,Lookup17,2,FALSE),"")</f>
        <v>Portugal</v>
      </c>
      <c r="C15" s="282">
        <f ca="1">IFERROR(VLOOKUP(A14,Lookup17,3,FALSE),"")</f>
        <v>3</v>
      </c>
      <c r="D15" s="282" t="str">
        <f ca="1">IFERROR(VLOOKUP(A15,Lookup17,3,FALSE),"")</f>
        <v/>
      </c>
      <c r="E15" s="283" t="str">
        <f ca="1">IFERROR(VLOOKUP(A16,Lookup17,3,FALSE),"")</f>
        <v/>
      </c>
      <c r="F15" s="275"/>
      <c r="G15" s="276"/>
      <c r="H15" s="277"/>
      <c r="I15" s="277"/>
      <c r="J15" s="277"/>
      <c r="K15" s="287"/>
      <c r="L15" s="278"/>
      <c r="M15" s="279"/>
      <c r="N15" s="279"/>
      <c r="O15" s="280"/>
      <c r="P15" s="275" t="str">
        <f>P13&amp;"P"</f>
        <v>101P</v>
      </c>
      <c r="Q15" s="284" t="str">
        <f ca="1">IFERROR(VLOOKUP(P13,Lookup17,6,FALSE),"")</f>
        <v>Spain</v>
      </c>
      <c r="R15" s="282">
        <f ca="1">IFERROR(VLOOKUP(P13,Lookup17,5,FALSE),"")</f>
        <v>4</v>
      </c>
      <c r="S15" s="282" t="str">
        <f ca="1">IFERROR(VLOOKUP(P14,Lookup17,5,FALSE),"")</f>
        <v/>
      </c>
      <c r="T15" s="283" t="str">
        <f ca="1">IFERROR(VLOOKUP(P15,Lookup17,5,FALSE),"")</f>
        <v/>
      </c>
      <c r="U15" s="283"/>
      <c r="V15" s="279"/>
      <c r="W15" s="279"/>
      <c r="X15" s="279"/>
      <c r="Y15" s="279"/>
      <c r="Z15" s="279"/>
      <c r="AA15" s="279"/>
      <c r="AB15" s="279"/>
      <c r="AC15" s="279"/>
      <c r="AD15" s="279"/>
      <c r="AE15" s="279"/>
      <c r="AF15" s="279"/>
      <c r="AG15" s="279"/>
      <c r="AH15" s="279"/>
      <c r="AI15" s="279"/>
    </row>
    <row r="16" spans="1:35" x14ac:dyDescent="0.25">
      <c r="A16" s="275" t="str">
        <f>A14&amp;"P"</f>
        <v>83P</v>
      </c>
      <c r="B16" s="284" t="str">
        <f ca="1">IFERROR(VLOOKUP(A14,Lookup17,6,FALSE),"")</f>
        <v>Croatia</v>
      </c>
      <c r="C16" s="282">
        <f ca="1">IFERROR(VLOOKUP(A14,Lookup17,5,FALSE),"")</f>
        <v>0</v>
      </c>
      <c r="D16" s="282" t="str">
        <f ca="1">IFERROR(VLOOKUP(A15,Lookup17,5,FALSE),"")</f>
        <v/>
      </c>
      <c r="E16" s="283" t="str">
        <f ca="1">IFERROR(VLOOKUP(A16,Lookup17,5,FALSE),"")</f>
        <v/>
      </c>
      <c r="F16" s="290" t="s">
        <v>1253</v>
      </c>
      <c r="G16" s="291" t="str">
        <f ca="1">IFERROR(VLOOKUP(F16,Lookup17,7,FALSE),"")</f>
        <v>Dallas Stadium</v>
      </c>
      <c r="H16" s="273" t="s">
        <v>1267</v>
      </c>
      <c r="I16" s="273" t="s">
        <v>1268</v>
      </c>
      <c r="J16" s="274" t="s">
        <v>342</v>
      </c>
      <c r="K16" s="285"/>
      <c r="L16" s="278"/>
      <c r="M16" s="279"/>
      <c r="N16" s="279"/>
      <c r="O16" s="280"/>
      <c r="P16" s="280"/>
      <c r="Q16" s="278"/>
      <c r="R16" s="278"/>
      <c r="S16" s="279"/>
      <c r="T16" s="279"/>
      <c r="U16" s="279"/>
      <c r="V16" s="279"/>
      <c r="W16" s="279"/>
      <c r="X16" s="279"/>
      <c r="Y16" s="279"/>
      <c r="Z16" s="279"/>
      <c r="AA16" s="279"/>
      <c r="AB16" s="279"/>
      <c r="AC16" s="279"/>
      <c r="AD16" s="279"/>
      <c r="AE16" s="279"/>
      <c r="AF16" s="279"/>
      <c r="AG16" s="279"/>
      <c r="AH16" s="279"/>
      <c r="AI16" s="279"/>
    </row>
    <row r="17" spans="1:35" x14ac:dyDescent="0.25">
      <c r="A17" s="290" t="s">
        <v>1239</v>
      </c>
      <c r="B17" s="291" t="str">
        <f ca="1">IFERROR(VLOOKUP(A17,Lookup17,7,FALSE),"")</f>
        <v>Los Angeles Stadium</v>
      </c>
      <c r="C17" s="273" t="s">
        <v>1267</v>
      </c>
      <c r="D17" s="273" t="s">
        <v>1268</v>
      </c>
      <c r="E17" s="274" t="s">
        <v>342</v>
      </c>
      <c r="F17" s="275" t="str">
        <f>F16&amp;"E"</f>
        <v>93E</v>
      </c>
      <c r="G17" s="281" t="str">
        <f ca="1">IFERROR(VLOOKUP(F16,Lookup17,2,FALSE),"")</f>
        <v>Portugal</v>
      </c>
      <c r="H17" s="282">
        <f ca="1">IFERROR(VLOOKUP(F16,Lookup17,3,FALSE),"")</f>
        <v>0</v>
      </c>
      <c r="I17" s="282" t="str">
        <f ca="1">IFERROR(VLOOKUP(F17,Lookup17,3,FALSE),"")</f>
        <v/>
      </c>
      <c r="J17" s="283" t="str">
        <f ca="1">IFERROR(VLOOKUP(F18,Lookup17,3,FALSE),"")</f>
        <v/>
      </c>
      <c r="K17" s="286"/>
      <c r="L17" s="278"/>
      <c r="M17" s="279"/>
      <c r="N17" s="279"/>
      <c r="O17" s="280"/>
      <c r="P17" s="280"/>
      <c r="Q17" s="278"/>
      <c r="R17" s="278"/>
      <c r="S17" s="279"/>
      <c r="T17" s="279"/>
      <c r="U17" s="279"/>
      <c r="V17" s="279"/>
      <c r="W17" s="279"/>
      <c r="X17" s="279"/>
      <c r="Y17" s="279"/>
      <c r="Z17" s="279"/>
      <c r="AA17" s="279"/>
      <c r="AB17" s="279"/>
      <c r="AC17" s="279"/>
      <c r="AD17" s="279"/>
      <c r="AE17" s="279"/>
      <c r="AF17" s="279"/>
      <c r="AG17" s="279"/>
      <c r="AH17" s="279"/>
      <c r="AI17" s="279"/>
    </row>
    <row r="18" spans="1:35" x14ac:dyDescent="0.25">
      <c r="A18" s="275" t="str">
        <f>A17&amp;"E"</f>
        <v>84E</v>
      </c>
      <c r="B18" s="281" t="str">
        <f ca="1">IFERROR(VLOOKUP(A17,Lookup17,2,FALSE),"")</f>
        <v>Spain</v>
      </c>
      <c r="C18" s="282">
        <f ca="1">IFERROR(VLOOKUP(A17,Lookup17,3,FALSE),"")</f>
        <v>3</v>
      </c>
      <c r="D18" s="282" t="str">
        <f ca="1">IFERROR(VLOOKUP(A18,Lookup17,3,FALSE),"")</f>
        <v/>
      </c>
      <c r="E18" s="283" t="str">
        <f ca="1">IFERROR(VLOOKUP(A19,Lookup17,3,FALSE),"")</f>
        <v/>
      </c>
      <c r="F18" s="275" t="str">
        <f>F16&amp;"P"</f>
        <v>93P</v>
      </c>
      <c r="G18" s="284" t="str">
        <f ca="1">IFERROR(VLOOKUP(F16,Lookup17,6,FALSE),"")</f>
        <v>Spain</v>
      </c>
      <c r="H18" s="282">
        <f ca="1">IFERROR(VLOOKUP(F16,Lookup17,5,FALSE),"")</f>
        <v>2</v>
      </c>
      <c r="I18" s="282" t="str">
        <f ca="1">IFERROR(VLOOKUP(F17,Lookup17,5,FALSE),"")</f>
        <v/>
      </c>
      <c r="J18" s="283" t="str">
        <f ca="1">IFERROR(VLOOKUP(F18,Lookup17,5,FALSE),"")</f>
        <v/>
      </c>
      <c r="K18" s="286"/>
      <c r="L18" s="278"/>
      <c r="M18" s="279"/>
      <c r="N18" s="279"/>
      <c r="O18" s="280"/>
      <c r="P18" s="280"/>
      <c r="Q18" s="278"/>
      <c r="R18" s="278"/>
      <c r="S18" s="279"/>
      <c r="T18" s="279"/>
      <c r="U18" s="279"/>
      <c r="AB18" s="279"/>
      <c r="AC18" s="279"/>
      <c r="AD18" s="279"/>
      <c r="AE18" s="279"/>
      <c r="AF18" s="279"/>
      <c r="AG18" s="279"/>
      <c r="AH18" s="279"/>
      <c r="AI18" s="279"/>
    </row>
    <row r="19" spans="1:35" x14ac:dyDescent="0.25">
      <c r="A19" s="275" t="str">
        <f>A17&amp;"P"</f>
        <v>84P</v>
      </c>
      <c r="B19" s="284" t="str">
        <f ca="1">IFERROR(VLOOKUP(A17,Lookup17,6,FALSE),"")</f>
        <v>Austria</v>
      </c>
      <c r="C19" s="282">
        <f ca="1">IFERROR(VLOOKUP(A17,Lookup17,5,FALSE),"")</f>
        <v>0</v>
      </c>
      <c r="D19" s="282" t="str">
        <f ca="1">IFERROR(VLOOKUP(A18,Lookup17,5,FALSE),"")</f>
        <v/>
      </c>
      <c r="E19" s="283" t="str">
        <f ca="1">IFERROR(VLOOKUP(A19,Lookup17,5,FALSE),"")</f>
        <v/>
      </c>
      <c r="F19" s="275"/>
      <c r="G19" s="276"/>
      <c r="H19" s="277"/>
      <c r="I19" s="277"/>
      <c r="J19" s="277"/>
      <c r="K19" s="290" t="s">
        <v>1263</v>
      </c>
      <c r="L19" s="291" t="str">
        <f ca="1">IFERROR(VLOOKUP(K19,Lookup17,7,FALSE),"")</f>
        <v>Los Angeles Stadium</v>
      </c>
      <c r="M19" s="273" t="s">
        <v>1267</v>
      </c>
      <c r="N19" s="273" t="s">
        <v>1268</v>
      </c>
      <c r="O19" s="274" t="s">
        <v>342</v>
      </c>
      <c r="P19" s="288"/>
      <c r="Q19" s="278"/>
      <c r="R19" s="278"/>
      <c r="S19" s="279"/>
      <c r="T19" s="279"/>
      <c r="U19" s="279"/>
      <c r="AB19" s="279"/>
      <c r="AC19" s="279"/>
      <c r="AD19" s="279"/>
      <c r="AE19" s="279"/>
      <c r="AF19" s="279"/>
      <c r="AG19" s="279"/>
      <c r="AH19" s="279"/>
      <c r="AI19" s="279"/>
    </row>
    <row r="20" spans="1:35" x14ac:dyDescent="0.25">
      <c r="A20" s="290" t="s">
        <v>1238</v>
      </c>
      <c r="B20" s="291" t="str">
        <f ca="1">IFERROR(VLOOKUP(A20,Lookup17,7,FALSE),"")</f>
        <v>San Franciso Bay Stadium</v>
      </c>
      <c r="C20" s="273" t="s">
        <v>1267</v>
      </c>
      <c r="D20" s="273" t="s">
        <v>1268</v>
      </c>
      <c r="E20" s="274" t="s">
        <v>342</v>
      </c>
      <c r="F20" s="275"/>
      <c r="G20" s="276"/>
      <c r="H20" s="277"/>
      <c r="I20" s="277"/>
      <c r="J20" s="277"/>
      <c r="K20" s="275" t="str">
        <f>K19&amp;"E"</f>
        <v>98E</v>
      </c>
      <c r="L20" s="281" t="str">
        <f ca="1">IFERROR(VLOOKUP(K19,Lookup17,2,FALSE),"")</f>
        <v>Spain</v>
      </c>
      <c r="M20" s="282">
        <f ca="1">IFERROR(VLOOKUP(K19,Lookup17,3,FALSE),"")</f>
        <v>1</v>
      </c>
      <c r="N20" s="282" t="str">
        <f ca="1">IFERROR(VLOOKUP(K20,Lookup17,3,FALSE),"")</f>
        <v/>
      </c>
      <c r="O20" s="283" t="str">
        <f ca="1">IFERROR(VLOOKUP(K21,Lookup17,3,FALSE),"")</f>
        <v/>
      </c>
      <c r="P20" s="289"/>
      <c r="Q20" s="278"/>
      <c r="R20" s="278"/>
      <c r="S20" s="279"/>
      <c r="T20" s="279"/>
      <c r="U20" s="279"/>
      <c r="AB20" s="279"/>
      <c r="AC20" s="279"/>
      <c r="AD20" s="279"/>
      <c r="AE20" s="279"/>
      <c r="AF20" s="279"/>
      <c r="AG20" s="279"/>
      <c r="AH20" s="279"/>
      <c r="AI20" s="279"/>
    </row>
    <row r="21" spans="1:35" x14ac:dyDescent="0.25">
      <c r="A21" s="275" t="str">
        <f>A20&amp;"E"</f>
        <v>81E</v>
      </c>
      <c r="B21" s="281" t="str">
        <f ca="1">IFERROR(VLOOKUP(A20,Lookup17,2,FALSE),"")</f>
        <v>USA</v>
      </c>
      <c r="C21" s="282">
        <f ca="1">IFERROR(VLOOKUP(A20,Lookup17,3,FALSE),"")</f>
        <v>2</v>
      </c>
      <c r="D21" s="282" t="str">
        <f ca="1">IFERROR(VLOOKUP(A21,Lookup17,3,FALSE),"")</f>
        <v/>
      </c>
      <c r="E21" s="283" t="str">
        <f ca="1">IFERROR(VLOOKUP(A22,Lookup17,3,FALSE),"")</f>
        <v/>
      </c>
      <c r="F21" s="275"/>
      <c r="G21" s="276"/>
      <c r="H21" s="277"/>
      <c r="I21" s="277"/>
      <c r="J21" s="277"/>
      <c r="K21" s="275" t="str">
        <f>K19&amp;"P"</f>
        <v>98P</v>
      </c>
      <c r="L21" s="284" t="str">
        <f ca="1">IFERROR(VLOOKUP(K19,Lookup17,6,FALSE),"")</f>
        <v>USA</v>
      </c>
      <c r="M21" s="282">
        <f ca="1">IFERROR(VLOOKUP(K19,Lookup17,5,FALSE),"")</f>
        <v>0</v>
      </c>
      <c r="N21" s="282" t="str">
        <f ca="1">IFERROR(VLOOKUP(K20,Lookup17,5,FALSE),"")</f>
        <v/>
      </c>
      <c r="O21" s="283" t="str">
        <f ca="1">IFERROR(VLOOKUP(K21,Lookup17,5,FALSE),"")</f>
        <v/>
      </c>
      <c r="P21" s="289"/>
      <c r="Q21" s="278"/>
      <c r="R21" s="278"/>
      <c r="S21" s="279"/>
      <c r="T21" s="279"/>
      <c r="U21" s="279"/>
      <c r="V21" s="279"/>
      <c r="W21" s="279"/>
      <c r="X21" s="279"/>
      <c r="Y21" s="279"/>
      <c r="Z21" s="279"/>
      <c r="AA21" s="279"/>
      <c r="AB21" s="279"/>
      <c r="AC21" s="279"/>
      <c r="AD21" s="279"/>
      <c r="AE21" s="279"/>
      <c r="AF21" s="279"/>
      <c r="AG21" s="279"/>
      <c r="AH21" s="279"/>
      <c r="AI21" s="279"/>
    </row>
    <row r="22" spans="1:35" x14ac:dyDescent="0.25">
      <c r="A22" s="275" t="str">
        <f>A20&amp;"P"</f>
        <v>81P</v>
      </c>
      <c r="B22" s="284" t="str">
        <f ca="1">IFERROR(VLOOKUP(A20,Lookup17,6,FALSE),"")</f>
        <v>Ecuador</v>
      </c>
      <c r="C22" s="282">
        <f ca="1">IFERROR(VLOOKUP(A20,Lookup17,5,FALSE),"")</f>
        <v>1</v>
      </c>
      <c r="D22" s="282" t="str">
        <f ca="1">IFERROR(VLOOKUP(A21,Lookup17,5,FALSE),"")</f>
        <v/>
      </c>
      <c r="E22" s="283" t="str">
        <f ca="1">IFERROR(VLOOKUP(A22,Lookup17,5,FALSE),"")</f>
        <v/>
      </c>
      <c r="F22" s="290" t="s">
        <v>1254</v>
      </c>
      <c r="G22" s="291" t="str">
        <f ca="1">IFERROR(VLOOKUP(F22,Lookup17,7,FALSE),"")</f>
        <v>Seattle Stadium</v>
      </c>
      <c r="H22" s="273" t="s">
        <v>1267</v>
      </c>
      <c r="I22" s="273" t="s">
        <v>1268</v>
      </c>
      <c r="J22" s="274" t="s">
        <v>342</v>
      </c>
      <c r="K22" s="285"/>
      <c r="L22" s="278"/>
      <c r="M22" s="279"/>
      <c r="N22" s="279"/>
      <c r="O22" s="280"/>
      <c r="P22" s="280"/>
      <c r="Q22" s="278"/>
      <c r="R22" s="278"/>
      <c r="S22" s="279"/>
      <c r="T22" s="279"/>
      <c r="U22" s="279"/>
      <c r="V22" s="279"/>
      <c r="W22" s="279"/>
      <c r="X22" s="279"/>
      <c r="Y22" s="279"/>
      <c r="Z22" s="279"/>
      <c r="AA22" s="279"/>
      <c r="AB22" s="279"/>
      <c r="AC22" s="279"/>
      <c r="AD22" s="279"/>
      <c r="AE22" s="279"/>
      <c r="AF22" s="279"/>
      <c r="AG22" s="279"/>
      <c r="AH22" s="279"/>
      <c r="AI22" s="279"/>
    </row>
    <row r="23" spans="1:35" x14ac:dyDescent="0.25">
      <c r="A23" s="290" t="s">
        <v>1237</v>
      </c>
      <c r="B23" s="291" t="str">
        <f ca="1">IFERROR(VLOOKUP(A23,Lookup17,7,FALSE),"")</f>
        <v>Seattle Stadium</v>
      </c>
      <c r="C23" s="273" t="s">
        <v>1267</v>
      </c>
      <c r="D23" s="273" t="s">
        <v>1268</v>
      </c>
      <c r="E23" s="274" t="s">
        <v>342</v>
      </c>
      <c r="F23" s="275" t="str">
        <f>F22&amp;"E"</f>
        <v>94E</v>
      </c>
      <c r="G23" s="281" t="str">
        <f ca="1">IFERROR(VLOOKUP(F22,Lookup17,2,FALSE),"")</f>
        <v>USA</v>
      </c>
      <c r="H23" s="282">
        <f ca="1">IFERROR(VLOOKUP(F22,Lookup17,3,FALSE),"")</f>
        <v>2</v>
      </c>
      <c r="I23" s="282" t="str">
        <f ca="1">IFERROR(VLOOKUP(F23,Lookup17,3,FALSE),"")</f>
        <v/>
      </c>
      <c r="J23" s="283" t="str">
        <f ca="1">IFERROR(VLOOKUP(F24,Lookup17,3,FALSE),"")</f>
        <v/>
      </c>
      <c r="K23" s="286"/>
      <c r="L23" s="278"/>
      <c r="M23" s="279"/>
      <c r="N23" s="279"/>
      <c r="O23" s="280"/>
      <c r="P23" s="280"/>
      <c r="Q23" s="278"/>
      <c r="R23" s="278"/>
      <c r="S23" s="279"/>
      <c r="T23" s="279"/>
      <c r="U23" s="279"/>
      <c r="V23" s="279"/>
      <c r="W23" s="279"/>
      <c r="X23" s="279"/>
      <c r="Y23" s="279"/>
      <c r="Z23" s="279"/>
      <c r="AA23" s="279"/>
      <c r="AB23" s="279"/>
      <c r="AC23" s="279"/>
      <c r="AD23" s="279"/>
      <c r="AE23" s="279"/>
      <c r="AF23" s="279"/>
      <c r="AG23" s="279"/>
      <c r="AH23" s="279"/>
      <c r="AI23" s="279"/>
    </row>
    <row r="24" spans="1:35" x14ac:dyDescent="0.25">
      <c r="A24" s="275" t="str">
        <f>A23&amp;"E"</f>
        <v>82E</v>
      </c>
      <c r="B24" s="281" t="str">
        <f ca="1">IFERROR(VLOOKUP(A23,Lookup17,2,FALSE),"")</f>
        <v>Egypt</v>
      </c>
      <c r="C24" s="282">
        <f ca="1">IFERROR(VLOOKUP(A23,Lookup17,3,FALSE),"")</f>
        <v>0</v>
      </c>
      <c r="D24" s="282" t="str">
        <f ca="1">IFERROR(VLOOKUP(A24,Lookup17,3,FALSE),"")</f>
        <v/>
      </c>
      <c r="E24" s="283" t="str">
        <f ca="1">IFERROR(VLOOKUP(A25,Lookup17,3,FALSE),"")</f>
        <v/>
      </c>
      <c r="F24" s="275" t="str">
        <f>F22&amp;"P"</f>
        <v>94P</v>
      </c>
      <c r="G24" s="284" t="str">
        <f ca="1">IFERROR(VLOOKUP(F22,Lookup17,6,FALSE),"")</f>
        <v>South Africa</v>
      </c>
      <c r="H24" s="282">
        <f ca="1">IFERROR(VLOOKUP(F22,Lookup17,5,FALSE),"")</f>
        <v>1</v>
      </c>
      <c r="I24" s="282" t="str">
        <f ca="1">IFERROR(VLOOKUP(F23,Lookup17,5,FALSE),"")</f>
        <v/>
      </c>
      <c r="J24" s="283" t="str">
        <f ca="1">IFERROR(VLOOKUP(F24,Lookup17,5,FALSE),"")</f>
        <v/>
      </c>
      <c r="K24" s="286"/>
      <c r="L24" s="278"/>
      <c r="M24" s="279"/>
      <c r="N24" s="279"/>
      <c r="O24" s="280"/>
      <c r="P24" s="280"/>
      <c r="Q24" s="278"/>
      <c r="R24" s="278"/>
      <c r="S24" s="279"/>
      <c r="T24" s="279"/>
      <c r="U24" s="279"/>
      <c r="V24" s="279"/>
      <c r="W24" s="279"/>
      <c r="X24" s="279"/>
      <c r="Y24" s="279"/>
      <c r="Z24" s="279"/>
      <c r="AA24" s="279"/>
      <c r="AB24" s="279"/>
      <c r="AC24" s="279"/>
      <c r="AD24" s="279"/>
      <c r="AE24" s="279"/>
      <c r="AF24" s="279"/>
      <c r="AG24" s="279"/>
      <c r="AH24" s="279"/>
      <c r="AI24" s="279"/>
    </row>
    <row r="25" spans="1:35" ht="15.75" customHeight="1" x14ac:dyDescent="0.25">
      <c r="A25" s="275" t="str">
        <f>A23&amp;"P"</f>
        <v>82P</v>
      </c>
      <c r="B25" s="284" t="str">
        <f ca="1">IFERROR(VLOOKUP(A23,Lookup17,6,FALSE),"")</f>
        <v>South Africa</v>
      </c>
      <c r="C25" s="282">
        <f ca="1">IFERROR(VLOOKUP(A23,Lookup17,5,FALSE),"")</f>
        <v>1</v>
      </c>
      <c r="D25" s="282" t="str">
        <f ca="1">IFERROR(VLOOKUP(A24,Lookup17,5,FALSE),"")</f>
        <v/>
      </c>
      <c r="E25" s="283" t="str">
        <f ca="1">IFERROR(VLOOKUP(A25,Lookup17,5,FALSE),"")</f>
        <v/>
      </c>
      <c r="F25" s="275"/>
      <c r="G25" s="276"/>
      <c r="H25" s="277"/>
      <c r="I25" s="277"/>
      <c r="J25" s="277"/>
      <c r="K25" s="277"/>
      <c r="L25" s="278"/>
      <c r="M25" s="279"/>
      <c r="N25" s="279"/>
      <c r="O25" s="280"/>
      <c r="P25" s="280"/>
      <c r="Q25" s="278"/>
      <c r="R25" s="278"/>
      <c r="S25" s="279"/>
      <c r="T25" s="279"/>
      <c r="U25" s="279"/>
      <c r="V25" s="290" t="s">
        <v>1260</v>
      </c>
      <c r="W25" s="291" t="str">
        <f ca="1">IFERROR(VLOOKUP(V25,Lookup17,7,FALSE),"")</f>
        <v>MetLife Stadium</v>
      </c>
      <c r="X25" s="273" t="s">
        <v>1267</v>
      </c>
      <c r="Y25" s="273" t="s">
        <v>1268</v>
      </c>
      <c r="Z25" s="274" t="s">
        <v>342</v>
      </c>
      <c r="AA25" s="274"/>
      <c r="AB25" s="279"/>
      <c r="AC25" s="690" t="str">
        <f ca="1">Forecast!E199</f>
        <v>Spain</v>
      </c>
      <c r="AD25" s="691"/>
      <c r="AE25" s="691"/>
      <c r="AF25" s="691"/>
      <c r="AG25" s="691"/>
      <c r="AH25" s="691"/>
      <c r="AI25" s="692"/>
    </row>
    <row r="26" spans="1:35" ht="15.75" customHeight="1" x14ac:dyDescent="0.25">
      <c r="A26" s="290" t="s">
        <v>1231</v>
      </c>
      <c r="B26" s="291" t="str">
        <f ca="1">IFERROR(VLOOKUP(A26,Lookup17,7,FALSE),"")</f>
        <v>Houston Stadium</v>
      </c>
      <c r="C26" s="273" t="s">
        <v>1267</v>
      </c>
      <c r="D26" s="273" t="s">
        <v>1268</v>
      </c>
      <c r="E26" s="274" t="s">
        <v>342</v>
      </c>
      <c r="F26" s="275"/>
      <c r="G26" s="276"/>
      <c r="H26" s="277"/>
      <c r="I26" s="277"/>
      <c r="J26" s="277"/>
      <c r="K26" s="277"/>
      <c r="L26" s="278"/>
      <c r="M26" s="279"/>
      <c r="N26" s="279"/>
      <c r="O26" s="280"/>
      <c r="P26" s="280"/>
      <c r="Q26" s="278"/>
      <c r="R26" s="278"/>
      <c r="S26" s="279"/>
      <c r="T26" s="279"/>
      <c r="U26" s="279"/>
      <c r="V26" s="275" t="str">
        <f>V25&amp;"E"</f>
        <v>104E</v>
      </c>
      <c r="W26" s="281" t="str">
        <f ca="1">IFERROR(VLOOKUP(V25,Lookup17,2,FALSE),"")</f>
        <v>Spain</v>
      </c>
      <c r="X26" s="282">
        <f ca="1">IFERROR(VLOOKUP(V25,Lookup17,3,FALSE),"")</f>
        <v>2</v>
      </c>
      <c r="Y26" s="282" t="str">
        <f ca="1">IFERROR(VLOOKUP(V26,Lookup17,3,FALSE),"")</f>
        <v/>
      </c>
      <c r="Z26" s="283" t="str">
        <f ca="1">IFERROR(VLOOKUP(V27,Lookup17,3,FALSE),"")</f>
        <v/>
      </c>
      <c r="AA26" s="283"/>
      <c r="AB26" s="279"/>
      <c r="AC26" s="693"/>
      <c r="AD26" s="694"/>
      <c r="AE26" s="694"/>
      <c r="AF26" s="694"/>
      <c r="AG26" s="694"/>
      <c r="AH26" s="694"/>
      <c r="AI26" s="695"/>
    </row>
    <row r="27" spans="1:35" x14ac:dyDescent="0.25">
      <c r="A27" s="275" t="str">
        <f>A26&amp;"E"</f>
        <v>76E</v>
      </c>
      <c r="B27" s="281" t="str">
        <f ca="1">IFERROR(VLOOKUP(A26,Lookup17,2,FALSE),"")</f>
        <v>Morocco</v>
      </c>
      <c r="C27" s="282">
        <f ca="1">IFERROR(VLOOKUP(A26,Lookup17,3,FALSE),"")</f>
        <v>3</v>
      </c>
      <c r="D27" s="282" t="str">
        <f ca="1">IFERROR(VLOOKUP(A27,Lookup17,3,FALSE),"")</f>
        <v/>
      </c>
      <c r="E27" s="283" t="str">
        <f ca="1">IFERROR(VLOOKUP(A28,Lookup17,3,FALSE),"")</f>
        <v/>
      </c>
      <c r="F27" s="275"/>
      <c r="G27" s="276"/>
      <c r="H27" s="277"/>
      <c r="I27" s="277"/>
      <c r="J27" s="277"/>
      <c r="K27" s="277"/>
      <c r="L27" s="278"/>
      <c r="M27" s="279"/>
      <c r="N27" s="279"/>
      <c r="O27" s="280"/>
      <c r="P27" s="280"/>
      <c r="Q27" s="278"/>
      <c r="R27" s="278"/>
      <c r="S27" s="279"/>
      <c r="T27" s="279"/>
      <c r="U27" s="279"/>
      <c r="V27" s="275" t="str">
        <f>V25&amp;"P"</f>
        <v>104P</v>
      </c>
      <c r="W27" s="284" t="str">
        <f ca="1">IFERROR(VLOOKUP(V25,Lookup17,6,FALSE),"")</f>
        <v>Argentina</v>
      </c>
      <c r="X27" s="282">
        <f ca="1">IFERROR(VLOOKUP(V25,Lookup17,5,FALSE),"")</f>
        <v>1</v>
      </c>
      <c r="Y27" s="282" t="str">
        <f ca="1">IFERROR(VLOOKUP(V26,Lookup17,5,FALSE),"")</f>
        <v/>
      </c>
      <c r="Z27" s="283" t="str">
        <f ca="1">IFERROR(VLOOKUP(V27,Lookup17,5,FALSE),"")</f>
        <v/>
      </c>
      <c r="AA27" s="283"/>
      <c r="AB27" s="279"/>
      <c r="AC27" s="696"/>
      <c r="AD27" s="697"/>
      <c r="AE27" s="697"/>
      <c r="AF27" s="697"/>
      <c r="AG27" s="697"/>
      <c r="AH27" s="697"/>
      <c r="AI27" s="698"/>
    </row>
    <row r="28" spans="1:35" x14ac:dyDescent="0.25">
      <c r="A28" s="275" t="str">
        <f>A26&amp;"P"</f>
        <v>76P</v>
      </c>
      <c r="B28" s="284" t="str">
        <f ca="1">IFERROR(VLOOKUP(A26,Lookup17,6,FALSE),"")</f>
        <v>Japan</v>
      </c>
      <c r="C28" s="282">
        <f ca="1">IFERROR(VLOOKUP(A26,Lookup17,5,FALSE),"")</f>
        <v>0</v>
      </c>
      <c r="D28" s="282" t="str">
        <f ca="1">IFERROR(VLOOKUP(A27,Lookup17,5,FALSE),"")</f>
        <v/>
      </c>
      <c r="E28" s="283" t="str">
        <f ca="1">IFERROR(VLOOKUP(A28,Lookup17,5,FALSE),"")</f>
        <v/>
      </c>
      <c r="F28" s="290" t="s">
        <v>1251</v>
      </c>
      <c r="G28" s="291" t="str">
        <f ca="1">IFERROR(VLOOKUP(F28,Lookup17,7,FALSE),"")</f>
        <v>MetLife Stadium</v>
      </c>
      <c r="H28" s="273" t="s">
        <v>1267</v>
      </c>
      <c r="I28" s="273" t="s">
        <v>1268</v>
      </c>
      <c r="J28" s="274" t="s">
        <v>342</v>
      </c>
      <c r="K28" s="285"/>
      <c r="L28" s="278"/>
      <c r="M28" s="279"/>
      <c r="N28" s="279"/>
      <c r="O28" s="280"/>
      <c r="P28" s="280"/>
      <c r="Q28" s="278"/>
      <c r="R28" s="278"/>
      <c r="S28" s="279"/>
      <c r="T28" s="279"/>
      <c r="U28" s="279"/>
      <c r="V28" s="279"/>
      <c r="W28" s="279"/>
      <c r="X28" s="279"/>
      <c r="Y28" s="279"/>
      <c r="Z28" s="279"/>
      <c r="AA28" s="279"/>
      <c r="AB28" s="279"/>
      <c r="AC28" s="279"/>
      <c r="AD28" s="279"/>
      <c r="AE28" s="279"/>
      <c r="AF28" s="279"/>
      <c r="AG28" s="279"/>
      <c r="AH28" s="279"/>
      <c r="AI28" s="279"/>
    </row>
    <row r="29" spans="1:35" x14ac:dyDescent="0.25">
      <c r="A29" s="290" t="s">
        <v>1233</v>
      </c>
      <c r="B29" s="291" t="str">
        <f ca="1">IFERROR(VLOOKUP(A29,Lookup17,7,FALSE),"")</f>
        <v>Dallas Stadium</v>
      </c>
      <c r="C29" s="273" t="s">
        <v>1267</v>
      </c>
      <c r="D29" s="273" t="s">
        <v>1268</v>
      </c>
      <c r="E29" s="274" t="s">
        <v>342</v>
      </c>
      <c r="F29" s="275" t="str">
        <f>F28&amp;"E"</f>
        <v>91E</v>
      </c>
      <c r="G29" s="281" t="str">
        <f ca="1">IFERROR(VLOOKUP(F28,Lookup17,2,FALSE),"")</f>
        <v>Morocco</v>
      </c>
      <c r="H29" s="282">
        <f ca="1">IFERROR(VLOOKUP(F28,Lookup17,3,FALSE),"")</f>
        <v>2</v>
      </c>
      <c r="I29" s="282" t="str">
        <f ca="1">IFERROR(VLOOKUP(F29,Lookup17,3,FALSE),"")</f>
        <v/>
      </c>
      <c r="J29" s="283" t="str">
        <f ca="1">IFERROR(VLOOKUP(F30,Lookup17,3,FALSE),"")</f>
        <v/>
      </c>
      <c r="K29" s="286"/>
      <c r="L29" s="278"/>
      <c r="M29" s="279"/>
      <c r="N29" s="279"/>
      <c r="O29" s="280"/>
      <c r="P29" s="280"/>
      <c r="Q29" s="278"/>
      <c r="R29" s="278"/>
      <c r="S29" s="279"/>
      <c r="T29" s="279"/>
      <c r="U29" s="279"/>
      <c r="V29" s="279"/>
      <c r="W29" s="279"/>
      <c r="X29" s="279"/>
      <c r="Y29" s="279"/>
      <c r="Z29" s="279"/>
      <c r="AA29" s="279"/>
      <c r="AB29" s="279"/>
      <c r="AC29" s="279"/>
      <c r="AD29" s="279"/>
      <c r="AE29" s="279"/>
      <c r="AF29" s="279"/>
      <c r="AG29" s="279"/>
      <c r="AH29" s="279"/>
      <c r="AI29" s="279"/>
    </row>
    <row r="30" spans="1:35" x14ac:dyDescent="0.25">
      <c r="A30" s="275" t="str">
        <f>A29&amp;"E"</f>
        <v>78E</v>
      </c>
      <c r="B30" s="281" t="str">
        <f ca="1">IFERROR(VLOOKUP(A29,Lookup17,2,FALSE),"")</f>
        <v>Germany</v>
      </c>
      <c r="C30" s="282">
        <f ca="1">IFERROR(VLOOKUP(A29,Lookup17,3,FALSE),"")</f>
        <v>0</v>
      </c>
      <c r="D30" s="282">
        <f ca="1">IFERROR(VLOOKUP(A30,Lookup17,3,FALSE),"")</f>
        <v>0</v>
      </c>
      <c r="E30" s="283" t="str">
        <f ca="1">IFERROR(VLOOKUP(A31,Lookup17,3,FALSE),"")</f>
        <v/>
      </c>
      <c r="F30" s="275" t="str">
        <f>F28&amp;"P"</f>
        <v>91P</v>
      </c>
      <c r="G30" s="284" t="str">
        <f ca="1">IFERROR(VLOOKUP(F28,Lookup17,6,FALSE),"")</f>
        <v>France</v>
      </c>
      <c r="H30" s="282">
        <f ca="1">IFERROR(VLOOKUP(F28,Lookup17,5,FALSE),"")</f>
        <v>1</v>
      </c>
      <c r="I30" s="282" t="str">
        <f ca="1">IFERROR(VLOOKUP(F29,Lookup17,5,FALSE),"")</f>
        <v/>
      </c>
      <c r="J30" s="283" t="str">
        <f ca="1">IFERROR(VLOOKUP(F30,Lookup17,5,FALSE),"")</f>
        <v/>
      </c>
      <c r="K30" s="286"/>
      <c r="L30" s="278"/>
      <c r="M30" s="279"/>
      <c r="N30" s="279"/>
      <c r="O30" s="280"/>
      <c r="P30" s="280"/>
      <c r="Q30" s="278"/>
      <c r="R30" s="278"/>
      <c r="S30" s="279"/>
      <c r="T30" s="279"/>
      <c r="U30" s="279"/>
      <c r="V30" s="279"/>
      <c r="W30" s="279"/>
      <c r="X30" s="279"/>
      <c r="Y30" s="279"/>
      <c r="Z30" s="279"/>
      <c r="AA30" s="279"/>
      <c r="AB30" s="279"/>
      <c r="AC30" s="279"/>
      <c r="AD30" s="279"/>
      <c r="AE30" s="279"/>
      <c r="AF30" s="279"/>
      <c r="AG30" s="279"/>
      <c r="AH30" s="279"/>
      <c r="AI30" s="279"/>
    </row>
    <row r="31" spans="1:35" x14ac:dyDescent="0.25">
      <c r="A31" s="275" t="str">
        <f>A29&amp;"P"</f>
        <v>78P</v>
      </c>
      <c r="B31" s="284" t="str">
        <f ca="1">IFERROR(VLOOKUP(A29,Lookup17,6,FALSE),"")</f>
        <v>France</v>
      </c>
      <c r="C31" s="282">
        <f ca="1">IFERROR(VLOOKUP(A29,Lookup17,5,FALSE),"")</f>
        <v>0</v>
      </c>
      <c r="D31" s="282">
        <f ca="1">IFERROR(VLOOKUP(A30,Lookup17,5,FALSE),"")</f>
        <v>1</v>
      </c>
      <c r="E31" s="283" t="str">
        <f ca="1">IFERROR(VLOOKUP(A31,Lookup17,5,FALSE),"")</f>
        <v/>
      </c>
      <c r="F31" s="275"/>
      <c r="G31" s="276"/>
      <c r="H31" s="277"/>
      <c r="I31" s="277"/>
      <c r="J31" s="277"/>
      <c r="K31" s="290" t="s">
        <v>1264</v>
      </c>
      <c r="L31" s="291" t="str">
        <f ca="1">IFERROR(VLOOKUP(K31,Lookup17,7,FALSE),"")</f>
        <v>Miami Stadium</v>
      </c>
      <c r="M31" s="273" t="s">
        <v>1267</v>
      </c>
      <c r="N31" s="273" t="s">
        <v>1268</v>
      </c>
      <c r="O31" s="274" t="s">
        <v>342</v>
      </c>
      <c r="P31" s="288"/>
      <c r="Q31" s="278"/>
      <c r="R31" s="278"/>
      <c r="S31" s="279"/>
      <c r="T31" s="279"/>
      <c r="U31" s="279"/>
      <c r="V31" s="279"/>
      <c r="W31" s="279"/>
      <c r="X31" s="279"/>
      <c r="Y31" s="279"/>
      <c r="Z31" s="279"/>
      <c r="AA31" s="279"/>
      <c r="AB31" s="279"/>
      <c r="AC31" s="279"/>
      <c r="AD31" s="279"/>
      <c r="AE31" s="279"/>
      <c r="AF31" s="279"/>
      <c r="AG31" s="279"/>
      <c r="AH31" s="279"/>
      <c r="AI31" s="279"/>
    </row>
    <row r="32" spans="1:35" x14ac:dyDescent="0.25">
      <c r="A32" s="290" t="s">
        <v>1235</v>
      </c>
      <c r="B32" s="291" t="str">
        <f ca="1">IFERROR(VLOOKUP(A32,Lookup17,7,FALSE),"")</f>
        <v>Mexico City Stadium</v>
      </c>
      <c r="C32" s="273" t="s">
        <v>1267</v>
      </c>
      <c r="D32" s="273" t="s">
        <v>1268</v>
      </c>
      <c r="E32" s="274" t="s">
        <v>342</v>
      </c>
      <c r="F32" s="275"/>
      <c r="G32" s="276"/>
      <c r="H32" s="277"/>
      <c r="I32" s="277"/>
      <c r="J32" s="277"/>
      <c r="K32" s="275" t="str">
        <f>K31&amp;"E"</f>
        <v>99E</v>
      </c>
      <c r="L32" s="281" t="str">
        <f ca="1">IFERROR(VLOOKUP(K31,Lookup17,2,FALSE),"")</f>
        <v>Morocco</v>
      </c>
      <c r="M32" s="282">
        <f ca="1">IFERROR(VLOOKUP(K31,Lookup17,3,FALSE),"")</f>
        <v>2</v>
      </c>
      <c r="N32" s="282" t="str">
        <f ca="1">IFERROR(VLOOKUP(K32,Lookup17,3,FALSE),"")</f>
        <v/>
      </c>
      <c r="O32" s="283" t="str">
        <f ca="1">IFERROR(VLOOKUP(K33,Lookup17,3,FALSE),"")</f>
        <v/>
      </c>
      <c r="P32" s="289"/>
      <c r="Q32" s="278"/>
      <c r="R32" s="278"/>
      <c r="S32" s="279"/>
      <c r="T32" s="279"/>
      <c r="U32" s="279"/>
      <c r="V32" s="279"/>
      <c r="W32" s="279"/>
      <c r="X32" s="279"/>
      <c r="Y32" s="279"/>
      <c r="Z32" s="279"/>
      <c r="AA32" s="279"/>
      <c r="AB32" s="279"/>
      <c r="AC32" s="279"/>
      <c r="AD32" s="279"/>
      <c r="AE32" s="279"/>
      <c r="AF32" s="279"/>
      <c r="AG32" s="279"/>
      <c r="AH32" s="279"/>
      <c r="AI32" s="279"/>
    </row>
    <row r="33" spans="1:35" x14ac:dyDescent="0.25">
      <c r="A33" s="275" t="str">
        <f>A32&amp;"E"</f>
        <v>79E</v>
      </c>
      <c r="B33" s="281" t="str">
        <f ca="1">IFERROR(VLOOKUP(A32,Lookup17,2,FALSE),"")</f>
        <v>Korea Republic</v>
      </c>
      <c r="C33" s="282">
        <f ca="1">IFERROR(VLOOKUP(A32,Lookup17,3,FALSE),"")</f>
        <v>1</v>
      </c>
      <c r="D33" s="282" t="str">
        <f ca="1">IFERROR(VLOOKUP(A33,Lookup17,3,FALSE),"")</f>
        <v/>
      </c>
      <c r="E33" s="283" t="str">
        <f ca="1">IFERROR(VLOOKUP(A34,Lookup17,3,FALSE),"")</f>
        <v/>
      </c>
      <c r="F33" s="275"/>
      <c r="G33" s="276"/>
      <c r="H33" s="277"/>
      <c r="I33" s="277"/>
      <c r="J33" s="277"/>
      <c r="K33" s="275" t="str">
        <f>K31&amp;"P"</f>
        <v>99P</v>
      </c>
      <c r="L33" s="284" t="str">
        <f ca="1">IFERROR(VLOOKUP(K31,Lookup17,6,FALSE),"")</f>
        <v>England</v>
      </c>
      <c r="M33" s="282">
        <f ca="1">IFERROR(VLOOKUP(K31,Lookup17,5,FALSE),"")</f>
        <v>1</v>
      </c>
      <c r="N33" s="282" t="str">
        <f ca="1">IFERROR(VLOOKUP(K32,Lookup17,5,FALSE),"")</f>
        <v/>
      </c>
      <c r="O33" s="283" t="str">
        <f ca="1">IFERROR(VLOOKUP(K33,Lookup17,5,FALSE),"")</f>
        <v/>
      </c>
      <c r="P33" s="289"/>
      <c r="Q33" s="278"/>
      <c r="R33" s="278"/>
      <c r="S33" s="279"/>
      <c r="T33" s="279"/>
      <c r="U33" s="279"/>
      <c r="V33" s="279"/>
      <c r="W33" s="279"/>
      <c r="X33" s="279"/>
      <c r="Y33" s="279"/>
      <c r="Z33" s="279"/>
      <c r="AA33" s="279"/>
      <c r="AB33" s="279"/>
      <c r="AC33" s="279"/>
      <c r="AD33" s="279"/>
      <c r="AE33" s="279"/>
      <c r="AF33" s="279"/>
      <c r="AG33" s="279"/>
      <c r="AH33" s="279"/>
      <c r="AI33" s="279"/>
    </row>
    <row r="34" spans="1:35" x14ac:dyDescent="0.25">
      <c r="A34" s="275" t="str">
        <f>A32&amp;"P"</f>
        <v>79P</v>
      </c>
      <c r="B34" s="284" t="str">
        <f ca="1">IFERROR(VLOOKUP(A32,Lookup17,6,FALSE),"")</f>
        <v>Scotland</v>
      </c>
      <c r="C34" s="282">
        <f ca="1">IFERROR(VLOOKUP(A32,Lookup17,5,FALSE),"")</f>
        <v>3</v>
      </c>
      <c r="D34" s="282" t="str">
        <f ca="1">IFERROR(VLOOKUP(A33,Lookup17,5,FALSE),"")</f>
        <v/>
      </c>
      <c r="E34" s="283" t="str">
        <f ca="1">IFERROR(VLOOKUP(A34,Lookup17,5,FALSE),"")</f>
        <v/>
      </c>
      <c r="F34" s="290" t="s">
        <v>1252</v>
      </c>
      <c r="G34" s="291" t="str">
        <f ca="1">IFERROR(VLOOKUP(F34,Lookup17,7,FALSE),"")</f>
        <v>Mexico City Stadium</v>
      </c>
      <c r="H34" s="273" t="s">
        <v>1267</v>
      </c>
      <c r="I34" s="273" t="s">
        <v>1268</v>
      </c>
      <c r="J34" s="274" t="s">
        <v>342</v>
      </c>
      <c r="K34" s="285"/>
      <c r="L34" s="278"/>
      <c r="M34" s="279"/>
      <c r="N34" s="279"/>
      <c r="O34" s="280"/>
      <c r="P34" s="280"/>
      <c r="Q34" s="278"/>
      <c r="R34" s="278"/>
      <c r="S34" s="279"/>
      <c r="T34" s="279"/>
      <c r="U34" s="279"/>
      <c r="V34" s="279"/>
      <c r="W34" s="279"/>
      <c r="X34" s="279"/>
      <c r="Y34" s="279"/>
      <c r="Z34" s="279"/>
      <c r="AA34" s="279"/>
      <c r="AB34" s="279"/>
      <c r="AC34" s="279"/>
      <c r="AD34" s="279"/>
      <c r="AE34" s="279"/>
      <c r="AF34" s="279"/>
      <c r="AG34" s="279"/>
      <c r="AH34" s="279"/>
      <c r="AI34" s="279"/>
    </row>
    <row r="35" spans="1:35" x14ac:dyDescent="0.25">
      <c r="A35" s="290" t="s">
        <v>1236</v>
      </c>
      <c r="B35" s="291" t="str">
        <f ca="1">IFERROR(VLOOKUP(A35,Lookup17,7,FALSE),"")</f>
        <v>Atlanta Stadium</v>
      </c>
      <c r="C35" s="273" t="s">
        <v>1267</v>
      </c>
      <c r="D35" s="273" t="s">
        <v>1268</v>
      </c>
      <c r="E35" s="274" t="s">
        <v>342</v>
      </c>
      <c r="F35" s="275" t="str">
        <f>F34&amp;"E"</f>
        <v>92E</v>
      </c>
      <c r="G35" s="281" t="str">
        <f ca="1">IFERROR(VLOOKUP(F34,Lookup17,2,FALSE),"")</f>
        <v>Scotland</v>
      </c>
      <c r="H35" s="282">
        <f ca="1">IFERROR(VLOOKUP(F34,Lookup17,3,FALSE),"")</f>
        <v>0</v>
      </c>
      <c r="I35" s="282" t="str">
        <f ca="1">IFERROR(VLOOKUP(F35,Lookup17,3,FALSE),"")</f>
        <v/>
      </c>
      <c r="J35" s="283" t="str">
        <f ca="1">IFERROR(VLOOKUP(F36,Lookup17,3,FALSE),"")</f>
        <v/>
      </c>
      <c r="K35" s="286"/>
      <c r="L35" s="278"/>
      <c r="M35" s="279"/>
      <c r="N35" s="279"/>
      <c r="O35" s="280"/>
      <c r="P35" s="280"/>
      <c r="Q35" s="278"/>
      <c r="R35" s="278"/>
      <c r="S35" s="279"/>
      <c r="T35" s="279"/>
      <c r="U35" s="279"/>
      <c r="V35" s="279"/>
      <c r="W35" s="279"/>
      <c r="X35" s="279"/>
      <c r="Y35" s="279"/>
      <c r="Z35" s="279"/>
      <c r="AA35" s="279"/>
      <c r="AB35" s="279"/>
      <c r="AC35" s="279"/>
      <c r="AD35" s="279"/>
      <c r="AE35" s="279"/>
      <c r="AF35" s="279"/>
      <c r="AG35" s="279"/>
      <c r="AH35" s="279"/>
      <c r="AI35" s="279"/>
    </row>
    <row r="36" spans="1:35" x14ac:dyDescent="0.25">
      <c r="A36" s="275" t="str">
        <f>A35&amp;"E"</f>
        <v>80E</v>
      </c>
      <c r="B36" s="281" t="str">
        <f ca="1">IFERROR(VLOOKUP(A35,Lookup17,2,FALSE),"")</f>
        <v>England</v>
      </c>
      <c r="C36" s="282">
        <f ca="1">IFERROR(VLOOKUP(A35,Lookup17,3,FALSE),"")</f>
        <v>2</v>
      </c>
      <c r="D36" s="282" t="str">
        <f ca="1">IFERROR(VLOOKUP(A36,Lookup17,3,FALSE),"")</f>
        <v/>
      </c>
      <c r="E36" s="283" t="str">
        <f ca="1">IFERROR(VLOOKUP(A37,Lookup17,3,FALSE),"")</f>
        <v/>
      </c>
      <c r="F36" s="275" t="str">
        <f>F34&amp;"P"</f>
        <v>92P</v>
      </c>
      <c r="G36" s="284" t="str">
        <f ca="1">IFERROR(VLOOKUP(F34,Lookup17,6,FALSE),"")</f>
        <v>England</v>
      </c>
      <c r="H36" s="282">
        <f ca="1">IFERROR(VLOOKUP(F34,Lookup17,5,FALSE),"")</f>
        <v>2</v>
      </c>
      <c r="I36" s="282" t="str">
        <f ca="1">IFERROR(VLOOKUP(F35,Lookup17,5,FALSE),"")</f>
        <v/>
      </c>
      <c r="J36" s="283" t="str">
        <f ca="1">IFERROR(VLOOKUP(F36,Lookup17,5,FALSE),"")</f>
        <v/>
      </c>
      <c r="K36" s="286"/>
      <c r="L36" s="278"/>
      <c r="M36" s="279"/>
      <c r="N36" s="279"/>
      <c r="O36" s="280"/>
      <c r="P36" s="280"/>
      <c r="Q36" s="278"/>
      <c r="R36" s="278"/>
      <c r="S36" s="279"/>
      <c r="T36" s="279"/>
      <c r="U36" s="279"/>
      <c r="V36" s="279"/>
      <c r="W36" s="279"/>
      <c r="X36" s="279"/>
      <c r="Y36" s="279"/>
      <c r="Z36" s="279"/>
      <c r="AA36" s="279"/>
      <c r="AB36" s="279"/>
      <c r="AC36" s="279"/>
      <c r="AD36" s="279"/>
      <c r="AE36" s="279"/>
      <c r="AF36" s="279"/>
      <c r="AG36" s="279"/>
      <c r="AH36" s="279"/>
      <c r="AI36" s="279"/>
    </row>
    <row r="37" spans="1:35" ht="15.75" customHeight="1" x14ac:dyDescent="0.25">
      <c r="A37" s="275" t="str">
        <f>A35&amp;"P"</f>
        <v>80P</v>
      </c>
      <c r="B37" s="284" t="str">
        <f ca="1">IFERROR(VLOOKUP(A35,Lookup17,6,FALSE),"")</f>
        <v>Congo DR</v>
      </c>
      <c r="C37" s="282">
        <f ca="1">IFERROR(VLOOKUP(A35,Lookup17,5,FALSE),"")</f>
        <v>1</v>
      </c>
      <c r="D37" s="282" t="str">
        <f ca="1">IFERROR(VLOOKUP(A36,Lookup17,5,FALSE),"")</f>
        <v/>
      </c>
      <c r="E37" s="283" t="str">
        <f ca="1">IFERROR(VLOOKUP(A37,Lookup17,5,FALSE),"")</f>
        <v/>
      </c>
      <c r="F37" s="275"/>
      <c r="G37" s="276"/>
      <c r="H37" s="277"/>
      <c r="I37" s="277"/>
      <c r="J37" s="277"/>
      <c r="K37" s="287"/>
      <c r="L37" s="278"/>
      <c r="M37" s="279"/>
      <c r="N37" s="279"/>
      <c r="O37" s="280"/>
      <c r="P37" s="290" t="s">
        <v>1258</v>
      </c>
      <c r="Q37" s="291" t="str">
        <f ca="1">IFERROR(VLOOKUP(P37,Lookup17,7,FALSE),"")</f>
        <v>Atlanta Stadium</v>
      </c>
      <c r="R37" s="273" t="s">
        <v>1267</v>
      </c>
      <c r="S37" s="273" t="s">
        <v>1268</v>
      </c>
      <c r="T37" s="274" t="s">
        <v>342</v>
      </c>
      <c r="U37" s="274"/>
      <c r="V37" s="279"/>
      <c r="W37" s="279"/>
      <c r="X37" s="279"/>
      <c r="Y37" s="279"/>
      <c r="Z37" s="279"/>
      <c r="AA37" s="279"/>
      <c r="AB37" s="279"/>
      <c r="AC37" s="279"/>
      <c r="AD37" s="279"/>
      <c r="AE37" s="279"/>
      <c r="AF37" s="279"/>
      <c r="AG37" s="279"/>
      <c r="AH37" s="279"/>
      <c r="AI37" s="279"/>
    </row>
    <row r="38" spans="1:35" ht="15" customHeight="1" x14ac:dyDescent="0.25">
      <c r="A38" s="290" t="s">
        <v>1243</v>
      </c>
      <c r="B38" s="291" t="str">
        <f ca="1">IFERROR(VLOOKUP(A38,Lookup17,7,FALSE),"")</f>
        <v>Miami Stadium</v>
      </c>
      <c r="C38" s="273" t="s">
        <v>1267</v>
      </c>
      <c r="D38" s="273" t="s">
        <v>1268</v>
      </c>
      <c r="E38" s="274" t="s">
        <v>342</v>
      </c>
      <c r="F38" s="275"/>
      <c r="G38" s="276"/>
      <c r="H38" s="277"/>
      <c r="I38" s="277"/>
      <c r="J38" s="277"/>
      <c r="K38" s="287"/>
      <c r="L38" s="278"/>
      <c r="M38" s="279"/>
      <c r="N38" s="279"/>
      <c r="O38" s="280"/>
      <c r="P38" s="275" t="str">
        <f>P37&amp;"E"</f>
        <v>102E</v>
      </c>
      <c r="Q38" s="281" t="str">
        <f ca="1">IFERROR(VLOOKUP(P37,Lookup17,2,FALSE),"")</f>
        <v>Morocco</v>
      </c>
      <c r="R38" s="282">
        <f ca="1">IFERROR(VLOOKUP(P37,Lookup17,3,FALSE),"")</f>
        <v>0</v>
      </c>
      <c r="S38" s="282">
        <f ca="1">IFERROR(VLOOKUP(P38,Lookup17,3,FALSE),"")</f>
        <v>0</v>
      </c>
      <c r="T38" s="283">
        <f ca="1">IFERROR(VLOOKUP(P39,Lookup17,3,FALSE),"")</f>
        <v>4</v>
      </c>
      <c r="U38" s="283"/>
      <c r="V38" s="279"/>
      <c r="W38" s="279"/>
      <c r="X38" s="279"/>
      <c r="Y38" s="279"/>
      <c r="Z38" s="279"/>
      <c r="AA38" s="279"/>
      <c r="AB38" s="279"/>
      <c r="AC38" s="279"/>
      <c r="AD38" s="279"/>
      <c r="AE38" s="279"/>
      <c r="AF38" s="279"/>
      <c r="AG38" s="279"/>
      <c r="AH38" s="279"/>
      <c r="AI38" s="279"/>
    </row>
    <row r="39" spans="1:35" ht="15.75" customHeight="1" x14ac:dyDescent="0.25">
      <c r="A39" s="275" t="str">
        <f>A38&amp;"E"</f>
        <v>86E</v>
      </c>
      <c r="B39" s="281" t="str">
        <f ca="1">IFERROR(VLOOKUP(A38,Lookup17,2,FALSE),"")</f>
        <v>Argentina</v>
      </c>
      <c r="C39" s="282">
        <f ca="1">IFERROR(VLOOKUP(A38,Lookup17,3,FALSE),"")</f>
        <v>1</v>
      </c>
      <c r="D39" s="282" t="str">
        <f ca="1">IFERROR(VLOOKUP(A39,Lookup17,3,FALSE),"")</f>
        <v/>
      </c>
      <c r="E39" s="283" t="str">
        <f ca="1">IFERROR(VLOOKUP(A40,Lookup17,3,FALSE),"")</f>
        <v/>
      </c>
      <c r="F39" s="275"/>
      <c r="G39" s="276"/>
      <c r="H39" s="277"/>
      <c r="I39" s="277"/>
      <c r="J39" s="277"/>
      <c r="K39" s="287"/>
      <c r="L39" s="278"/>
      <c r="M39" s="279"/>
      <c r="N39" s="279"/>
      <c r="O39" s="280"/>
      <c r="P39" s="275" t="str">
        <f>P37&amp;"P"</f>
        <v>102P</v>
      </c>
      <c r="Q39" s="284" t="str">
        <f ca="1">IFERROR(VLOOKUP(P37,Lookup17,6,FALSE),"")</f>
        <v>Argentina</v>
      </c>
      <c r="R39" s="282">
        <f ca="1">IFERROR(VLOOKUP(P37,Lookup17,5,FALSE),"")</f>
        <v>0</v>
      </c>
      <c r="S39" s="282">
        <f ca="1">IFERROR(VLOOKUP(P38,Lookup17,5,FALSE),"")</f>
        <v>0</v>
      </c>
      <c r="T39" s="283">
        <f ca="1">IFERROR(VLOOKUP(P39,Lookup17,5,FALSE),"")</f>
        <v>5</v>
      </c>
      <c r="U39" s="283"/>
      <c r="V39" s="279"/>
      <c r="W39" s="279"/>
      <c r="X39" s="279"/>
      <c r="Y39" s="279"/>
      <c r="Z39" s="279"/>
      <c r="AA39" s="279"/>
      <c r="AB39" s="279"/>
      <c r="AC39" s="279"/>
      <c r="AD39" s="279"/>
      <c r="AE39" s="279"/>
      <c r="AF39" s="279"/>
      <c r="AG39" s="279"/>
      <c r="AH39" s="279"/>
      <c r="AI39" s="279"/>
    </row>
    <row r="40" spans="1:35" x14ac:dyDescent="0.25">
      <c r="A40" s="275" t="str">
        <f>A38&amp;"P"</f>
        <v>86P</v>
      </c>
      <c r="B40" s="284" t="str">
        <f ca="1">IFERROR(VLOOKUP(A38,Lookup17,6,FALSE),"")</f>
        <v>Cabo Verde</v>
      </c>
      <c r="C40" s="282">
        <f ca="1">IFERROR(VLOOKUP(A38,Lookup17,5,FALSE),"")</f>
        <v>0</v>
      </c>
      <c r="D40" s="282" t="str">
        <f ca="1">IFERROR(VLOOKUP(A39,Lookup17,5,FALSE),"")</f>
        <v/>
      </c>
      <c r="E40" s="283" t="str">
        <f ca="1">IFERROR(VLOOKUP(A40,Lookup17,5,FALSE),"")</f>
        <v/>
      </c>
      <c r="F40" s="290" t="s">
        <v>1255</v>
      </c>
      <c r="G40" s="291" t="str">
        <f ca="1">IFERROR(VLOOKUP(F40,Lookup17,7,FALSE),"")</f>
        <v>Atlanta Stadium</v>
      </c>
      <c r="H40" s="273" t="s">
        <v>1267</v>
      </c>
      <c r="I40" s="273" t="s">
        <v>1268</v>
      </c>
      <c r="J40" s="274" t="s">
        <v>342</v>
      </c>
      <c r="K40" s="285"/>
      <c r="L40" s="278"/>
      <c r="M40" s="279"/>
      <c r="N40" s="279"/>
      <c r="O40" s="280"/>
      <c r="P40" s="280"/>
      <c r="Q40" s="278"/>
      <c r="R40" s="278"/>
      <c r="S40" s="279"/>
      <c r="T40" s="279"/>
      <c r="U40" s="279"/>
      <c r="V40" s="279"/>
      <c r="W40" s="279"/>
      <c r="X40" s="279"/>
      <c r="Y40" s="279"/>
      <c r="Z40" s="279"/>
      <c r="AA40" s="279"/>
      <c r="AB40" s="279"/>
      <c r="AC40" s="279"/>
      <c r="AD40" s="279"/>
      <c r="AE40" s="279"/>
      <c r="AF40" s="279"/>
      <c r="AG40" s="279"/>
      <c r="AH40" s="279"/>
      <c r="AI40" s="279"/>
    </row>
    <row r="41" spans="1:35" x14ac:dyDescent="0.25">
      <c r="A41" s="290" t="s">
        <v>1242</v>
      </c>
      <c r="B41" s="291" t="str">
        <f ca="1">IFERROR(VLOOKUP(A41,Lookup17,7,FALSE),"")</f>
        <v>Dallas Stadium</v>
      </c>
      <c r="C41" s="273" t="s">
        <v>1267</v>
      </c>
      <c r="D41" s="273" t="s">
        <v>1268</v>
      </c>
      <c r="E41" s="274" t="s">
        <v>342</v>
      </c>
      <c r="F41" s="275" t="str">
        <f>F40&amp;"E"</f>
        <v>95E</v>
      </c>
      <c r="G41" s="281" t="str">
        <f ca="1">IFERROR(VLOOKUP(F40,Lookup17,2,FALSE),"")</f>
        <v>Argentina</v>
      </c>
      <c r="H41" s="282">
        <f ca="1">IFERROR(VLOOKUP(F40,Lookup17,3,FALSE),"")</f>
        <v>2</v>
      </c>
      <c r="I41" s="282" t="str">
        <f ca="1">IFERROR(VLOOKUP(F41,Lookup17,3,FALSE),"")</f>
        <v/>
      </c>
      <c r="J41" s="283" t="str">
        <f ca="1">IFERROR(VLOOKUP(F42,Lookup17,3,FALSE),"")</f>
        <v/>
      </c>
      <c r="K41" s="286"/>
      <c r="L41" s="278"/>
      <c r="M41" s="279"/>
      <c r="N41" s="279"/>
      <c r="O41" s="280"/>
      <c r="P41" s="280"/>
      <c r="Q41" s="278"/>
      <c r="R41" s="278"/>
      <c r="S41" s="279"/>
      <c r="T41" s="279"/>
      <c r="U41" s="279"/>
      <c r="V41" s="279"/>
      <c r="W41" s="279"/>
      <c r="X41" s="279"/>
      <c r="Y41" s="279"/>
      <c r="Z41" s="279"/>
      <c r="AA41" s="279"/>
      <c r="AB41" s="279"/>
      <c r="AC41" s="279"/>
      <c r="AD41" s="279"/>
      <c r="AE41" s="279"/>
      <c r="AF41" s="279"/>
      <c r="AG41" s="279"/>
      <c r="AH41" s="279"/>
      <c r="AI41" s="279"/>
    </row>
    <row r="42" spans="1:35" x14ac:dyDescent="0.25">
      <c r="A42" s="275" t="str">
        <f>A41&amp;"E"</f>
        <v>88E</v>
      </c>
      <c r="B42" s="281" t="str">
        <f ca="1">IFERROR(VLOOKUP(A41,Lookup17,2,FALSE),"")</f>
        <v>Australia</v>
      </c>
      <c r="C42" s="282">
        <f ca="1">IFERROR(VLOOKUP(A41,Lookup17,3,FALSE),"")</f>
        <v>1</v>
      </c>
      <c r="D42" s="282" t="str">
        <f ca="1">IFERROR(VLOOKUP(A42,Lookup17,3,FALSE),"")</f>
        <v/>
      </c>
      <c r="E42" s="283" t="str">
        <f ca="1">IFERROR(VLOOKUP(A43,Lookup17,3,FALSE),"")</f>
        <v/>
      </c>
      <c r="F42" s="275" t="str">
        <f>F40&amp;"P"</f>
        <v>95P</v>
      </c>
      <c r="G42" s="284" t="str">
        <f ca="1">IFERROR(VLOOKUP(F40,Lookup17,6,FALSE),"")</f>
        <v>IR Iran</v>
      </c>
      <c r="H42" s="282">
        <f ca="1">IFERROR(VLOOKUP(F40,Lookup17,5,FALSE),"")</f>
        <v>1</v>
      </c>
      <c r="I42" s="282" t="str">
        <f ca="1">IFERROR(VLOOKUP(F41,Lookup17,5,FALSE),"")</f>
        <v/>
      </c>
      <c r="J42" s="283" t="str">
        <f ca="1">IFERROR(VLOOKUP(F42,Lookup17,5,FALSE),"")</f>
        <v/>
      </c>
      <c r="K42" s="286"/>
      <c r="L42" s="278"/>
      <c r="M42" s="279"/>
      <c r="N42" s="279"/>
      <c r="O42" s="280"/>
      <c r="P42" s="280"/>
      <c r="Q42" s="278"/>
      <c r="R42" s="278"/>
      <c r="S42" s="279"/>
      <c r="T42" s="279"/>
      <c r="U42" s="279"/>
      <c r="V42" s="279"/>
      <c r="W42" s="279"/>
      <c r="X42" s="279"/>
      <c r="Y42" s="279"/>
      <c r="Z42" s="279"/>
      <c r="AA42" s="279"/>
      <c r="AB42" s="279"/>
      <c r="AC42" s="279"/>
      <c r="AD42" s="279"/>
      <c r="AE42" s="279"/>
      <c r="AF42" s="279"/>
      <c r="AG42" s="279"/>
      <c r="AH42" s="279"/>
      <c r="AI42" s="279"/>
    </row>
    <row r="43" spans="1:35" x14ac:dyDescent="0.25">
      <c r="A43" s="275" t="str">
        <f>A41&amp;"P"</f>
        <v>88P</v>
      </c>
      <c r="B43" s="284" t="str">
        <f ca="1">IFERROR(VLOOKUP(A41,Lookup17,6,FALSE),"")</f>
        <v>IR Iran</v>
      </c>
      <c r="C43" s="282">
        <f ca="1">IFERROR(VLOOKUP(A41,Lookup17,5,FALSE),"")</f>
        <v>2</v>
      </c>
      <c r="D43" s="282" t="str">
        <f ca="1">IFERROR(VLOOKUP(A42,Lookup17,5,FALSE),"")</f>
        <v/>
      </c>
      <c r="E43" s="283" t="str">
        <f ca="1">IFERROR(VLOOKUP(A43,Lookup17,5,FALSE),"")</f>
        <v/>
      </c>
      <c r="F43" s="275"/>
      <c r="G43" s="276"/>
      <c r="H43" s="277"/>
      <c r="I43" s="277"/>
      <c r="J43" s="277"/>
      <c r="K43" s="290" t="s">
        <v>1265</v>
      </c>
      <c r="L43" s="291" t="str">
        <f ca="1">IFERROR(VLOOKUP(K43,Lookup17,7,FALSE),"")</f>
        <v>Kansas City Stadium</v>
      </c>
      <c r="M43" s="273" t="s">
        <v>1267</v>
      </c>
      <c r="N43" s="273" t="s">
        <v>1268</v>
      </c>
      <c r="O43" s="274" t="s">
        <v>342</v>
      </c>
      <c r="P43" s="288"/>
      <c r="Q43" s="278"/>
      <c r="R43" s="278"/>
      <c r="S43" s="279"/>
      <c r="T43" s="279"/>
      <c r="U43" s="279"/>
      <c r="V43" s="279"/>
      <c r="W43" s="279"/>
      <c r="X43" s="279"/>
      <c r="Y43" s="279"/>
      <c r="Z43" s="279"/>
      <c r="AA43" s="279"/>
      <c r="AB43" s="279"/>
      <c r="AC43" s="279"/>
      <c r="AD43" s="279"/>
      <c r="AE43" s="279"/>
      <c r="AF43" s="279"/>
      <c r="AG43" s="279"/>
      <c r="AH43" s="279"/>
      <c r="AI43" s="279"/>
    </row>
    <row r="44" spans="1:35" x14ac:dyDescent="0.25">
      <c r="A44" s="290" t="s">
        <v>1241</v>
      </c>
      <c r="B44" s="291" t="str">
        <f ca="1">IFERROR(VLOOKUP(A44,Lookup17,7,FALSE),"")</f>
        <v>BC Place Vancouver</v>
      </c>
      <c r="C44" s="273" t="s">
        <v>1267</v>
      </c>
      <c r="D44" s="273" t="s">
        <v>1268</v>
      </c>
      <c r="E44" s="274" t="s">
        <v>342</v>
      </c>
      <c r="F44" s="275"/>
      <c r="G44" s="276"/>
      <c r="H44" s="277"/>
      <c r="I44" s="277"/>
      <c r="J44" s="277"/>
      <c r="K44" s="275" t="str">
        <f>K43&amp;"E"</f>
        <v>100E</v>
      </c>
      <c r="L44" s="281" t="str">
        <f ca="1">IFERROR(VLOOKUP(K43,Lookup17,2,FALSE),"")</f>
        <v>Argentina</v>
      </c>
      <c r="M44" s="282">
        <f ca="1">IFERROR(VLOOKUP(K43,Lookup17,3,FALSE),"")</f>
        <v>3</v>
      </c>
      <c r="N44" s="282" t="str">
        <f ca="1">IFERROR(VLOOKUP(K44,Lookup17,3,FALSE),"")</f>
        <v/>
      </c>
      <c r="O44" s="283" t="str">
        <f ca="1">IFERROR(VLOOKUP(K45,Lookup17,3,FALSE),"")</f>
        <v/>
      </c>
      <c r="P44" s="289"/>
      <c r="Q44" s="278"/>
      <c r="R44" s="278"/>
      <c r="S44" s="279"/>
      <c r="T44" s="279"/>
      <c r="U44" s="279"/>
      <c r="V44" s="279"/>
      <c r="W44" s="279"/>
      <c r="X44" s="279"/>
      <c r="Y44" s="279"/>
      <c r="Z44" s="279"/>
      <c r="AA44" s="279"/>
      <c r="AB44" s="279"/>
      <c r="AC44" s="279"/>
      <c r="AD44" s="279"/>
      <c r="AE44" s="279"/>
      <c r="AF44" s="279"/>
      <c r="AG44" s="279"/>
      <c r="AH44" s="279"/>
      <c r="AI44" s="279"/>
    </row>
    <row r="45" spans="1:35" x14ac:dyDescent="0.25">
      <c r="A45" s="275" t="str">
        <f>A44&amp;"E"</f>
        <v>85E</v>
      </c>
      <c r="B45" s="281" t="str">
        <f ca="1">IFERROR(VLOOKUP(A44,Lookup17,2,FALSE),"")</f>
        <v>Switzerland</v>
      </c>
      <c r="C45" s="282">
        <f ca="1">IFERROR(VLOOKUP(A44,Lookup17,3,FALSE),"")</f>
        <v>1</v>
      </c>
      <c r="D45" s="282">
        <f ca="1">IFERROR(VLOOKUP(A45,Lookup17,3,FALSE),"")</f>
        <v>1</v>
      </c>
      <c r="E45" s="283" t="str">
        <f ca="1">IFERROR(VLOOKUP(A46,Lookup17,3,FALSE),"")</f>
        <v/>
      </c>
      <c r="F45" s="275"/>
      <c r="G45" s="276"/>
      <c r="H45" s="277"/>
      <c r="I45" s="277"/>
      <c r="J45" s="277"/>
      <c r="K45" s="275" t="str">
        <f>K43&amp;"P"</f>
        <v>100P</v>
      </c>
      <c r="L45" s="284" t="str">
        <f ca="1">IFERROR(VLOOKUP(K43,Lookup17,6,FALSE),"")</f>
        <v>Colombia</v>
      </c>
      <c r="M45" s="282">
        <f ca="1">IFERROR(VLOOKUP(K43,Lookup17,5,FALSE),"")</f>
        <v>0</v>
      </c>
      <c r="N45" s="282" t="str">
        <f ca="1">IFERROR(VLOOKUP(K44,Lookup17,5,FALSE),"")</f>
        <v/>
      </c>
      <c r="O45" s="283" t="str">
        <f ca="1">IFERROR(VLOOKUP(K45,Lookup17,5,FALSE),"")</f>
        <v/>
      </c>
      <c r="P45" s="289"/>
      <c r="Q45" s="278"/>
      <c r="R45" s="278"/>
      <c r="S45" s="279"/>
      <c r="T45" s="279"/>
      <c r="U45" s="279"/>
      <c r="V45" s="279"/>
      <c r="W45" s="279"/>
      <c r="X45" s="279"/>
      <c r="Y45" s="279"/>
      <c r="Z45" s="279"/>
      <c r="AA45" s="279"/>
      <c r="AB45" s="279"/>
      <c r="AC45" s="279"/>
      <c r="AD45" s="279"/>
      <c r="AE45" s="279"/>
      <c r="AF45" s="279"/>
      <c r="AG45" s="279"/>
      <c r="AH45" s="279"/>
      <c r="AI45" s="279"/>
    </row>
    <row r="46" spans="1:35" x14ac:dyDescent="0.25">
      <c r="A46" s="275" t="str">
        <f>A44&amp;"P"</f>
        <v>85P</v>
      </c>
      <c r="B46" s="284" t="str">
        <f ca="1">IFERROR(VLOOKUP(A44,Lookup17,6,FALSE),"")</f>
        <v>Belgium</v>
      </c>
      <c r="C46" s="282">
        <f ca="1">IFERROR(VLOOKUP(A44,Lookup17,5,FALSE),"")</f>
        <v>1</v>
      </c>
      <c r="D46" s="282">
        <f ca="1">IFERROR(VLOOKUP(A45,Lookup17,5,FALSE),"")</f>
        <v>2</v>
      </c>
      <c r="E46" s="283" t="str">
        <f ca="1">IFERROR(VLOOKUP(A46,Lookup17,5,FALSE),"")</f>
        <v/>
      </c>
      <c r="F46" s="290" t="s">
        <v>1256</v>
      </c>
      <c r="G46" s="291" t="str">
        <f ca="1">IFERROR(VLOOKUP(F46,Lookup17,7,FALSE),"")</f>
        <v>BC Place Vancouver</v>
      </c>
      <c r="H46" s="273" t="s">
        <v>1267</v>
      </c>
      <c r="I46" s="273" t="s">
        <v>1268</v>
      </c>
      <c r="J46" s="274" t="s">
        <v>342</v>
      </c>
      <c r="K46" s="285"/>
      <c r="L46" s="278"/>
      <c r="M46" s="279"/>
      <c r="N46" s="279"/>
      <c r="O46" s="280"/>
      <c r="P46" s="280"/>
      <c r="Q46" s="278"/>
      <c r="R46" s="278"/>
      <c r="S46" s="279"/>
      <c r="T46" s="279"/>
      <c r="U46" s="279"/>
      <c r="V46" s="279"/>
      <c r="W46" s="279"/>
      <c r="X46" s="279"/>
      <c r="Y46" s="279"/>
      <c r="Z46" s="279"/>
      <c r="AA46" s="279"/>
      <c r="AB46" s="279"/>
      <c r="AC46" s="279"/>
      <c r="AD46" s="279"/>
      <c r="AE46" s="279"/>
      <c r="AF46" s="279"/>
      <c r="AG46" s="279"/>
      <c r="AH46" s="279"/>
      <c r="AI46" s="279"/>
    </row>
    <row r="47" spans="1:35" x14ac:dyDescent="0.25">
      <c r="A47" s="290" t="s">
        <v>1244</v>
      </c>
      <c r="B47" s="291" t="str">
        <f ca="1">IFERROR(VLOOKUP(A47,Lookup17,7,FALSE),"")</f>
        <v>Kansas City Stadium</v>
      </c>
      <c r="C47" s="273" t="s">
        <v>1267</v>
      </c>
      <c r="D47" s="273" t="s">
        <v>1268</v>
      </c>
      <c r="E47" s="274" t="s">
        <v>342</v>
      </c>
      <c r="F47" s="275" t="str">
        <f>F46&amp;"E"</f>
        <v>96E</v>
      </c>
      <c r="G47" s="281" t="str">
        <f ca="1">IFERROR(VLOOKUP(F46,Lookup17,2,FALSE),"")</f>
        <v>Belgium</v>
      </c>
      <c r="H47" s="282">
        <f ca="1">IFERROR(VLOOKUP(F46,Lookup17,3,FALSE),"")</f>
        <v>1</v>
      </c>
      <c r="I47" s="282" t="str">
        <f ca="1">IFERROR(VLOOKUP(F47,Lookup17,3,FALSE),"")</f>
        <v/>
      </c>
      <c r="J47" s="283" t="str">
        <f ca="1">IFERROR(VLOOKUP(F48,Lookup17,3,FALSE),"")</f>
        <v/>
      </c>
      <c r="K47" s="286"/>
      <c r="L47" s="278"/>
      <c r="M47" s="279"/>
      <c r="N47" s="279"/>
      <c r="O47" s="280"/>
      <c r="P47" s="280"/>
      <c r="Q47" s="278"/>
      <c r="R47" s="278"/>
      <c r="S47" s="279"/>
      <c r="T47" s="279"/>
      <c r="U47" s="279"/>
      <c r="V47" s="279"/>
      <c r="W47" s="279"/>
      <c r="X47" s="279"/>
      <c r="Y47" s="279"/>
      <c r="Z47" s="279"/>
      <c r="AA47" s="279"/>
      <c r="AB47" s="279"/>
      <c r="AC47" s="279"/>
      <c r="AD47" s="279"/>
      <c r="AE47" s="279"/>
      <c r="AF47" s="279"/>
      <c r="AG47" s="279"/>
      <c r="AH47" s="279"/>
      <c r="AI47" s="279"/>
    </row>
    <row r="48" spans="1:35" x14ac:dyDescent="0.25">
      <c r="A48" s="275" t="str">
        <f>A47&amp;"E"</f>
        <v>87E</v>
      </c>
      <c r="B48" s="281" t="str">
        <f ca="1">IFERROR(VLOOKUP(A47,Lookup17,2,FALSE),"")</f>
        <v>Colombia</v>
      </c>
      <c r="C48" s="282">
        <f ca="1">IFERROR(VLOOKUP(A47,Lookup17,3,FALSE),"")</f>
        <v>2</v>
      </c>
      <c r="D48" s="282" t="str">
        <f ca="1">IFERROR(VLOOKUP(A48,Lookup17,3,FALSE),"")</f>
        <v/>
      </c>
      <c r="E48" s="283" t="str">
        <f ca="1">IFERROR(VLOOKUP(A49,Lookup17,3,FALSE),"")</f>
        <v/>
      </c>
      <c r="F48" s="275" t="str">
        <f>F46&amp;"P"</f>
        <v>96P</v>
      </c>
      <c r="G48" s="284" t="str">
        <f ca="1">IFERROR(VLOOKUP(F46,Lookup17,6,FALSE),"")</f>
        <v>Colombia</v>
      </c>
      <c r="H48" s="282">
        <f ca="1">IFERROR(VLOOKUP(F46,Lookup17,5,FALSE),"")</f>
        <v>3</v>
      </c>
      <c r="I48" s="282" t="str">
        <f ca="1">IFERROR(VLOOKUP(F47,Lookup17,5,FALSE),"")</f>
        <v/>
      </c>
      <c r="J48" s="283" t="str">
        <f ca="1">IFERROR(VLOOKUP(F48,Lookup17,5,FALSE),"")</f>
        <v/>
      </c>
      <c r="K48" s="286"/>
      <c r="L48" s="278"/>
      <c r="M48" s="279"/>
      <c r="N48" s="279"/>
      <c r="O48" s="280"/>
      <c r="P48" s="280"/>
      <c r="Q48" s="278"/>
      <c r="R48" s="278"/>
      <c r="S48" s="279"/>
      <c r="T48" s="279"/>
      <c r="U48" s="279"/>
      <c r="V48" s="279"/>
      <c r="W48" s="279"/>
      <c r="X48" s="279"/>
      <c r="Y48" s="279"/>
      <c r="Z48" s="279"/>
      <c r="AA48" s="279"/>
      <c r="AB48" s="279"/>
      <c r="AC48" s="279"/>
      <c r="AD48" s="279"/>
      <c r="AE48" s="279"/>
      <c r="AF48" s="279"/>
      <c r="AG48" s="279"/>
      <c r="AH48" s="279"/>
      <c r="AI48" s="279"/>
    </row>
    <row r="49" spans="1:35" x14ac:dyDescent="0.25">
      <c r="A49" s="275" t="str">
        <f>A47&amp;"P"</f>
        <v>87P</v>
      </c>
      <c r="B49" s="284" t="str">
        <f ca="1">IFERROR(VLOOKUP(A47,Lookup17,6,FALSE),"")</f>
        <v>Panama</v>
      </c>
      <c r="C49" s="282">
        <f ca="1">IFERROR(VLOOKUP(A47,Lookup17,5,FALSE),"")</f>
        <v>0</v>
      </c>
      <c r="D49" s="282" t="str">
        <f ca="1">IFERROR(VLOOKUP(A48,Lookup17,5,FALSE),"")</f>
        <v/>
      </c>
      <c r="E49" s="283" t="str">
        <f ca="1">IFERROR(VLOOKUP(A49,Lookup17,5,FALSE),"")</f>
        <v/>
      </c>
      <c r="F49" s="275"/>
      <c r="G49" s="276"/>
      <c r="H49" s="277"/>
      <c r="I49" s="277"/>
      <c r="J49" s="277"/>
      <c r="K49" s="277"/>
      <c r="L49" s="278"/>
      <c r="M49" s="279"/>
      <c r="N49" s="279"/>
      <c r="O49" s="280"/>
      <c r="P49" s="280"/>
      <c r="Q49" s="278"/>
      <c r="R49" s="278"/>
      <c r="S49" s="279"/>
      <c r="T49" s="279"/>
      <c r="U49" s="279"/>
      <c r="V49" s="279"/>
      <c r="W49" s="279"/>
      <c r="X49" s="279"/>
      <c r="Y49" s="279"/>
      <c r="Z49" s="279"/>
      <c r="AA49" s="279"/>
      <c r="AB49" s="279"/>
      <c r="AC49" s="279"/>
      <c r="AD49" s="279"/>
      <c r="AE49" s="279"/>
      <c r="AF49" s="279"/>
      <c r="AG49" s="279"/>
      <c r="AH49" s="279"/>
      <c r="AI49" s="279"/>
    </row>
  </sheetData>
  <sheetProtection sheet="1" objects="1" scenarios="1" selectLockedCells="1"/>
  <mergeCells count="7">
    <mergeCell ref="AC25:AI27"/>
    <mergeCell ref="B1:C1"/>
    <mergeCell ref="G1:H1"/>
    <mergeCell ref="L1:O1"/>
    <mergeCell ref="Q1:U1"/>
    <mergeCell ref="W1:AA1"/>
    <mergeCell ref="AC1:AI1"/>
  </mergeCells>
  <conditionalFormatting sqref="B1">
    <cfRule type="expression" dxfId="134" priority="254" stopIfTrue="1">
      <formula>$AF$5="Black and White"</formula>
    </cfRule>
  </conditionalFormatting>
  <conditionalFormatting sqref="C3:E4">
    <cfRule type="expression" dxfId="133" priority="250" stopIfTrue="1">
      <formula>$AF$5="Black and White"</formula>
    </cfRule>
    <cfRule type="expression" dxfId="132" priority="249" stopIfTrue="1">
      <formula>$AF$5="Black and White"</formula>
    </cfRule>
    <cfRule type="expression" dxfId="131" priority="248" stopIfTrue="1">
      <formula>$AF$5="Black and White"</formula>
    </cfRule>
    <cfRule type="expression" dxfId="130" priority="251" stopIfTrue="1">
      <formula>$AF$5="Black and White"</formula>
    </cfRule>
  </conditionalFormatting>
  <conditionalFormatting sqref="C6:E7">
    <cfRule type="expression" dxfId="129" priority="124" stopIfTrue="1">
      <formula>$AF$5="Black and White"</formula>
    </cfRule>
    <cfRule type="expression" dxfId="128" priority="123" stopIfTrue="1">
      <formula>$AF$5="Black and White"</formula>
    </cfRule>
    <cfRule type="expression" dxfId="127" priority="122" stopIfTrue="1">
      <formula>$AF$5="Black and White"</formula>
    </cfRule>
    <cfRule type="expression" dxfId="126" priority="121" stopIfTrue="1">
      <formula>$AF$5="Black and White"</formula>
    </cfRule>
  </conditionalFormatting>
  <conditionalFormatting sqref="C9:E10">
    <cfRule type="expression" dxfId="125" priority="118" stopIfTrue="1">
      <formula>$AF$5="Black and White"</formula>
    </cfRule>
    <cfRule type="expression" dxfId="124" priority="120" stopIfTrue="1">
      <formula>$AF$5="Black and White"</formula>
    </cfRule>
    <cfRule type="expression" dxfId="123" priority="119" stopIfTrue="1">
      <formula>$AF$5="Black and White"</formula>
    </cfRule>
    <cfRule type="expression" dxfId="122" priority="117" stopIfTrue="1">
      <formula>$AF$5="Black and White"</formula>
    </cfRule>
  </conditionalFormatting>
  <conditionalFormatting sqref="C12:E13">
    <cfRule type="expression" dxfId="121" priority="116" stopIfTrue="1">
      <formula>$AF$5="Black and White"</formula>
    </cfRule>
    <cfRule type="expression" dxfId="120" priority="115" stopIfTrue="1">
      <formula>$AF$5="Black and White"</formula>
    </cfRule>
    <cfRule type="expression" dxfId="119" priority="114" stopIfTrue="1">
      <formula>$AF$5="Black and White"</formula>
    </cfRule>
    <cfRule type="expression" dxfId="118" priority="113" stopIfTrue="1">
      <formula>$AF$5="Black and White"</formula>
    </cfRule>
  </conditionalFormatting>
  <conditionalFormatting sqref="C15:E16">
    <cfRule type="expression" dxfId="117" priority="112" stopIfTrue="1">
      <formula>$AF$5="Black and White"</formula>
    </cfRule>
    <cfRule type="expression" dxfId="116" priority="111" stopIfTrue="1">
      <formula>$AF$5="Black and White"</formula>
    </cfRule>
    <cfRule type="expression" dxfId="115" priority="110" stopIfTrue="1">
      <formula>$AF$5="Black and White"</formula>
    </cfRule>
    <cfRule type="expression" dxfId="114" priority="109" stopIfTrue="1">
      <formula>$AF$5="Black and White"</formula>
    </cfRule>
  </conditionalFormatting>
  <conditionalFormatting sqref="C18:E19">
    <cfRule type="expression" dxfId="113" priority="5" stopIfTrue="1">
      <formula>$AF$5="Black and White"</formula>
    </cfRule>
    <cfRule type="expression" dxfId="112" priority="6" stopIfTrue="1">
      <formula>$AF$5="Black and White"</formula>
    </cfRule>
    <cfRule type="expression" dxfId="111" priority="7" stopIfTrue="1">
      <formula>$AF$5="Black and White"</formula>
    </cfRule>
    <cfRule type="expression" dxfId="110" priority="8" stopIfTrue="1">
      <formula>$AF$5="Black and White"</formula>
    </cfRule>
  </conditionalFormatting>
  <conditionalFormatting sqref="C21:E22">
    <cfRule type="expression" dxfId="109" priority="107" stopIfTrue="1">
      <formula>$AF$5="Black and White"</formula>
    </cfRule>
    <cfRule type="expression" dxfId="108" priority="106" stopIfTrue="1">
      <formula>$AF$5="Black and White"</formula>
    </cfRule>
    <cfRule type="expression" dxfId="107" priority="105" stopIfTrue="1">
      <formula>$AF$5="Black and White"</formula>
    </cfRule>
    <cfRule type="expression" dxfId="106" priority="108" stopIfTrue="1">
      <formula>$AF$5="Black and White"</formula>
    </cfRule>
  </conditionalFormatting>
  <conditionalFormatting sqref="C24:E25">
    <cfRule type="expression" dxfId="105" priority="103" stopIfTrue="1">
      <formula>$AF$5="Black and White"</formula>
    </cfRule>
    <cfRule type="expression" dxfId="104" priority="101" stopIfTrue="1">
      <formula>$AF$5="Black and White"</formula>
    </cfRule>
    <cfRule type="expression" dxfId="103" priority="102" stopIfTrue="1">
      <formula>$AF$5="Black and White"</formula>
    </cfRule>
    <cfRule type="expression" dxfId="102" priority="104" stopIfTrue="1">
      <formula>$AF$5="Black and White"</formula>
    </cfRule>
  </conditionalFormatting>
  <conditionalFormatting sqref="C27:E28">
    <cfRule type="expression" dxfId="101" priority="100" stopIfTrue="1">
      <formula>$AF$5="Black and White"</formula>
    </cfRule>
    <cfRule type="expression" dxfId="100" priority="99" stopIfTrue="1">
      <formula>$AF$5="Black and White"</formula>
    </cfRule>
    <cfRule type="expression" dxfId="99" priority="98" stopIfTrue="1">
      <formula>$AF$5="Black and White"</formula>
    </cfRule>
    <cfRule type="expression" dxfId="98" priority="97" stopIfTrue="1">
      <formula>$AF$5="Black and White"</formula>
    </cfRule>
  </conditionalFormatting>
  <conditionalFormatting sqref="C30:E31">
    <cfRule type="expression" dxfId="97" priority="92" stopIfTrue="1">
      <formula>$AF$5="Black and White"</formula>
    </cfRule>
    <cfRule type="expression" dxfId="96" priority="91" stopIfTrue="1">
      <formula>$AF$5="Black and White"</formula>
    </cfRule>
    <cfRule type="expression" dxfId="95" priority="90" stopIfTrue="1">
      <formula>$AF$5="Black and White"</formula>
    </cfRule>
    <cfRule type="expression" dxfId="94" priority="89" stopIfTrue="1">
      <formula>$AF$5="Black and White"</formula>
    </cfRule>
  </conditionalFormatting>
  <conditionalFormatting sqref="C33:E34">
    <cfRule type="expression" dxfId="93" priority="86" stopIfTrue="1">
      <formula>$AF$5="Black and White"</formula>
    </cfRule>
    <cfRule type="expression" dxfId="92" priority="85" stopIfTrue="1">
      <formula>$AF$5="Black and White"</formula>
    </cfRule>
    <cfRule type="expression" dxfId="91" priority="88" stopIfTrue="1">
      <formula>$AF$5="Black and White"</formula>
    </cfRule>
    <cfRule type="expression" dxfId="90" priority="87" stopIfTrue="1">
      <formula>$AF$5="Black and White"</formula>
    </cfRule>
  </conditionalFormatting>
  <conditionalFormatting sqref="C36:E37">
    <cfRule type="expression" dxfId="89" priority="84" stopIfTrue="1">
      <formula>$AF$5="Black and White"</formula>
    </cfRule>
    <cfRule type="expression" dxfId="88" priority="83" stopIfTrue="1">
      <formula>$AF$5="Black and White"</formula>
    </cfRule>
    <cfRule type="expression" dxfId="87" priority="81" stopIfTrue="1">
      <formula>$AF$5="Black and White"</formula>
    </cfRule>
    <cfRule type="expression" dxfId="86" priority="82" stopIfTrue="1">
      <formula>$AF$5="Black and White"</formula>
    </cfRule>
  </conditionalFormatting>
  <conditionalFormatting sqref="C39:E40">
    <cfRule type="expression" dxfId="85" priority="80" stopIfTrue="1">
      <formula>$AF$5="Black and White"</formula>
    </cfRule>
    <cfRule type="expression" dxfId="84" priority="79" stopIfTrue="1">
      <formula>$AF$5="Black and White"</formula>
    </cfRule>
    <cfRule type="expression" dxfId="83" priority="78" stopIfTrue="1">
      <formula>$AF$5="Black and White"</formula>
    </cfRule>
    <cfRule type="expression" dxfId="82" priority="77" stopIfTrue="1">
      <formula>$AF$5="Black and White"</formula>
    </cfRule>
  </conditionalFormatting>
  <conditionalFormatting sqref="C42:E43">
    <cfRule type="expression" dxfId="81" priority="1" stopIfTrue="1">
      <formula>$AF$5="Black and White"</formula>
    </cfRule>
    <cfRule type="expression" dxfId="80" priority="2" stopIfTrue="1">
      <formula>$AF$5="Black and White"</formula>
    </cfRule>
    <cfRule type="expression" dxfId="79" priority="3" stopIfTrue="1">
      <formula>$AF$5="Black and White"</formula>
    </cfRule>
    <cfRule type="expression" dxfId="78" priority="4" stopIfTrue="1">
      <formula>$AF$5="Black and White"</formula>
    </cfRule>
  </conditionalFormatting>
  <conditionalFormatting sqref="C45:E46">
    <cfRule type="expression" dxfId="77" priority="76" stopIfTrue="1">
      <formula>$AF$5="Black and White"</formula>
    </cfRule>
    <cfRule type="expression" dxfId="76" priority="74" stopIfTrue="1">
      <formula>$AF$5="Black and White"</formula>
    </cfRule>
    <cfRule type="expression" dxfId="75" priority="73" stopIfTrue="1">
      <formula>$AF$5="Black and White"</formula>
    </cfRule>
    <cfRule type="expression" dxfId="74" priority="75" stopIfTrue="1">
      <formula>$AF$5="Black and White"</formula>
    </cfRule>
  </conditionalFormatting>
  <conditionalFormatting sqref="C48:E49">
    <cfRule type="expression" dxfId="73" priority="72" stopIfTrue="1">
      <formula>$AF$5="Black and White"</formula>
    </cfRule>
    <cfRule type="expression" dxfId="72" priority="71" stopIfTrue="1">
      <formula>$AF$5="Black and White"</formula>
    </cfRule>
    <cfRule type="expression" dxfId="71" priority="70" stopIfTrue="1">
      <formula>$AF$5="Black and White"</formula>
    </cfRule>
    <cfRule type="expression" dxfId="70" priority="69" stopIfTrue="1">
      <formula>$AF$5="Black and White"</formula>
    </cfRule>
  </conditionalFormatting>
  <conditionalFormatting sqref="G1">
    <cfRule type="expression" dxfId="69" priority="131" stopIfTrue="1">
      <formula>$AF$5="Black and White"</formula>
    </cfRule>
  </conditionalFormatting>
  <conditionalFormatting sqref="H5:K6">
    <cfRule type="expression" dxfId="68" priority="67" stopIfTrue="1">
      <formula>$AF$5="Black and White"</formula>
    </cfRule>
    <cfRule type="expression" dxfId="67" priority="68" stopIfTrue="1">
      <formula>$AF$5="Black and White"</formula>
    </cfRule>
    <cfRule type="expression" dxfId="66" priority="65" stopIfTrue="1">
      <formula>$AF$5="Black and White"</formula>
    </cfRule>
    <cfRule type="expression" dxfId="65" priority="66" stopIfTrue="1">
      <formula>$AF$5="Black and White"</formula>
    </cfRule>
  </conditionalFormatting>
  <conditionalFormatting sqref="H11:K12">
    <cfRule type="expression" dxfId="64" priority="62" stopIfTrue="1">
      <formula>$AF$5="Black and White"</formula>
    </cfRule>
    <cfRule type="expression" dxfId="63" priority="61" stopIfTrue="1">
      <formula>$AF$5="Black and White"</formula>
    </cfRule>
    <cfRule type="expression" dxfId="62" priority="63" stopIfTrue="1">
      <formula>$AF$5="Black and White"</formula>
    </cfRule>
    <cfRule type="expression" dxfId="61" priority="64" stopIfTrue="1">
      <formula>$AF$5="Black and White"</formula>
    </cfRule>
  </conditionalFormatting>
  <conditionalFormatting sqref="H17:K18">
    <cfRule type="expression" dxfId="60" priority="60" stopIfTrue="1">
      <formula>$AF$5="Black and White"</formula>
    </cfRule>
    <cfRule type="expression" dxfId="59" priority="59" stopIfTrue="1">
      <formula>$AF$5="Black and White"</formula>
    </cfRule>
    <cfRule type="expression" dxfId="58" priority="58" stopIfTrue="1">
      <formula>$AF$5="Black and White"</formula>
    </cfRule>
    <cfRule type="expression" dxfId="57" priority="57" stopIfTrue="1">
      <formula>$AF$5="Black and White"</formula>
    </cfRule>
  </conditionalFormatting>
  <conditionalFormatting sqref="H23:K24">
    <cfRule type="expression" dxfId="56" priority="56" stopIfTrue="1">
      <formula>$AF$5="Black and White"</formula>
    </cfRule>
    <cfRule type="expression" dxfId="55" priority="55" stopIfTrue="1">
      <formula>$AF$5="Black and White"</formula>
    </cfRule>
    <cfRule type="expression" dxfId="54" priority="54" stopIfTrue="1">
      <formula>$AF$5="Black and White"</formula>
    </cfRule>
    <cfRule type="expression" dxfId="53" priority="53" stopIfTrue="1">
      <formula>$AF$5="Black and White"</formula>
    </cfRule>
  </conditionalFormatting>
  <conditionalFormatting sqref="H29:K30">
    <cfRule type="expression" dxfId="52" priority="52" stopIfTrue="1">
      <formula>$AF$5="Black and White"</formula>
    </cfRule>
    <cfRule type="expression" dxfId="51" priority="50" stopIfTrue="1">
      <formula>$AF$5="Black and White"</formula>
    </cfRule>
    <cfRule type="expression" dxfId="50" priority="51" stopIfTrue="1">
      <formula>$AF$5="Black and White"</formula>
    </cfRule>
    <cfRule type="expression" dxfId="49" priority="49" stopIfTrue="1">
      <formula>$AF$5="Black and White"</formula>
    </cfRule>
  </conditionalFormatting>
  <conditionalFormatting sqref="H35:K36">
    <cfRule type="expression" dxfId="48" priority="46" stopIfTrue="1">
      <formula>$AF$5="Black and White"</formula>
    </cfRule>
    <cfRule type="expression" dxfId="47" priority="45" stopIfTrue="1">
      <formula>$AF$5="Black and White"</formula>
    </cfRule>
    <cfRule type="expression" dxfId="46" priority="48" stopIfTrue="1">
      <formula>$AF$5="Black and White"</formula>
    </cfRule>
    <cfRule type="expression" dxfId="45" priority="47" stopIfTrue="1">
      <formula>$AF$5="Black and White"</formula>
    </cfRule>
  </conditionalFormatting>
  <conditionalFormatting sqref="H41:K42">
    <cfRule type="expression" dxfId="44" priority="42" stopIfTrue="1">
      <formula>$AF$5="Black and White"</formula>
    </cfRule>
    <cfRule type="expression" dxfId="43" priority="41" stopIfTrue="1">
      <formula>$AF$5="Black and White"</formula>
    </cfRule>
    <cfRule type="expression" dxfId="42" priority="44" stopIfTrue="1">
      <formula>$AF$5="Black and White"</formula>
    </cfRule>
    <cfRule type="expression" dxfId="41" priority="43" stopIfTrue="1">
      <formula>$AF$5="Black and White"</formula>
    </cfRule>
  </conditionalFormatting>
  <conditionalFormatting sqref="H47:K48">
    <cfRule type="expression" dxfId="40" priority="40" stopIfTrue="1">
      <formula>$AF$5="Black and White"</formula>
    </cfRule>
    <cfRule type="expression" dxfId="39" priority="39" stopIfTrue="1">
      <formula>$AF$5="Black and White"</formula>
    </cfRule>
    <cfRule type="expression" dxfId="38" priority="38" stopIfTrue="1">
      <formula>$AF$5="Black and White"</formula>
    </cfRule>
    <cfRule type="expression" dxfId="37" priority="37" stopIfTrue="1">
      <formula>$AF$5="Black and White"</formula>
    </cfRule>
  </conditionalFormatting>
  <conditionalFormatting sqref="I1:K1">
    <cfRule type="expression" dxfId="36" priority="253" stopIfTrue="1">
      <formula>$AF$5="Black and White"</formula>
    </cfRule>
  </conditionalFormatting>
  <conditionalFormatting sqref="M8:P9">
    <cfRule type="expression" dxfId="35" priority="36" stopIfTrue="1">
      <formula>$AF$5="Black and White"</formula>
    </cfRule>
    <cfRule type="expression" dxfId="34" priority="35" stopIfTrue="1">
      <formula>$AF$5="Black and White"</formula>
    </cfRule>
    <cfRule type="expression" dxfId="33" priority="34" stopIfTrue="1">
      <formula>$AF$5="Black and White"</formula>
    </cfRule>
    <cfRule type="expression" dxfId="32" priority="33" stopIfTrue="1">
      <formula>$AF$5="Black and White"</formula>
    </cfRule>
  </conditionalFormatting>
  <conditionalFormatting sqref="M20:P21">
    <cfRule type="expression" dxfId="31" priority="29" stopIfTrue="1">
      <formula>$AF$5="Black and White"</formula>
    </cfRule>
    <cfRule type="expression" dxfId="30" priority="32" stopIfTrue="1">
      <formula>$AF$5="Black and White"</formula>
    </cfRule>
    <cfRule type="expression" dxfId="29" priority="31" stopIfTrue="1">
      <formula>$AF$5="Black and White"</formula>
    </cfRule>
    <cfRule type="expression" dxfId="28" priority="30" stopIfTrue="1">
      <formula>$AF$5="Black and White"</formula>
    </cfRule>
  </conditionalFormatting>
  <conditionalFormatting sqref="M32:P33">
    <cfRule type="expression" dxfId="27" priority="25" stopIfTrue="1">
      <formula>$AF$5="Black and White"</formula>
    </cfRule>
    <cfRule type="expression" dxfId="26" priority="28" stopIfTrue="1">
      <formula>$AF$5="Black and White"</formula>
    </cfRule>
    <cfRule type="expression" dxfId="25" priority="27" stopIfTrue="1">
      <formula>$AF$5="Black and White"</formula>
    </cfRule>
    <cfRule type="expression" dxfId="24" priority="26" stopIfTrue="1">
      <formula>$AF$5="Black and White"</formula>
    </cfRule>
  </conditionalFormatting>
  <conditionalFormatting sqref="M44:P45">
    <cfRule type="expression" dxfId="23" priority="24" stopIfTrue="1">
      <formula>$AF$5="Black and White"</formula>
    </cfRule>
    <cfRule type="expression" dxfId="22" priority="23" stopIfTrue="1">
      <formula>$AF$5="Black and White"</formula>
    </cfRule>
    <cfRule type="expression" dxfId="21" priority="22" stopIfTrue="1">
      <formula>$AF$5="Black and White"</formula>
    </cfRule>
    <cfRule type="expression" dxfId="20" priority="21" stopIfTrue="1">
      <formula>$AF$5="Black and White"</formula>
    </cfRule>
  </conditionalFormatting>
  <conditionalFormatting sqref="Q1">
    <cfRule type="expression" dxfId="19" priority="252" stopIfTrue="1">
      <formula>$AF$5="Black and White"</formula>
    </cfRule>
  </conditionalFormatting>
  <conditionalFormatting sqref="R14:U15">
    <cfRule type="expression" dxfId="18" priority="20" stopIfTrue="1">
      <formula>$AF$5="Black and White"</formula>
    </cfRule>
    <cfRule type="expression" dxfId="17" priority="17" stopIfTrue="1">
      <formula>$AF$5="Black and White"</formula>
    </cfRule>
    <cfRule type="expression" dxfId="16" priority="19" stopIfTrue="1">
      <formula>$AF$5="Black and White"</formula>
    </cfRule>
    <cfRule type="expression" dxfId="15" priority="18" stopIfTrue="1">
      <formula>$AF$5="Black and White"</formula>
    </cfRule>
  </conditionalFormatting>
  <conditionalFormatting sqref="R38:U39">
    <cfRule type="expression" dxfId="14" priority="16" stopIfTrue="1">
      <formula>$AF$5="Black and White"</formula>
    </cfRule>
    <cfRule type="expression" dxfId="13" priority="15" stopIfTrue="1">
      <formula>$AF$5="Black and White"</formula>
    </cfRule>
    <cfRule type="expression" dxfId="12" priority="14" stopIfTrue="1">
      <formula>$AF$5="Black and White"</formula>
    </cfRule>
    <cfRule type="expression" dxfId="11" priority="13" stopIfTrue="1">
      <formula>$AF$5="Black and White"</formula>
    </cfRule>
  </conditionalFormatting>
  <conditionalFormatting sqref="W1">
    <cfRule type="expression" dxfId="10" priority="126" stopIfTrue="1">
      <formula>$AF$5="Black and White"</formula>
    </cfRule>
  </conditionalFormatting>
  <conditionalFormatting sqref="X26:AA27">
    <cfRule type="expression" dxfId="9" priority="11" stopIfTrue="1">
      <formula>$AF$5="Black and White"</formula>
    </cfRule>
    <cfRule type="expression" dxfId="8" priority="10" stopIfTrue="1">
      <formula>$AF$5="Black and White"</formula>
    </cfRule>
    <cfRule type="expression" dxfId="7" priority="9" stopIfTrue="1">
      <formula>$AF$5="Black and White"</formula>
    </cfRule>
    <cfRule type="expression" dxfId="6" priority="12" stopIfTrue="1">
      <formula>$AF$5="Black and White"</formula>
    </cfRule>
  </conditionalFormatting>
  <conditionalFormatting sqref="AC1">
    <cfRule type="expression" dxfId="5" priority="125" stopIfTrue="1">
      <formula>$AF$5="Black and White"</formula>
    </cfRule>
  </conditionalFormatting>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30A0"/>
    <pageSetUpPr fitToPage="1"/>
  </sheetPr>
  <dimension ref="A1:AB99"/>
  <sheetViews>
    <sheetView showGridLines="0" showRowColHeaders="0" zoomScaleNormal="100" workbookViewId="0">
      <pane xSplit="3" ySplit="2" topLeftCell="D3" activePane="bottomRight" state="frozen"/>
      <selection activeCell="H30" sqref="H30"/>
      <selection pane="topRight" activeCell="H30" sqref="H30"/>
      <selection pane="bottomLeft" activeCell="H30" sqref="H30"/>
      <selection pane="bottomRight"/>
    </sheetView>
  </sheetViews>
  <sheetFormatPr defaultRowHeight="15.95" customHeight="1" x14ac:dyDescent="0.25"/>
  <cols>
    <col min="1" max="1" width="3.7109375" style="30" customWidth="1"/>
    <col min="2" max="2" width="5.7109375" style="119" customWidth="1"/>
    <col min="3" max="3" width="20.7109375" style="119" customWidth="1"/>
    <col min="4" max="4" width="9.140625" style="530"/>
    <col min="5" max="6" width="5.28515625" style="18" customWidth="1"/>
    <col min="7" max="9" width="10.7109375" style="119" customWidth="1"/>
    <col min="10" max="10" width="10.7109375" style="119" hidden="1" customWidth="1"/>
    <col min="11" max="11" width="3.7109375" style="119" customWidth="1"/>
    <col min="12" max="12" width="5.7109375" style="119" customWidth="1"/>
    <col min="13" max="13" width="20.7109375" style="119" customWidth="1"/>
    <col min="14" max="14" width="10.7109375" style="119" customWidth="1"/>
    <col min="15" max="16" width="5.7109375" style="119" customWidth="1"/>
    <col min="17" max="19" width="10.7109375" style="119" customWidth="1"/>
    <col min="20" max="20" width="10.7109375" style="119" hidden="1" customWidth="1"/>
    <col min="21" max="21" width="3.7109375" style="119" customWidth="1"/>
    <col min="22" max="22" width="10.7109375" style="119" customWidth="1"/>
    <col min="23" max="23" width="20.7109375" style="119" customWidth="1"/>
    <col min="24" max="24" width="10.7109375" style="119" customWidth="1"/>
    <col min="25" max="25" width="3.7109375" style="119" customWidth="1"/>
    <col min="26" max="26" width="10.7109375" style="119" customWidth="1"/>
    <col min="27" max="27" width="20.7109375" style="119" customWidth="1"/>
    <col min="28" max="28" width="10.7109375" style="119" customWidth="1"/>
    <col min="29" max="16384" width="9.140625" style="119"/>
  </cols>
  <sheetData>
    <row r="1" spans="1:28" s="502" customFormat="1" ht="15.95" customHeight="1" x14ac:dyDescent="0.25">
      <c r="A1" s="576"/>
      <c r="B1" s="728" t="s">
        <v>1356</v>
      </c>
      <c r="C1" s="729"/>
      <c r="D1" s="499" t="s">
        <v>101</v>
      </c>
      <c r="E1" s="734" t="s">
        <v>107</v>
      </c>
      <c r="F1" s="735"/>
      <c r="G1" s="499" t="s">
        <v>101</v>
      </c>
      <c r="H1" s="499" t="s">
        <v>107</v>
      </c>
      <c r="I1" s="500" t="s">
        <v>107</v>
      </c>
      <c r="J1" s="501" t="s">
        <v>533</v>
      </c>
      <c r="K1" s="498"/>
      <c r="L1" s="713" t="s">
        <v>387</v>
      </c>
      <c r="M1" s="714"/>
      <c r="N1" s="717" t="s">
        <v>123</v>
      </c>
      <c r="O1" s="719" t="s">
        <v>385</v>
      </c>
      <c r="P1" s="720"/>
      <c r="Q1" s="717" t="s">
        <v>386</v>
      </c>
      <c r="R1" s="717" t="s">
        <v>425</v>
      </c>
      <c r="S1" s="721" t="s">
        <v>393</v>
      </c>
      <c r="T1" s="723"/>
      <c r="U1" s="533"/>
      <c r="V1" s="724" t="s">
        <v>1353</v>
      </c>
      <c r="W1" s="725"/>
      <c r="X1" s="708" t="s">
        <v>386</v>
      </c>
      <c r="Y1" s="536"/>
      <c r="Z1" s="724" t="s">
        <v>1354</v>
      </c>
      <c r="AA1" s="725"/>
      <c r="AB1" s="708" t="s">
        <v>386</v>
      </c>
    </row>
    <row r="2" spans="1:28" ht="15.95" customHeight="1" thickBot="1" x14ac:dyDescent="0.3">
      <c r="A2" s="498"/>
      <c r="B2" s="730" t="s">
        <v>384</v>
      </c>
      <c r="C2" s="731"/>
      <c r="D2" s="503" t="s">
        <v>28</v>
      </c>
      <c r="E2" s="732" t="s">
        <v>28</v>
      </c>
      <c r="F2" s="733"/>
      <c r="G2" s="504" t="s">
        <v>109</v>
      </c>
      <c r="H2" s="505" t="s">
        <v>109</v>
      </c>
      <c r="I2" s="506" t="s">
        <v>108</v>
      </c>
      <c r="J2" s="507" t="s">
        <v>1352</v>
      </c>
      <c r="K2" s="30"/>
      <c r="L2" s="715"/>
      <c r="M2" s="716"/>
      <c r="N2" s="718"/>
      <c r="O2" s="718"/>
      <c r="P2" s="718"/>
      <c r="Q2" s="718"/>
      <c r="R2" s="718"/>
      <c r="S2" s="722"/>
      <c r="T2" s="706"/>
      <c r="U2" s="480"/>
      <c r="V2" s="726"/>
      <c r="W2" s="727"/>
      <c r="X2" s="709"/>
      <c r="Y2" s="480"/>
      <c r="Z2" s="726"/>
      <c r="AA2" s="727"/>
      <c r="AB2" s="709"/>
    </row>
    <row r="3" spans="1:28" ht="15.95" customHeight="1" x14ac:dyDescent="0.25">
      <c r="A3" s="508"/>
      <c r="B3" s="509" t="s">
        <v>352</v>
      </c>
      <c r="C3" s="510" t="str">
        <f>Data!C3</f>
        <v>Mexico</v>
      </c>
      <c r="D3" s="511" t="str">
        <f t="shared" ref="D3:D50" si="0">IFERROR(VLOOKUP(1/FLOOR(G3,0.001),Odds,5,TRUE),"250/1")</f>
        <v>3/5</v>
      </c>
      <c r="E3" s="132">
        <v>8</v>
      </c>
      <c r="F3" s="133">
        <v>11</v>
      </c>
      <c r="G3" s="512">
        <f t="shared" ref="G3:G50" si="1">COUNTIF(XGroup,C3)/1000</f>
        <v>0.62</v>
      </c>
      <c r="H3" s="513">
        <f>F3/(E3+F3)/(1+I$3)</f>
        <v>0.52616516762060517</v>
      </c>
      <c r="I3" s="736">
        <f>IFERROR(SUM(J3:J6)-1,"")</f>
        <v>0.10031488978857395</v>
      </c>
      <c r="J3" s="514">
        <f t="shared" ref="J3:J50" si="2">F3/(E3+F3)</f>
        <v>0.57894736842105265</v>
      </c>
      <c r="K3" s="532"/>
      <c r="L3" s="509" t="str">
        <f>Data!I3</f>
        <v>J1</v>
      </c>
      <c r="M3" s="510" t="str">
        <f>Data!J3</f>
        <v>Argentina</v>
      </c>
      <c r="N3" s="511" t="str">
        <f t="shared" ref="N3:N50" si="3">IFERROR(VLOOKUP(1/FLOOR(Q3,0.001),Odds,5,TRUE),"250/1")</f>
        <v>17/2</v>
      </c>
      <c r="O3" s="132">
        <v>10</v>
      </c>
      <c r="P3" s="133">
        <v>1</v>
      </c>
      <c r="Q3" s="512">
        <f t="shared" ref="Q3:Q50" si="4">COUNTIF(XWinner,M3)/1000</f>
        <v>0.105</v>
      </c>
      <c r="R3" s="513">
        <f t="shared" ref="R3:R50" si="5">P3/(O3+P3)/(1+S$3)</f>
        <v>7.4104325040253438E-2</v>
      </c>
      <c r="S3" s="710">
        <f>IFERROR(SUM(T3:T50)-1,"")</f>
        <v>0.22677172836685489</v>
      </c>
      <c r="T3" s="523">
        <f t="shared" ref="T3:T50" si="6">P3/(O3+P3)</f>
        <v>9.0909090909090912E-2</v>
      </c>
      <c r="U3" s="532"/>
      <c r="V3" s="524" t="str">
        <f t="shared" ref="V3:V50" si="7">$L3</f>
        <v>J1</v>
      </c>
      <c r="W3" s="525" t="str">
        <f t="shared" ref="W3:W50" si="8">$M3</f>
        <v>Argentina</v>
      </c>
      <c r="X3" s="526">
        <f t="shared" ref="X3:X50" si="9">COUNTIF(XFinalist,W3)/1000</f>
        <v>0.186</v>
      </c>
      <c r="Y3" s="534"/>
      <c r="Z3" s="524" t="str">
        <f t="shared" ref="Z3:Z50" si="10">$L3</f>
        <v>J1</v>
      </c>
      <c r="AA3" s="525" t="str">
        <f t="shared" ref="AA3:AA50" si="11">$M3</f>
        <v>Argentina</v>
      </c>
      <c r="AB3" s="526">
        <f t="shared" ref="AB3:AB50" si="12">COUNTIF(XSemi,AA3)/1000</f>
        <v>0.30299999999999999</v>
      </c>
    </row>
    <row r="4" spans="1:28" ht="15.95" customHeight="1" x14ac:dyDescent="0.25">
      <c r="A4" s="508"/>
      <c r="B4" s="515" t="s">
        <v>353</v>
      </c>
      <c r="C4" s="46" t="str">
        <f>Data!C4</f>
        <v>South Africa</v>
      </c>
      <c r="D4" s="293" t="str">
        <f t="shared" si="0"/>
        <v>100/1</v>
      </c>
      <c r="E4" s="496">
        <v>12</v>
      </c>
      <c r="F4" s="497">
        <v>1</v>
      </c>
      <c r="G4" s="516">
        <f t="shared" si="1"/>
        <v>8.9999999999999993E-3</v>
      </c>
      <c r="H4" s="517">
        <f>F4/(E4+F4)/(1+I$3)</f>
        <v>6.9910057236304182E-2</v>
      </c>
      <c r="I4" s="737"/>
      <c r="J4" s="514">
        <f t="shared" si="2"/>
        <v>7.6923076923076927E-2</v>
      </c>
      <c r="K4" s="532"/>
      <c r="L4" s="515" t="str">
        <f>Data!I4</f>
        <v>H1</v>
      </c>
      <c r="M4" s="46" t="str">
        <f>Data!J4</f>
        <v>Spain</v>
      </c>
      <c r="N4" s="293" t="str">
        <f t="shared" si="3"/>
        <v>13/2</v>
      </c>
      <c r="O4" s="496">
        <v>9</v>
      </c>
      <c r="P4" s="497">
        <v>2</v>
      </c>
      <c r="Q4" s="516">
        <f t="shared" si="4"/>
        <v>0.126</v>
      </c>
      <c r="R4" s="517">
        <f t="shared" si="5"/>
        <v>0.14820865008050688</v>
      </c>
      <c r="S4" s="711"/>
      <c r="T4" s="523">
        <f t="shared" si="6"/>
        <v>0.18181818181818182</v>
      </c>
      <c r="U4" s="532"/>
      <c r="V4" s="515" t="str">
        <f t="shared" si="7"/>
        <v>H1</v>
      </c>
      <c r="W4" s="46" t="str">
        <f t="shared" si="8"/>
        <v>Spain</v>
      </c>
      <c r="X4" s="527">
        <f t="shared" si="9"/>
        <v>0.188</v>
      </c>
      <c r="Y4" s="534"/>
      <c r="Z4" s="515" t="str">
        <f t="shared" si="10"/>
        <v>H1</v>
      </c>
      <c r="AA4" s="46" t="str">
        <f t="shared" si="11"/>
        <v>Spain</v>
      </c>
      <c r="AB4" s="527">
        <f t="shared" si="12"/>
        <v>0.316</v>
      </c>
    </row>
    <row r="5" spans="1:28" ht="15.95" customHeight="1" x14ac:dyDescent="0.25">
      <c r="A5" s="508"/>
      <c r="B5" s="515" t="s">
        <v>354</v>
      </c>
      <c r="C5" s="46" t="str">
        <f>Data!C5</f>
        <v>Korea Republic</v>
      </c>
      <c r="D5" s="293" t="str">
        <f t="shared" si="0"/>
        <v>19/10</v>
      </c>
      <c r="E5" s="496">
        <v>7</v>
      </c>
      <c r="F5" s="497">
        <v>2</v>
      </c>
      <c r="G5" s="516">
        <f t="shared" si="1"/>
        <v>0.33700000000000002</v>
      </c>
      <c r="H5" s="517">
        <f>F5/(E5+F5)/(1+I$3)</f>
        <v>0.20196238757154539</v>
      </c>
      <c r="I5" s="737"/>
      <c r="J5" s="514">
        <f t="shared" si="2"/>
        <v>0.22222222222222221</v>
      </c>
      <c r="K5" s="532"/>
      <c r="L5" s="515" t="str">
        <f>Data!I5</f>
        <v>I1</v>
      </c>
      <c r="M5" s="46" t="str">
        <f>Data!J5</f>
        <v>France</v>
      </c>
      <c r="N5" s="293" t="str">
        <f t="shared" si="3"/>
        <v>8/1</v>
      </c>
      <c r="O5" s="496">
        <v>5</v>
      </c>
      <c r="P5" s="497">
        <v>1</v>
      </c>
      <c r="Q5" s="516">
        <f t="shared" si="4"/>
        <v>0.111</v>
      </c>
      <c r="R5" s="517">
        <f t="shared" si="5"/>
        <v>0.13585792924046461</v>
      </c>
      <c r="S5" s="711"/>
      <c r="T5" s="523">
        <f t="shared" si="6"/>
        <v>0.16666666666666666</v>
      </c>
      <c r="U5" s="532"/>
      <c r="V5" s="515" t="str">
        <f t="shared" si="7"/>
        <v>I1</v>
      </c>
      <c r="W5" s="46" t="str">
        <f t="shared" si="8"/>
        <v>France</v>
      </c>
      <c r="X5" s="527">
        <f t="shared" si="9"/>
        <v>0.19600000000000001</v>
      </c>
      <c r="Y5" s="534"/>
      <c r="Z5" s="515" t="str">
        <f t="shared" si="10"/>
        <v>I1</v>
      </c>
      <c r="AA5" s="46" t="str">
        <f t="shared" si="11"/>
        <v>France</v>
      </c>
      <c r="AB5" s="527">
        <f t="shared" si="12"/>
        <v>0.34599999999999997</v>
      </c>
    </row>
    <row r="6" spans="1:28" ht="15.95" customHeight="1" thickBot="1" x14ac:dyDescent="0.3">
      <c r="A6" s="508"/>
      <c r="B6" s="518" t="s">
        <v>355</v>
      </c>
      <c r="C6" s="519" t="str">
        <f>Data!C6</f>
        <v>Czechia</v>
      </c>
      <c r="D6" s="520" t="str">
        <f t="shared" si="0"/>
        <v>28/1</v>
      </c>
      <c r="E6" s="134">
        <v>7</v>
      </c>
      <c r="F6" s="135">
        <v>2</v>
      </c>
      <c r="G6" s="521">
        <f t="shared" si="1"/>
        <v>3.4000000000000002E-2</v>
      </c>
      <c r="H6" s="522">
        <f>F6/(E6+F6)/(1+I$3)</f>
        <v>0.20196238757154539</v>
      </c>
      <c r="I6" s="738"/>
      <c r="J6" s="514">
        <f t="shared" si="2"/>
        <v>0.22222222222222221</v>
      </c>
      <c r="K6" s="532"/>
      <c r="L6" s="515" t="str">
        <f>Data!I6</f>
        <v>L1</v>
      </c>
      <c r="M6" s="46" t="str">
        <f>Data!J6</f>
        <v>England</v>
      </c>
      <c r="N6" s="293" t="str">
        <f t="shared" si="3"/>
        <v>17/2</v>
      </c>
      <c r="O6" s="496">
        <v>7</v>
      </c>
      <c r="P6" s="497">
        <v>1</v>
      </c>
      <c r="Q6" s="516">
        <f t="shared" si="4"/>
        <v>0.10199999999999999</v>
      </c>
      <c r="R6" s="517">
        <f t="shared" si="5"/>
        <v>0.10189344693034848</v>
      </c>
      <c r="S6" s="711"/>
      <c r="T6" s="523">
        <f t="shared" si="6"/>
        <v>0.125</v>
      </c>
      <c r="U6" s="532"/>
      <c r="V6" s="515" t="str">
        <f t="shared" si="7"/>
        <v>L1</v>
      </c>
      <c r="W6" s="46" t="str">
        <f t="shared" si="8"/>
        <v>England</v>
      </c>
      <c r="X6" s="527">
        <f t="shared" si="9"/>
        <v>0.17399999999999999</v>
      </c>
      <c r="Y6" s="534"/>
      <c r="Z6" s="515" t="str">
        <f t="shared" si="10"/>
        <v>L1</v>
      </c>
      <c r="AA6" s="46" t="str">
        <f t="shared" si="11"/>
        <v>England</v>
      </c>
      <c r="AB6" s="527">
        <f t="shared" si="12"/>
        <v>0.29599999999999999</v>
      </c>
    </row>
    <row r="7" spans="1:28" ht="15.95" customHeight="1" x14ac:dyDescent="0.25">
      <c r="A7" s="508"/>
      <c r="B7" s="509" t="s">
        <v>356</v>
      </c>
      <c r="C7" s="510" t="str">
        <f>Data!C7</f>
        <v>Canada</v>
      </c>
      <c r="D7" s="511" t="str">
        <f t="shared" si="0"/>
        <v>5/2</v>
      </c>
      <c r="E7" s="132">
        <v>7</v>
      </c>
      <c r="F7" s="133">
        <v>4</v>
      </c>
      <c r="G7" s="512">
        <f t="shared" si="1"/>
        <v>0.27900000000000003</v>
      </c>
      <c r="H7" s="513">
        <f>F7/(E7+F7)/(1+I$7)</f>
        <v>0.31516038541285529</v>
      </c>
      <c r="I7" s="736">
        <f>IFERROR(SUM(J7:J10)-1,"")</f>
        <v>0.15381367858148032</v>
      </c>
      <c r="J7" s="514">
        <f t="shared" si="2"/>
        <v>0.36363636363636365</v>
      </c>
      <c r="K7" s="532"/>
      <c r="L7" s="515" t="str">
        <f>Data!I7</f>
        <v>K1</v>
      </c>
      <c r="M7" s="46" t="str">
        <f>Data!J7</f>
        <v>Portugal</v>
      </c>
      <c r="N7" s="293" t="str">
        <f t="shared" si="3"/>
        <v>9/1</v>
      </c>
      <c r="O7" s="496">
        <v>8</v>
      </c>
      <c r="P7" s="497">
        <v>1</v>
      </c>
      <c r="Q7" s="516">
        <f t="shared" si="4"/>
        <v>0.1</v>
      </c>
      <c r="R7" s="517">
        <f t="shared" si="5"/>
        <v>9.0571952826976415E-2</v>
      </c>
      <c r="S7" s="711"/>
      <c r="T7" s="523">
        <f t="shared" si="6"/>
        <v>0.1111111111111111</v>
      </c>
      <c r="U7" s="532"/>
      <c r="V7" s="515" t="str">
        <f t="shared" si="7"/>
        <v>K1</v>
      </c>
      <c r="W7" s="46" t="str">
        <f t="shared" si="8"/>
        <v>Portugal</v>
      </c>
      <c r="X7" s="527">
        <f t="shared" si="9"/>
        <v>0.19</v>
      </c>
      <c r="Y7" s="534"/>
      <c r="Z7" s="515" t="str">
        <f t="shared" si="10"/>
        <v>K1</v>
      </c>
      <c r="AA7" s="46" t="str">
        <f t="shared" si="11"/>
        <v>Portugal</v>
      </c>
      <c r="AB7" s="527">
        <f t="shared" si="12"/>
        <v>0.314</v>
      </c>
    </row>
    <row r="8" spans="1:28" ht="15.95" customHeight="1" x14ac:dyDescent="0.25">
      <c r="A8" s="508"/>
      <c r="B8" s="515" t="s">
        <v>357</v>
      </c>
      <c r="C8" s="46" t="str">
        <f>Data!C8</f>
        <v>Bosnia-Herzegovina</v>
      </c>
      <c r="D8" s="293" t="str">
        <f t="shared" si="0"/>
        <v>9/1</v>
      </c>
      <c r="E8" s="496">
        <v>9</v>
      </c>
      <c r="F8" s="497">
        <v>2</v>
      </c>
      <c r="G8" s="516">
        <f t="shared" si="1"/>
        <v>9.6000000000000002E-2</v>
      </c>
      <c r="H8" s="517">
        <f>F8/(E8+F8)/(1+I$7)</f>
        <v>0.15758019270642765</v>
      </c>
      <c r="I8" s="737"/>
      <c r="J8" s="514">
        <f t="shared" si="2"/>
        <v>0.18181818181818182</v>
      </c>
      <c r="K8" s="532"/>
      <c r="L8" s="515" t="str">
        <f>Data!I8</f>
        <v>C1</v>
      </c>
      <c r="M8" s="46" t="str">
        <f>Data!J8</f>
        <v>Brazil</v>
      </c>
      <c r="N8" s="293" t="str">
        <f t="shared" si="3"/>
        <v>10/1</v>
      </c>
      <c r="O8" s="496">
        <v>9</v>
      </c>
      <c r="P8" s="497">
        <v>1</v>
      </c>
      <c r="Q8" s="516">
        <f t="shared" si="4"/>
        <v>8.8999999999999996E-2</v>
      </c>
      <c r="R8" s="517">
        <f t="shared" si="5"/>
        <v>8.1514757544278782E-2</v>
      </c>
      <c r="S8" s="711"/>
      <c r="T8" s="523">
        <f t="shared" si="6"/>
        <v>0.1</v>
      </c>
      <c r="U8" s="532"/>
      <c r="V8" s="515" t="str">
        <f t="shared" si="7"/>
        <v>C1</v>
      </c>
      <c r="W8" s="46" t="str">
        <f t="shared" si="8"/>
        <v>Brazil</v>
      </c>
      <c r="X8" s="527">
        <f t="shared" si="9"/>
        <v>0.16700000000000001</v>
      </c>
      <c r="Y8" s="534"/>
      <c r="Z8" s="515" t="str">
        <f t="shared" si="10"/>
        <v>C1</v>
      </c>
      <c r="AA8" s="46" t="str">
        <f t="shared" si="11"/>
        <v>Brazil</v>
      </c>
      <c r="AB8" s="527">
        <f t="shared" si="12"/>
        <v>0.29799999999999999</v>
      </c>
    </row>
    <row r="9" spans="1:28" ht="15.95" customHeight="1" x14ac:dyDescent="0.25">
      <c r="A9" s="508"/>
      <c r="B9" s="515" t="s">
        <v>358</v>
      </c>
      <c r="C9" s="46" t="str">
        <f>Data!C9</f>
        <v>Qatar</v>
      </c>
      <c r="D9" s="293" t="str">
        <f t="shared" si="0"/>
        <v>11/2</v>
      </c>
      <c r="E9" s="496">
        <v>33</v>
      </c>
      <c r="F9" s="497">
        <v>1</v>
      </c>
      <c r="G9" s="516">
        <f t="shared" si="1"/>
        <v>0.14599999999999999</v>
      </c>
      <c r="H9" s="517">
        <f>F9/(E9+F9)/(1+I$7)</f>
        <v>2.5490913526039764E-2</v>
      </c>
      <c r="I9" s="737"/>
      <c r="J9" s="514">
        <f t="shared" si="2"/>
        <v>2.9411764705882353E-2</v>
      </c>
      <c r="K9" s="532"/>
      <c r="L9" s="515" t="str">
        <f>Data!I9</f>
        <v>C2</v>
      </c>
      <c r="M9" s="46" t="str">
        <f>Data!J9</f>
        <v>Morocco</v>
      </c>
      <c r="N9" s="293" t="str">
        <f t="shared" si="3"/>
        <v>39/1</v>
      </c>
      <c r="O9" s="496">
        <v>66</v>
      </c>
      <c r="P9" s="497">
        <v>1</v>
      </c>
      <c r="Q9" s="516">
        <f t="shared" si="4"/>
        <v>2.5000000000000001E-2</v>
      </c>
      <c r="R9" s="517">
        <f t="shared" si="5"/>
        <v>1.2166381723026682E-2</v>
      </c>
      <c r="S9" s="711"/>
      <c r="T9" s="523">
        <f t="shared" si="6"/>
        <v>1.4925373134328358E-2</v>
      </c>
      <c r="U9" s="532"/>
      <c r="V9" s="515" t="str">
        <f t="shared" si="7"/>
        <v>C2</v>
      </c>
      <c r="W9" s="46" t="str">
        <f t="shared" si="8"/>
        <v>Morocco</v>
      </c>
      <c r="X9" s="527">
        <f t="shared" si="9"/>
        <v>5.8000000000000003E-2</v>
      </c>
      <c r="Y9" s="534"/>
      <c r="Z9" s="515" t="str">
        <f t="shared" si="10"/>
        <v>C2</v>
      </c>
      <c r="AA9" s="46" t="str">
        <f t="shared" si="11"/>
        <v>Morocco</v>
      </c>
      <c r="AB9" s="527">
        <f t="shared" si="12"/>
        <v>0.13400000000000001</v>
      </c>
    </row>
    <row r="10" spans="1:28" ht="15.95" customHeight="1" thickBot="1" x14ac:dyDescent="0.3">
      <c r="A10" s="508"/>
      <c r="B10" s="518" t="s">
        <v>359</v>
      </c>
      <c r="C10" s="519" t="str">
        <f>Data!C10</f>
        <v>Switzerland</v>
      </c>
      <c r="D10" s="520" t="str">
        <f t="shared" si="0"/>
        <v>21/20</v>
      </c>
      <c r="E10" s="134">
        <v>8</v>
      </c>
      <c r="F10" s="135">
        <v>11</v>
      </c>
      <c r="G10" s="521">
        <f t="shared" si="1"/>
        <v>0.47899999999999998</v>
      </c>
      <c r="H10" s="522">
        <f>F10/(E10+F10)/(1+I$7)</f>
        <v>0.50176850835467746</v>
      </c>
      <c r="I10" s="738"/>
      <c r="J10" s="514">
        <f t="shared" si="2"/>
        <v>0.57894736842105265</v>
      </c>
      <c r="K10" s="532"/>
      <c r="L10" s="515" t="str">
        <f>Data!I10</f>
        <v>F1</v>
      </c>
      <c r="M10" s="46" t="str">
        <f>Data!J10</f>
        <v>Netherlands</v>
      </c>
      <c r="N10" s="293" t="str">
        <f t="shared" si="3"/>
        <v>23/1</v>
      </c>
      <c r="O10" s="496">
        <v>16</v>
      </c>
      <c r="P10" s="497">
        <v>1</v>
      </c>
      <c r="Q10" s="516">
        <f t="shared" si="4"/>
        <v>4.1000000000000002E-2</v>
      </c>
      <c r="R10" s="517">
        <f t="shared" si="5"/>
        <v>4.7949857378987513E-2</v>
      </c>
      <c r="S10" s="711"/>
      <c r="T10" s="523">
        <f t="shared" si="6"/>
        <v>5.8823529411764705E-2</v>
      </c>
      <c r="U10" s="532"/>
      <c r="V10" s="515" t="str">
        <f t="shared" si="7"/>
        <v>F1</v>
      </c>
      <c r="W10" s="46" t="str">
        <f t="shared" si="8"/>
        <v>Netherlands</v>
      </c>
      <c r="X10" s="527">
        <f t="shared" si="9"/>
        <v>7.8E-2</v>
      </c>
      <c r="Y10" s="534"/>
      <c r="Z10" s="515" t="str">
        <f t="shared" si="10"/>
        <v>F1</v>
      </c>
      <c r="AA10" s="46" t="str">
        <f t="shared" si="11"/>
        <v>Netherlands</v>
      </c>
      <c r="AB10" s="527">
        <f t="shared" si="12"/>
        <v>0.16900000000000001</v>
      </c>
    </row>
    <row r="11" spans="1:28" ht="15.95" customHeight="1" x14ac:dyDescent="0.25">
      <c r="A11" s="508"/>
      <c r="B11" s="509" t="s">
        <v>360</v>
      </c>
      <c r="C11" s="510" t="str">
        <f>Data!C11</f>
        <v>Brazil</v>
      </c>
      <c r="D11" s="511" t="str">
        <f t="shared" si="0"/>
        <v>51/50</v>
      </c>
      <c r="E11" s="132">
        <v>1</v>
      </c>
      <c r="F11" s="133">
        <v>4</v>
      </c>
      <c r="G11" s="512">
        <f t="shared" si="1"/>
        <v>0.49099999999999999</v>
      </c>
      <c r="H11" s="513">
        <f>F11/(E11+F11)/(1+I$11)</f>
        <v>0.69686640108423337</v>
      </c>
      <c r="I11" s="736">
        <f>IFERROR(SUM(J11:J14)-1,"")</f>
        <v>0.14799622819424818</v>
      </c>
      <c r="J11" s="514">
        <f t="shared" si="2"/>
        <v>0.8</v>
      </c>
      <c r="K11" s="532"/>
      <c r="L11" s="515" t="str">
        <f>Data!I11</f>
        <v>G1</v>
      </c>
      <c r="M11" s="46" t="str">
        <f>Data!J11</f>
        <v>Belgium</v>
      </c>
      <c r="N11" s="293" t="str">
        <f t="shared" si="3"/>
        <v>18/1</v>
      </c>
      <c r="O11" s="496">
        <v>20</v>
      </c>
      <c r="P11" s="497">
        <v>1</v>
      </c>
      <c r="Q11" s="516">
        <f t="shared" si="4"/>
        <v>5.1999999999999998E-2</v>
      </c>
      <c r="R11" s="517">
        <f t="shared" si="5"/>
        <v>3.8816551211561322E-2</v>
      </c>
      <c r="S11" s="711"/>
      <c r="T11" s="523">
        <f t="shared" si="6"/>
        <v>4.7619047619047616E-2</v>
      </c>
      <c r="U11" s="532"/>
      <c r="V11" s="515" t="str">
        <f t="shared" si="7"/>
        <v>G1</v>
      </c>
      <c r="W11" s="46" t="str">
        <f t="shared" si="8"/>
        <v>Belgium</v>
      </c>
      <c r="X11" s="527">
        <f t="shared" si="9"/>
        <v>0.10199999999999999</v>
      </c>
      <c r="Y11" s="534"/>
      <c r="Z11" s="515" t="str">
        <f t="shared" si="10"/>
        <v>G1</v>
      </c>
      <c r="AA11" s="46" t="str">
        <f t="shared" si="11"/>
        <v>Belgium</v>
      </c>
      <c r="AB11" s="527">
        <f t="shared" si="12"/>
        <v>0.20399999999999999</v>
      </c>
    </row>
    <row r="12" spans="1:28" ht="15.95" customHeight="1" x14ac:dyDescent="0.25">
      <c r="A12" s="508"/>
      <c r="B12" s="515" t="s">
        <v>361</v>
      </c>
      <c r="C12" s="46" t="str">
        <f>Data!C12</f>
        <v>Morocco</v>
      </c>
      <c r="D12" s="293" t="str">
        <f t="shared" si="0"/>
        <v>13/10</v>
      </c>
      <c r="E12" s="496">
        <v>16</v>
      </c>
      <c r="F12" s="497">
        <v>5</v>
      </c>
      <c r="G12" s="516">
        <f t="shared" si="1"/>
        <v>0.43</v>
      </c>
      <c r="H12" s="517">
        <f>F12/(E12+F12)/(1+I$11)</f>
        <v>0.20740071460840276</v>
      </c>
      <c r="I12" s="737"/>
      <c r="J12" s="514">
        <f t="shared" si="2"/>
        <v>0.23809523809523808</v>
      </c>
      <c r="K12" s="532"/>
      <c r="L12" s="515" t="str">
        <f>Data!I12</f>
        <v>E1</v>
      </c>
      <c r="M12" s="46" t="str">
        <f>Data!J12</f>
        <v>Germany</v>
      </c>
      <c r="N12" s="293" t="str">
        <f t="shared" si="3"/>
        <v>23/2</v>
      </c>
      <c r="O12" s="496">
        <v>14</v>
      </c>
      <c r="P12" s="497">
        <v>1</v>
      </c>
      <c r="Q12" s="516">
        <f t="shared" si="4"/>
        <v>7.8E-2</v>
      </c>
      <c r="R12" s="517">
        <f t="shared" si="5"/>
        <v>5.4343171696185855E-2</v>
      </c>
      <c r="S12" s="711"/>
      <c r="T12" s="523">
        <f t="shared" si="6"/>
        <v>6.6666666666666666E-2</v>
      </c>
      <c r="U12" s="532"/>
      <c r="V12" s="515" t="str">
        <f t="shared" si="7"/>
        <v>E1</v>
      </c>
      <c r="W12" s="46" t="str">
        <f t="shared" si="8"/>
        <v>Germany</v>
      </c>
      <c r="X12" s="527">
        <f t="shared" si="9"/>
        <v>0.14799999999999999</v>
      </c>
      <c r="Y12" s="534"/>
      <c r="Z12" s="515" t="str">
        <f t="shared" si="10"/>
        <v>E1</v>
      </c>
      <c r="AA12" s="46" t="str">
        <f t="shared" si="11"/>
        <v>Germany</v>
      </c>
      <c r="AB12" s="527">
        <f t="shared" si="12"/>
        <v>0.26900000000000002</v>
      </c>
    </row>
    <row r="13" spans="1:28" ht="15.95" customHeight="1" x14ac:dyDescent="0.25">
      <c r="A13" s="508"/>
      <c r="B13" s="515" t="s">
        <v>362</v>
      </c>
      <c r="C13" s="46" t="str">
        <f>Data!C13</f>
        <v>Haiti</v>
      </c>
      <c r="D13" s="293" t="str">
        <f t="shared" si="0"/>
        <v>100/1</v>
      </c>
      <c r="E13" s="496">
        <v>100</v>
      </c>
      <c r="F13" s="497">
        <v>1</v>
      </c>
      <c r="G13" s="516">
        <f t="shared" si="1"/>
        <v>1E-3</v>
      </c>
      <c r="H13" s="517">
        <f>F13/(E13+F13)/(1+I$11)</f>
        <v>8.6245841718345703E-3</v>
      </c>
      <c r="I13" s="737"/>
      <c r="J13" s="514">
        <f t="shared" si="2"/>
        <v>9.9009900990099011E-3</v>
      </c>
      <c r="K13" s="532"/>
      <c r="L13" s="515" t="str">
        <f>Data!I13</f>
        <v>L2</v>
      </c>
      <c r="M13" s="46" t="str">
        <f>Data!J13</f>
        <v>Croatia</v>
      </c>
      <c r="N13" s="293" t="str">
        <f t="shared" si="3"/>
        <v>49/1</v>
      </c>
      <c r="O13" s="496">
        <v>80</v>
      </c>
      <c r="P13" s="497">
        <v>1</v>
      </c>
      <c r="Q13" s="516">
        <f t="shared" si="4"/>
        <v>0.02</v>
      </c>
      <c r="R13" s="517">
        <f t="shared" si="5"/>
        <v>1.006355031410849E-2</v>
      </c>
      <c r="S13" s="711"/>
      <c r="T13" s="523">
        <f t="shared" si="6"/>
        <v>1.2345679012345678E-2</v>
      </c>
      <c r="U13" s="532"/>
      <c r="V13" s="515" t="str">
        <f t="shared" si="7"/>
        <v>L2</v>
      </c>
      <c r="W13" s="46" t="str">
        <f t="shared" si="8"/>
        <v>Croatia</v>
      </c>
      <c r="X13" s="527">
        <f t="shared" si="9"/>
        <v>5.1999999999999998E-2</v>
      </c>
      <c r="Y13" s="534"/>
      <c r="Z13" s="515" t="str">
        <f t="shared" si="10"/>
        <v>L2</v>
      </c>
      <c r="AA13" s="46" t="str">
        <f t="shared" si="11"/>
        <v>Croatia</v>
      </c>
      <c r="AB13" s="527">
        <f t="shared" si="12"/>
        <v>0.123</v>
      </c>
    </row>
    <row r="14" spans="1:28" ht="15.95" customHeight="1" thickBot="1" x14ac:dyDescent="0.3">
      <c r="A14" s="508"/>
      <c r="B14" s="518" t="s">
        <v>363</v>
      </c>
      <c r="C14" s="519" t="str">
        <f>Data!C14</f>
        <v>Scotland</v>
      </c>
      <c r="D14" s="520" t="str">
        <f t="shared" si="0"/>
        <v>23/2</v>
      </c>
      <c r="E14" s="134">
        <v>9</v>
      </c>
      <c r="F14" s="135">
        <v>1</v>
      </c>
      <c r="G14" s="521">
        <f t="shared" si="1"/>
        <v>7.8E-2</v>
      </c>
      <c r="H14" s="522">
        <f>F14/(E14+F14)/(1+I$11)</f>
        <v>8.7108300135529171E-2</v>
      </c>
      <c r="I14" s="738"/>
      <c r="J14" s="514">
        <f t="shared" si="2"/>
        <v>0.1</v>
      </c>
      <c r="K14" s="532"/>
      <c r="L14" s="515" t="str">
        <f>Data!I14</f>
        <v>K4</v>
      </c>
      <c r="M14" s="46" t="str">
        <f>Data!J14</f>
        <v>Colombia</v>
      </c>
      <c r="N14" s="293" t="str">
        <f t="shared" si="3"/>
        <v>28/1</v>
      </c>
      <c r="O14" s="496">
        <v>40</v>
      </c>
      <c r="P14" s="497">
        <v>1</v>
      </c>
      <c r="Q14" s="516">
        <f t="shared" si="4"/>
        <v>3.4000000000000002E-2</v>
      </c>
      <c r="R14" s="517">
        <f t="shared" si="5"/>
        <v>1.988164818153141E-2</v>
      </c>
      <c r="S14" s="711"/>
      <c r="T14" s="523">
        <f t="shared" si="6"/>
        <v>2.4390243902439025E-2</v>
      </c>
      <c r="U14" s="532"/>
      <c r="V14" s="515" t="str">
        <f t="shared" si="7"/>
        <v>K4</v>
      </c>
      <c r="W14" s="46" t="str">
        <f t="shared" si="8"/>
        <v>Colombia</v>
      </c>
      <c r="X14" s="527">
        <f t="shared" si="9"/>
        <v>7.6999999999999999E-2</v>
      </c>
      <c r="Y14" s="534"/>
      <c r="Z14" s="515" t="str">
        <f t="shared" si="10"/>
        <v>K4</v>
      </c>
      <c r="AA14" s="46" t="str">
        <f t="shared" si="11"/>
        <v>Colombia</v>
      </c>
      <c r="AB14" s="527">
        <f t="shared" si="12"/>
        <v>0.157</v>
      </c>
    </row>
    <row r="15" spans="1:28" ht="15.95" customHeight="1" x14ac:dyDescent="0.25">
      <c r="A15" s="508"/>
      <c r="B15" s="509" t="s">
        <v>364</v>
      </c>
      <c r="C15" s="510" t="str">
        <f>Data!C15</f>
        <v>USA</v>
      </c>
      <c r="D15" s="511" t="str">
        <f t="shared" si="0"/>
        <v>14/25</v>
      </c>
      <c r="E15" s="132">
        <v>5</v>
      </c>
      <c r="F15" s="133">
        <v>4</v>
      </c>
      <c r="G15" s="512">
        <f t="shared" si="1"/>
        <v>0.64100000000000001</v>
      </c>
      <c r="H15" s="513">
        <f>F15/(E15+F15)/(1+I$15)</f>
        <v>0.40280210157618213</v>
      </c>
      <c r="I15" s="736">
        <f>IFERROR(SUM(J15:J18)-1,"")</f>
        <v>0.10338164251207727</v>
      </c>
      <c r="J15" s="514">
        <f t="shared" si="2"/>
        <v>0.44444444444444442</v>
      </c>
      <c r="K15" s="532"/>
      <c r="L15" s="515" t="str">
        <f>Data!I15</f>
        <v>A1</v>
      </c>
      <c r="M15" s="46" t="str">
        <f>Data!J15</f>
        <v>Mexico</v>
      </c>
      <c r="N15" s="293" t="str">
        <f t="shared" si="3"/>
        <v>29/1</v>
      </c>
      <c r="O15" s="496">
        <v>66</v>
      </c>
      <c r="P15" s="497">
        <v>1</v>
      </c>
      <c r="Q15" s="516">
        <f t="shared" si="4"/>
        <v>3.3000000000000002E-2</v>
      </c>
      <c r="R15" s="517">
        <f t="shared" si="5"/>
        <v>1.2166381723026682E-2</v>
      </c>
      <c r="S15" s="711"/>
      <c r="T15" s="523">
        <f t="shared" si="6"/>
        <v>1.4925373134328358E-2</v>
      </c>
      <c r="U15" s="532"/>
      <c r="V15" s="515" t="str">
        <f t="shared" si="7"/>
        <v>A1</v>
      </c>
      <c r="W15" s="46" t="str">
        <f t="shared" si="8"/>
        <v>Mexico</v>
      </c>
      <c r="X15" s="527">
        <f t="shared" si="9"/>
        <v>6.7000000000000004E-2</v>
      </c>
      <c r="Y15" s="534"/>
      <c r="Z15" s="515" t="str">
        <f t="shared" si="10"/>
        <v>A1</v>
      </c>
      <c r="AA15" s="46" t="str">
        <f t="shared" si="11"/>
        <v>Mexico</v>
      </c>
      <c r="AB15" s="527">
        <f t="shared" si="12"/>
        <v>0.15</v>
      </c>
    </row>
    <row r="16" spans="1:28" ht="15.95" customHeight="1" x14ac:dyDescent="0.25">
      <c r="A16" s="508"/>
      <c r="B16" s="515" t="s">
        <v>365</v>
      </c>
      <c r="C16" s="46" t="str">
        <f>Data!C16</f>
        <v>Paraguay</v>
      </c>
      <c r="D16" s="293" t="str">
        <f t="shared" si="0"/>
        <v>46/1</v>
      </c>
      <c r="E16" s="496">
        <v>4</v>
      </c>
      <c r="F16" s="497">
        <v>1</v>
      </c>
      <c r="G16" s="516">
        <f t="shared" si="1"/>
        <v>2.1000000000000001E-2</v>
      </c>
      <c r="H16" s="517">
        <f>F16/(E16+F16)/(1+I$15)</f>
        <v>0.18126094570928197</v>
      </c>
      <c r="I16" s="737"/>
      <c r="J16" s="514">
        <f t="shared" si="2"/>
        <v>0.2</v>
      </c>
      <c r="K16" s="532"/>
      <c r="L16" s="515" t="str">
        <f>Data!I16</f>
        <v>I2</v>
      </c>
      <c r="M16" s="46" t="str">
        <f>Data!J16</f>
        <v>Senegal</v>
      </c>
      <c r="N16" s="293" t="str">
        <f t="shared" si="3"/>
        <v>100/1</v>
      </c>
      <c r="O16" s="496">
        <v>150</v>
      </c>
      <c r="P16" s="497">
        <v>1</v>
      </c>
      <c r="Q16" s="516">
        <f t="shared" si="4"/>
        <v>8.0000000000000002E-3</v>
      </c>
      <c r="R16" s="517">
        <f t="shared" si="5"/>
        <v>5.3983283141906474E-3</v>
      </c>
      <c r="S16" s="711"/>
      <c r="T16" s="523">
        <f t="shared" si="6"/>
        <v>6.6225165562913907E-3</v>
      </c>
      <c r="U16" s="532"/>
      <c r="V16" s="515" t="str">
        <f t="shared" si="7"/>
        <v>I2</v>
      </c>
      <c r="W16" s="46" t="str">
        <f t="shared" si="8"/>
        <v>Senegal</v>
      </c>
      <c r="X16" s="527">
        <f t="shared" si="9"/>
        <v>0.03</v>
      </c>
      <c r="Y16" s="534"/>
      <c r="Z16" s="515" t="str">
        <f t="shared" si="10"/>
        <v>I2</v>
      </c>
      <c r="AA16" s="46" t="str">
        <f t="shared" si="11"/>
        <v>Senegal</v>
      </c>
      <c r="AB16" s="527">
        <f t="shared" si="12"/>
        <v>7.1999999999999995E-2</v>
      </c>
    </row>
    <row r="17" spans="1:28" ht="15.95" customHeight="1" x14ac:dyDescent="0.25">
      <c r="A17" s="508"/>
      <c r="B17" s="515" t="s">
        <v>366</v>
      </c>
      <c r="C17" s="46" t="str">
        <f>Data!C17</f>
        <v>Australia</v>
      </c>
      <c r="D17" s="293" t="str">
        <f t="shared" si="0"/>
        <v>12/5</v>
      </c>
      <c r="E17" s="496">
        <v>8</v>
      </c>
      <c r="F17" s="497">
        <v>1</v>
      </c>
      <c r="G17" s="516">
        <f t="shared" si="1"/>
        <v>0.28899999999999998</v>
      </c>
      <c r="H17" s="517">
        <f>F17/(E17+F17)/(1+I$15)</f>
        <v>0.10070052539404553</v>
      </c>
      <c r="I17" s="737"/>
      <c r="J17" s="514">
        <f t="shared" si="2"/>
        <v>0.1111111111111111</v>
      </c>
      <c r="K17" s="532"/>
      <c r="L17" s="515" t="str">
        <f>Data!I17</f>
        <v>H4</v>
      </c>
      <c r="M17" s="46" t="str">
        <f>Data!J17</f>
        <v>Uruguay</v>
      </c>
      <c r="N17" s="293" t="str">
        <f t="shared" si="3"/>
        <v>75/1</v>
      </c>
      <c r="O17" s="496">
        <v>66</v>
      </c>
      <c r="P17" s="497">
        <v>1</v>
      </c>
      <c r="Q17" s="516">
        <f t="shared" si="4"/>
        <v>1.2999999999999999E-2</v>
      </c>
      <c r="R17" s="517">
        <f t="shared" si="5"/>
        <v>1.2166381723026682E-2</v>
      </c>
      <c r="S17" s="711"/>
      <c r="T17" s="523">
        <f t="shared" si="6"/>
        <v>1.4925373134328358E-2</v>
      </c>
      <c r="U17" s="532"/>
      <c r="V17" s="515" t="str">
        <f t="shared" si="7"/>
        <v>H4</v>
      </c>
      <c r="W17" s="46" t="str">
        <f t="shared" si="8"/>
        <v>Uruguay</v>
      </c>
      <c r="X17" s="527">
        <f t="shared" si="9"/>
        <v>3.9E-2</v>
      </c>
      <c r="Y17" s="534"/>
      <c r="Z17" s="515" t="str">
        <f t="shared" si="10"/>
        <v>H4</v>
      </c>
      <c r="AA17" s="46" t="str">
        <f t="shared" si="11"/>
        <v>Uruguay</v>
      </c>
      <c r="AB17" s="527">
        <f t="shared" si="12"/>
        <v>8.6999999999999994E-2</v>
      </c>
    </row>
    <row r="18" spans="1:28" ht="15.95" customHeight="1" thickBot="1" x14ac:dyDescent="0.3">
      <c r="A18" s="508"/>
      <c r="B18" s="518" t="s">
        <v>367</v>
      </c>
      <c r="C18" s="519" t="str">
        <f>Data!C18</f>
        <v>Turkiye</v>
      </c>
      <c r="D18" s="520" t="str">
        <f t="shared" si="0"/>
        <v>19/1</v>
      </c>
      <c r="E18" s="134">
        <v>15</v>
      </c>
      <c r="F18" s="135">
        <v>8</v>
      </c>
      <c r="G18" s="521">
        <f t="shared" si="1"/>
        <v>4.9000000000000002E-2</v>
      </c>
      <c r="H18" s="522">
        <f>F18/(E18+F18)/(1+I$15)</f>
        <v>0.31523642732049034</v>
      </c>
      <c r="I18" s="738"/>
      <c r="J18" s="514">
        <f t="shared" si="2"/>
        <v>0.34782608695652173</v>
      </c>
      <c r="K18" s="532"/>
      <c r="L18" s="515" t="str">
        <f>Data!I18</f>
        <v>D1</v>
      </c>
      <c r="M18" s="46" t="str">
        <f>Data!J18</f>
        <v>USA</v>
      </c>
      <c r="N18" s="293" t="str">
        <f t="shared" si="3"/>
        <v>51/1</v>
      </c>
      <c r="O18" s="496">
        <v>66</v>
      </c>
      <c r="P18" s="497">
        <v>1</v>
      </c>
      <c r="Q18" s="516">
        <f t="shared" si="4"/>
        <v>1.9E-2</v>
      </c>
      <c r="R18" s="517">
        <f t="shared" si="5"/>
        <v>1.2166381723026682E-2</v>
      </c>
      <c r="S18" s="711"/>
      <c r="T18" s="523">
        <f t="shared" si="6"/>
        <v>1.4925373134328358E-2</v>
      </c>
      <c r="U18" s="532"/>
      <c r="V18" s="515" t="str">
        <f t="shared" si="7"/>
        <v>D1</v>
      </c>
      <c r="W18" s="46" t="str">
        <f t="shared" si="8"/>
        <v>USA</v>
      </c>
      <c r="X18" s="527">
        <f t="shared" si="9"/>
        <v>5.0999999999999997E-2</v>
      </c>
      <c r="Y18" s="534"/>
      <c r="Z18" s="515" t="str">
        <f t="shared" si="10"/>
        <v>D1</v>
      </c>
      <c r="AA18" s="46" t="str">
        <f t="shared" si="11"/>
        <v>USA</v>
      </c>
      <c r="AB18" s="527">
        <f t="shared" si="12"/>
        <v>0.14000000000000001</v>
      </c>
    </row>
    <row r="19" spans="1:28" ht="15.95" customHeight="1" x14ac:dyDescent="0.25">
      <c r="A19" s="508"/>
      <c r="B19" s="509" t="s">
        <v>368</v>
      </c>
      <c r="C19" s="510" t="str">
        <f>Data!C19</f>
        <v>Germany</v>
      </c>
      <c r="D19" s="511" t="str">
        <f t="shared" si="0"/>
        <v>7/25</v>
      </c>
      <c r="E19" s="132">
        <v>1</v>
      </c>
      <c r="F19" s="133">
        <v>3</v>
      </c>
      <c r="G19" s="512">
        <f t="shared" si="1"/>
        <v>0.77900000000000003</v>
      </c>
      <c r="H19" s="513">
        <f>F19/(E19+F19)/(1+I$19)</f>
        <v>0.652989349962247</v>
      </c>
      <c r="I19" s="736">
        <f>IFERROR(SUM(J19:J22)-1,"")</f>
        <v>0.14856390849768331</v>
      </c>
      <c r="J19" s="514">
        <f t="shared" si="2"/>
        <v>0.75</v>
      </c>
      <c r="K19" s="532"/>
      <c r="L19" s="515" t="str">
        <f>Data!I19</f>
        <v>F2</v>
      </c>
      <c r="M19" s="46" t="str">
        <f>Data!J19</f>
        <v>Japan</v>
      </c>
      <c r="N19" s="293" t="str">
        <f t="shared" si="3"/>
        <v>89/1</v>
      </c>
      <c r="O19" s="496">
        <v>50</v>
      </c>
      <c r="P19" s="497">
        <v>1</v>
      </c>
      <c r="Q19" s="516">
        <f t="shared" si="4"/>
        <v>1.0999999999999999E-2</v>
      </c>
      <c r="R19" s="517">
        <f t="shared" si="5"/>
        <v>1.5983285792995839E-2</v>
      </c>
      <c r="S19" s="711"/>
      <c r="T19" s="523">
        <f t="shared" si="6"/>
        <v>1.9607843137254902E-2</v>
      </c>
      <c r="U19" s="532"/>
      <c r="V19" s="515" t="str">
        <f t="shared" si="7"/>
        <v>F2</v>
      </c>
      <c r="W19" s="46" t="str">
        <f t="shared" si="8"/>
        <v>Japan</v>
      </c>
      <c r="X19" s="527">
        <f t="shared" si="9"/>
        <v>3.4000000000000002E-2</v>
      </c>
      <c r="Y19" s="534"/>
      <c r="Z19" s="515" t="str">
        <f t="shared" si="10"/>
        <v>F2</v>
      </c>
      <c r="AA19" s="46" t="str">
        <f t="shared" si="11"/>
        <v>Japan</v>
      </c>
      <c r="AB19" s="527">
        <f t="shared" si="12"/>
        <v>8.4000000000000005E-2</v>
      </c>
    </row>
    <row r="20" spans="1:28" ht="15.95" customHeight="1" x14ac:dyDescent="0.25">
      <c r="A20" s="508"/>
      <c r="B20" s="515" t="s">
        <v>369</v>
      </c>
      <c r="C20" s="46" t="str">
        <f>Data!C20</f>
        <v>Curaçao</v>
      </c>
      <c r="D20" s="293" t="str">
        <f t="shared" si="0"/>
        <v>100/1</v>
      </c>
      <c r="E20" s="496">
        <v>150</v>
      </c>
      <c r="F20" s="497">
        <v>1</v>
      </c>
      <c r="G20" s="516">
        <f t="shared" si="1"/>
        <v>3.0000000000000001E-3</v>
      </c>
      <c r="H20" s="517">
        <f>F20/(E20+F20)/(1+I$19)</f>
        <v>5.7659103749425787E-3</v>
      </c>
      <c r="I20" s="737"/>
      <c r="J20" s="514">
        <f t="shared" si="2"/>
        <v>6.6225165562913907E-3</v>
      </c>
      <c r="K20" s="532"/>
      <c r="L20" s="515" t="str">
        <f>Data!I20</f>
        <v>B4</v>
      </c>
      <c r="M20" s="46" t="str">
        <f>Data!J20</f>
        <v>Switzerland</v>
      </c>
      <c r="N20" s="293" t="str">
        <f t="shared" si="3"/>
        <v>100/1</v>
      </c>
      <c r="O20" s="496">
        <v>66</v>
      </c>
      <c r="P20" s="497">
        <v>1</v>
      </c>
      <c r="Q20" s="516">
        <f t="shared" si="4"/>
        <v>5.0000000000000001E-3</v>
      </c>
      <c r="R20" s="517">
        <f t="shared" si="5"/>
        <v>1.2166381723026682E-2</v>
      </c>
      <c r="S20" s="711"/>
      <c r="T20" s="523">
        <f t="shared" si="6"/>
        <v>1.4925373134328358E-2</v>
      </c>
      <c r="U20" s="532"/>
      <c r="V20" s="515" t="str">
        <f t="shared" si="7"/>
        <v>B4</v>
      </c>
      <c r="W20" s="46" t="str">
        <f t="shared" si="8"/>
        <v>Switzerland</v>
      </c>
      <c r="X20" s="527">
        <f t="shared" si="9"/>
        <v>2.7E-2</v>
      </c>
      <c r="Y20" s="534"/>
      <c r="Z20" s="515" t="str">
        <f t="shared" si="10"/>
        <v>B4</v>
      </c>
      <c r="AA20" s="46" t="str">
        <f t="shared" si="11"/>
        <v>Switzerland</v>
      </c>
      <c r="AB20" s="527">
        <f t="shared" si="12"/>
        <v>6.9000000000000006E-2</v>
      </c>
    </row>
    <row r="21" spans="1:28" ht="15.95" customHeight="1" x14ac:dyDescent="0.25">
      <c r="A21" s="508"/>
      <c r="B21" s="515" t="s">
        <v>370</v>
      </c>
      <c r="C21" s="46" t="str">
        <f>Data!C21</f>
        <v>Cote d'Ivorie</v>
      </c>
      <c r="D21" s="293" t="str">
        <f t="shared" si="0"/>
        <v>13/2</v>
      </c>
      <c r="E21" s="496">
        <v>11</v>
      </c>
      <c r="F21" s="497">
        <v>2</v>
      </c>
      <c r="G21" s="516">
        <f t="shared" si="1"/>
        <v>0.128</v>
      </c>
      <c r="H21" s="517">
        <f>F21/(E21+F21)/(1+I$19)</f>
        <v>0.13394653332558915</v>
      </c>
      <c r="I21" s="737"/>
      <c r="J21" s="514">
        <f t="shared" si="2"/>
        <v>0.15384615384615385</v>
      </c>
      <c r="K21" s="532"/>
      <c r="L21" s="515" t="str">
        <f>Data!I21</f>
        <v>G3</v>
      </c>
      <c r="M21" s="46" t="str">
        <f>Data!J21</f>
        <v>IR Iran</v>
      </c>
      <c r="N21" s="293" t="str">
        <f t="shared" si="3"/>
        <v>100/1</v>
      </c>
      <c r="O21" s="496">
        <v>500</v>
      </c>
      <c r="P21" s="497">
        <v>1</v>
      </c>
      <c r="Q21" s="516">
        <f t="shared" si="4"/>
        <v>2E-3</v>
      </c>
      <c r="R21" s="517">
        <f t="shared" si="5"/>
        <v>1.6270410687480794E-3</v>
      </c>
      <c r="S21" s="711"/>
      <c r="T21" s="523">
        <f t="shared" si="6"/>
        <v>1.996007984031936E-3</v>
      </c>
      <c r="U21" s="532"/>
      <c r="V21" s="515" t="str">
        <f t="shared" si="7"/>
        <v>G3</v>
      </c>
      <c r="W21" s="46" t="str">
        <f t="shared" si="8"/>
        <v>IR Iran</v>
      </c>
      <c r="X21" s="527">
        <f t="shared" si="9"/>
        <v>7.0000000000000001E-3</v>
      </c>
      <c r="Y21" s="534"/>
      <c r="Z21" s="515" t="str">
        <f t="shared" si="10"/>
        <v>G3</v>
      </c>
      <c r="AA21" s="46" t="str">
        <f t="shared" si="11"/>
        <v>IR Iran</v>
      </c>
      <c r="AB21" s="527">
        <f t="shared" si="12"/>
        <v>0.02</v>
      </c>
    </row>
    <row r="22" spans="1:28" ht="15.95" customHeight="1" thickBot="1" x14ac:dyDescent="0.3">
      <c r="A22" s="508"/>
      <c r="B22" s="518" t="s">
        <v>371</v>
      </c>
      <c r="C22" s="519" t="str">
        <f>Data!C22</f>
        <v>Ecuador</v>
      </c>
      <c r="D22" s="520" t="str">
        <f t="shared" si="0"/>
        <v>10/1</v>
      </c>
      <c r="E22" s="134">
        <v>16</v>
      </c>
      <c r="F22" s="135">
        <v>5</v>
      </c>
      <c r="G22" s="521">
        <f t="shared" si="1"/>
        <v>0.09</v>
      </c>
      <c r="H22" s="522">
        <f>F22/(E22+F22)/(1+I$19)</f>
        <v>0.20729820633722126</v>
      </c>
      <c r="I22" s="738"/>
      <c r="J22" s="514">
        <f t="shared" si="2"/>
        <v>0.23809523809523808</v>
      </c>
      <c r="K22" s="532"/>
      <c r="L22" s="515" t="str">
        <f>Data!I22</f>
        <v>D4</v>
      </c>
      <c r="M22" s="46" t="str">
        <f>Data!J22</f>
        <v>Turkiye</v>
      </c>
      <c r="N22" s="293" t="str">
        <f t="shared" si="3"/>
        <v>100/1</v>
      </c>
      <c r="O22" s="496">
        <v>80</v>
      </c>
      <c r="P22" s="497">
        <v>1</v>
      </c>
      <c r="Q22" s="516">
        <f t="shared" si="4"/>
        <v>1E-3</v>
      </c>
      <c r="R22" s="517">
        <f t="shared" si="5"/>
        <v>1.006355031410849E-2</v>
      </c>
      <c r="S22" s="711"/>
      <c r="T22" s="523">
        <f t="shared" si="6"/>
        <v>1.2345679012345678E-2</v>
      </c>
      <c r="U22" s="532"/>
      <c r="V22" s="515" t="str">
        <f t="shared" si="7"/>
        <v>D4</v>
      </c>
      <c r="W22" s="46" t="str">
        <f t="shared" si="8"/>
        <v>Turkiye</v>
      </c>
      <c r="X22" s="527">
        <f t="shared" si="9"/>
        <v>5.0000000000000001E-3</v>
      </c>
      <c r="Y22" s="534"/>
      <c r="Z22" s="515" t="str">
        <f t="shared" si="10"/>
        <v>D4</v>
      </c>
      <c r="AA22" s="46" t="str">
        <f t="shared" si="11"/>
        <v>Turkiye</v>
      </c>
      <c r="AB22" s="527">
        <f t="shared" si="12"/>
        <v>1.4E-2</v>
      </c>
    </row>
    <row r="23" spans="1:28" ht="15.95" customHeight="1" x14ac:dyDescent="0.25">
      <c r="A23" s="508"/>
      <c r="B23" s="509" t="s">
        <v>372</v>
      </c>
      <c r="C23" s="510" t="str">
        <f>Data!C23</f>
        <v>Netherlands</v>
      </c>
      <c r="D23" s="511" t="str">
        <f t="shared" si="0"/>
        <v>11/10</v>
      </c>
      <c r="E23" s="132">
        <v>4</v>
      </c>
      <c r="F23" s="133">
        <v>5</v>
      </c>
      <c r="G23" s="512">
        <f t="shared" si="1"/>
        <v>0.45800000000000002</v>
      </c>
      <c r="H23" s="513">
        <f>F23/(E23+F23)/(1+I$23)</f>
        <v>0.50504540867810299</v>
      </c>
      <c r="I23" s="736">
        <f>IFERROR(SUM(J23:J26)-1,"")</f>
        <v>0.10001110001109992</v>
      </c>
      <c r="J23" s="514">
        <f t="shared" si="2"/>
        <v>0.55555555555555558</v>
      </c>
      <c r="K23" s="532"/>
      <c r="L23" s="515" t="str">
        <f>Data!I23</f>
        <v>E4</v>
      </c>
      <c r="M23" s="46" t="str">
        <f>Data!J23</f>
        <v>Ecuador</v>
      </c>
      <c r="N23" s="293" t="str">
        <f t="shared" si="3"/>
        <v>100/1</v>
      </c>
      <c r="O23" s="496">
        <v>100</v>
      </c>
      <c r="P23" s="497">
        <v>1</v>
      </c>
      <c r="Q23" s="516">
        <f t="shared" si="4"/>
        <v>1E-3</v>
      </c>
      <c r="R23" s="517">
        <f t="shared" si="5"/>
        <v>8.070768073690969E-3</v>
      </c>
      <c r="S23" s="711"/>
      <c r="T23" s="523">
        <f t="shared" si="6"/>
        <v>9.9009900990099011E-3</v>
      </c>
      <c r="U23" s="532"/>
      <c r="V23" s="515" t="str">
        <f t="shared" si="7"/>
        <v>E4</v>
      </c>
      <c r="W23" s="46" t="str">
        <f t="shared" si="8"/>
        <v>Ecuador</v>
      </c>
      <c r="X23" s="527">
        <f t="shared" si="9"/>
        <v>1.0999999999999999E-2</v>
      </c>
      <c r="Y23" s="534"/>
      <c r="Z23" s="515" t="str">
        <f t="shared" si="10"/>
        <v>E4</v>
      </c>
      <c r="AA23" s="46" t="str">
        <f t="shared" si="11"/>
        <v>Ecuador</v>
      </c>
      <c r="AB23" s="527">
        <f t="shared" si="12"/>
        <v>3.7999999999999999E-2</v>
      </c>
    </row>
    <row r="24" spans="1:28" ht="15.95" customHeight="1" x14ac:dyDescent="0.25">
      <c r="A24" s="508"/>
      <c r="B24" s="515" t="s">
        <v>373</v>
      </c>
      <c r="C24" s="46" t="str">
        <f>Data!C24</f>
        <v>Japan</v>
      </c>
      <c r="D24" s="293" t="str">
        <f t="shared" si="0"/>
        <v>23/10</v>
      </c>
      <c r="E24" s="496">
        <v>5</v>
      </c>
      <c r="F24" s="497">
        <v>2</v>
      </c>
      <c r="G24" s="516">
        <f t="shared" si="1"/>
        <v>0.30199999999999999</v>
      </c>
      <c r="H24" s="517">
        <f>F24/(E24+F24)/(1+I$23)</f>
        <v>0.25973763874873868</v>
      </c>
      <c r="I24" s="737"/>
      <c r="J24" s="514">
        <f t="shared" si="2"/>
        <v>0.2857142857142857</v>
      </c>
      <c r="K24" s="532"/>
      <c r="L24" s="515" t="str">
        <f>Data!I24</f>
        <v>J3</v>
      </c>
      <c r="M24" s="46" t="str">
        <f>Data!J24</f>
        <v>Austria</v>
      </c>
      <c r="N24" s="293" t="str">
        <f t="shared" si="3"/>
        <v>100/1</v>
      </c>
      <c r="O24" s="496">
        <v>100</v>
      </c>
      <c r="P24" s="497">
        <v>1</v>
      </c>
      <c r="Q24" s="516">
        <f t="shared" si="4"/>
        <v>5.0000000000000001E-3</v>
      </c>
      <c r="R24" s="517">
        <f t="shared" si="5"/>
        <v>8.070768073690969E-3</v>
      </c>
      <c r="S24" s="711"/>
      <c r="T24" s="523">
        <f t="shared" si="6"/>
        <v>9.9009900990099011E-3</v>
      </c>
      <c r="U24" s="532"/>
      <c r="V24" s="515" t="str">
        <f t="shared" si="7"/>
        <v>J3</v>
      </c>
      <c r="W24" s="46" t="str">
        <f t="shared" si="8"/>
        <v>Austria</v>
      </c>
      <c r="X24" s="527">
        <f t="shared" si="9"/>
        <v>1.4999999999999999E-2</v>
      </c>
      <c r="Y24" s="534"/>
      <c r="Z24" s="515" t="str">
        <f t="shared" si="10"/>
        <v>J3</v>
      </c>
      <c r="AA24" s="46" t="str">
        <f t="shared" si="11"/>
        <v>Austria</v>
      </c>
      <c r="AB24" s="527">
        <f t="shared" si="12"/>
        <v>5.8000000000000003E-2</v>
      </c>
    </row>
    <row r="25" spans="1:28" ht="15.95" customHeight="1" x14ac:dyDescent="0.25">
      <c r="A25" s="508"/>
      <c r="B25" s="515" t="s">
        <v>374</v>
      </c>
      <c r="C25" s="46" t="str">
        <f>Data!C25</f>
        <v>Sweden</v>
      </c>
      <c r="D25" s="293" t="str">
        <f t="shared" si="0"/>
        <v>10/3</v>
      </c>
      <c r="E25" s="496">
        <v>9</v>
      </c>
      <c r="F25" s="497">
        <v>2</v>
      </c>
      <c r="G25" s="516">
        <f t="shared" si="1"/>
        <v>0.22800000000000001</v>
      </c>
      <c r="H25" s="517">
        <f>F25/(E25+F25)/(1+I$23)</f>
        <v>0.16528758829465187</v>
      </c>
      <c r="I25" s="737"/>
      <c r="J25" s="514">
        <f t="shared" si="2"/>
        <v>0.18181818181818182</v>
      </c>
      <c r="K25" s="532"/>
      <c r="L25" s="515" t="str">
        <f>Data!I25</f>
        <v>A3</v>
      </c>
      <c r="M25" s="46" t="str">
        <f>Data!J25</f>
        <v>Korea Republic</v>
      </c>
      <c r="N25" s="293" t="str">
        <f t="shared" si="3"/>
        <v>100/1</v>
      </c>
      <c r="O25" s="496">
        <v>500</v>
      </c>
      <c r="P25" s="497">
        <v>1</v>
      </c>
      <c r="Q25" s="516">
        <f t="shared" si="4"/>
        <v>5.0000000000000001E-3</v>
      </c>
      <c r="R25" s="517">
        <f t="shared" si="5"/>
        <v>1.6270410687480794E-3</v>
      </c>
      <c r="S25" s="711"/>
      <c r="T25" s="523">
        <f t="shared" si="6"/>
        <v>1.996007984031936E-3</v>
      </c>
      <c r="U25" s="532"/>
      <c r="V25" s="515" t="str">
        <f t="shared" si="7"/>
        <v>A3</v>
      </c>
      <c r="W25" s="46" t="str">
        <f t="shared" si="8"/>
        <v>Korea Republic</v>
      </c>
      <c r="X25" s="527">
        <f t="shared" si="9"/>
        <v>2.1000000000000001E-2</v>
      </c>
      <c r="Y25" s="534"/>
      <c r="Z25" s="515" t="str">
        <f t="shared" si="10"/>
        <v>A3</v>
      </c>
      <c r="AA25" s="46" t="str">
        <f t="shared" si="11"/>
        <v>Korea Republic</v>
      </c>
      <c r="AB25" s="527">
        <f t="shared" si="12"/>
        <v>5.1999999999999998E-2</v>
      </c>
    </row>
    <row r="26" spans="1:28" ht="15.95" customHeight="1" thickBot="1" x14ac:dyDescent="0.3">
      <c r="A26" s="508"/>
      <c r="B26" s="518" t="s">
        <v>375</v>
      </c>
      <c r="C26" s="519" t="str">
        <f>Data!C26</f>
        <v>Tunisia</v>
      </c>
      <c r="D26" s="520" t="str">
        <f t="shared" si="0"/>
        <v>82/1</v>
      </c>
      <c r="E26" s="134">
        <v>12</v>
      </c>
      <c r="F26" s="135">
        <v>1</v>
      </c>
      <c r="G26" s="521">
        <f t="shared" si="1"/>
        <v>1.2E-2</v>
      </c>
      <c r="H26" s="522">
        <f>F26/(E26+F26)/(1+I$23)</f>
        <v>6.9929364278506573E-2</v>
      </c>
      <c r="I26" s="738"/>
      <c r="J26" s="514">
        <f t="shared" si="2"/>
        <v>7.6923076923076927E-2</v>
      </c>
      <c r="K26" s="532"/>
      <c r="L26" s="515" t="str">
        <f>Data!I26</f>
        <v>D3</v>
      </c>
      <c r="M26" s="46" t="str">
        <f>Data!J26</f>
        <v>Australia</v>
      </c>
      <c r="N26" s="293" t="str">
        <f t="shared" si="3"/>
        <v>100/1</v>
      </c>
      <c r="O26" s="496">
        <v>500</v>
      </c>
      <c r="P26" s="497">
        <v>1</v>
      </c>
      <c r="Q26" s="516">
        <f t="shared" si="4"/>
        <v>1E-3</v>
      </c>
      <c r="R26" s="517">
        <f t="shared" si="5"/>
        <v>1.6270410687480794E-3</v>
      </c>
      <c r="S26" s="711"/>
      <c r="T26" s="523">
        <f t="shared" si="6"/>
        <v>1.996007984031936E-3</v>
      </c>
      <c r="U26" s="532"/>
      <c r="V26" s="515" t="str">
        <f t="shared" si="7"/>
        <v>D3</v>
      </c>
      <c r="W26" s="46" t="str">
        <f t="shared" si="8"/>
        <v>Australia</v>
      </c>
      <c r="X26" s="527">
        <f t="shared" si="9"/>
        <v>1.4E-2</v>
      </c>
      <c r="Y26" s="534"/>
      <c r="Z26" s="515" t="str">
        <f t="shared" si="10"/>
        <v>D3</v>
      </c>
      <c r="AA26" s="46" t="str">
        <f t="shared" si="11"/>
        <v>Australia</v>
      </c>
      <c r="AB26" s="527">
        <f t="shared" si="12"/>
        <v>3.7999999999999999E-2</v>
      </c>
    </row>
    <row r="27" spans="1:28" ht="15.95" customHeight="1" x14ac:dyDescent="0.25">
      <c r="A27" s="508"/>
      <c r="B27" s="509" t="s">
        <v>376</v>
      </c>
      <c r="C27" s="510" t="str">
        <f>Data!C27</f>
        <v>Belgium</v>
      </c>
      <c r="D27" s="511" t="str">
        <f t="shared" si="0"/>
        <v>37/50</v>
      </c>
      <c r="E27" s="132">
        <v>4</v>
      </c>
      <c r="F27" s="133">
        <v>11</v>
      </c>
      <c r="G27" s="512">
        <f t="shared" si="1"/>
        <v>0.57299999999999995</v>
      </c>
      <c r="H27" s="513">
        <f t="shared" ref="H27:H50" si="13">F27/(E27+F27)/(1+I$27)</f>
        <v>0.66903633491311221</v>
      </c>
      <c r="I27" s="736">
        <f>IFERROR(SUM(J27:J30)-1,"")</f>
        <v>9.6103896103896025E-2</v>
      </c>
      <c r="J27" s="514">
        <f t="shared" si="2"/>
        <v>0.73333333333333328</v>
      </c>
      <c r="K27" s="532"/>
      <c r="L27" s="515" t="str">
        <f>Data!I27</f>
        <v>J2</v>
      </c>
      <c r="M27" s="46" t="str">
        <f>Data!J27</f>
        <v>Algeria</v>
      </c>
      <c r="N27" s="293" t="str">
        <f t="shared" si="3"/>
        <v>100/1</v>
      </c>
      <c r="O27" s="496">
        <v>250</v>
      </c>
      <c r="P27" s="497">
        <v>1</v>
      </c>
      <c r="Q27" s="516">
        <f t="shared" si="4"/>
        <v>2E-3</v>
      </c>
      <c r="R27" s="517">
        <f t="shared" si="5"/>
        <v>3.2475999021625013E-3</v>
      </c>
      <c r="S27" s="711"/>
      <c r="T27" s="523">
        <f t="shared" si="6"/>
        <v>3.9840637450199202E-3</v>
      </c>
      <c r="U27" s="532"/>
      <c r="V27" s="515" t="str">
        <f t="shared" si="7"/>
        <v>J2</v>
      </c>
      <c r="W27" s="46" t="str">
        <f t="shared" si="8"/>
        <v>Algeria</v>
      </c>
      <c r="X27" s="527">
        <f t="shared" si="9"/>
        <v>8.9999999999999993E-3</v>
      </c>
      <c r="Y27" s="534"/>
      <c r="Z27" s="515" t="str">
        <f t="shared" si="10"/>
        <v>J2</v>
      </c>
      <c r="AA27" s="46" t="str">
        <f t="shared" si="11"/>
        <v>Algeria</v>
      </c>
      <c r="AB27" s="527">
        <f t="shared" si="12"/>
        <v>2.9000000000000001E-2</v>
      </c>
    </row>
    <row r="28" spans="1:28" ht="15.95" customHeight="1" x14ac:dyDescent="0.25">
      <c r="A28" s="508"/>
      <c r="B28" s="515" t="s">
        <v>377</v>
      </c>
      <c r="C28" s="46" t="str">
        <f>Data!C28</f>
        <v>Egypt</v>
      </c>
      <c r="D28" s="293" t="str">
        <f t="shared" si="0"/>
        <v>14/5</v>
      </c>
      <c r="E28" s="496">
        <v>9</v>
      </c>
      <c r="F28" s="497">
        <v>2</v>
      </c>
      <c r="G28" s="516">
        <f t="shared" si="1"/>
        <v>0.26300000000000001</v>
      </c>
      <c r="H28" s="517">
        <f t="shared" si="13"/>
        <v>0.16587677725118485</v>
      </c>
      <c r="I28" s="737"/>
      <c r="J28" s="514">
        <f t="shared" si="2"/>
        <v>0.18181818181818182</v>
      </c>
      <c r="K28" s="532"/>
      <c r="L28" s="515" t="str">
        <f>Data!I28</f>
        <v>G2</v>
      </c>
      <c r="M28" s="46" t="str">
        <f>Data!J28</f>
        <v>Egypt</v>
      </c>
      <c r="N28" s="293" t="str">
        <f t="shared" si="3"/>
        <v>250/1</v>
      </c>
      <c r="O28" s="496">
        <v>250</v>
      </c>
      <c r="P28" s="497">
        <v>1</v>
      </c>
      <c r="Q28" s="516">
        <f t="shared" si="4"/>
        <v>0</v>
      </c>
      <c r="R28" s="517">
        <f t="shared" si="5"/>
        <v>3.2475999021625013E-3</v>
      </c>
      <c r="S28" s="711"/>
      <c r="T28" s="523">
        <f t="shared" si="6"/>
        <v>3.9840637450199202E-3</v>
      </c>
      <c r="U28" s="532"/>
      <c r="V28" s="515" t="str">
        <f t="shared" si="7"/>
        <v>G2</v>
      </c>
      <c r="W28" s="46" t="str">
        <f t="shared" si="8"/>
        <v>Egypt</v>
      </c>
      <c r="X28" s="527">
        <f t="shared" si="9"/>
        <v>5.0000000000000001E-3</v>
      </c>
      <c r="Y28" s="534"/>
      <c r="Z28" s="515" t="str">
        <f t="shared" si="10"/>
        <v>G2</v>
      </c>
      <c r="AA28" s="46" t="str">
        <f t="shared" si="11"/>
        <v>Egypt</v>
      </c>
      <c r="AB28" s="527">
        <f t="shared" si="12"/>
        <v>3.5000000000000003E-2</v>
      </c>
    </row>
    <row r="29" spans="1:28" ht="15.95" customHeight="1" x14ac:dyDescent="0.25">
      <c r="A29" s="508"/>
      <c r="B29" s="515" t="s">
        <v>378</v>
      </c>
      <c r="C29" s="46" t="str">
        <f>Data!C29</f>
        <v>IR Iran</v>
      </c>
      <c r="D29" s="293" t="str">
        <f t="shared" si="0"/>
        <v>11/2</v>
      </c>
      <c r="E29" s="496">
        <v>13</v>
      </c>
      <c r="F29" s="497">
        <v>2</v>
      </c>
      <c r="G29" s="516">
        <f t="shared" si="1"/>
        <v>0.15</v>
      </c>
      <c r="H29" s="517">
        <f t="shared" si="13"/>
        <v>0.12164296998420222</v>
      </c>
      <c r="I29" s="737"/>
      <c r="J29" s="514">
        <f t="shared" si="2"/>
        <v>0.13333333333333333</v>
      </c>
      <c r="K29" s="532"/>
      <c r="L29" s="515" t="str">
        <f>Data!I29</f>
        <v>B1</v>
      </c>
      <c r="M29" s="46" t="str">
        <f>Data!J29</f>
        <v>Canada</v>
      </c>
      <c r="N29" s="293" t="str">
        <f t="shared" si="3"/>
        <v>250/1</v>
      </c>
      <c r="O29" s="496">
        <v>150</v>
      </c>
      <c r="P29" s="497">
        <v>1</v>
      </c>
      <c r="Q29" s="516">
        <f t="shared" si="4"/>
        <v>0</v>
      </c>
      <c r="R29" s="517">
        <f t="shared" si="5"/>
        <v>5.3983283141906474E-3</v>
      </c>
      <c r="S29" s="711"/>
      <c r="T29" s="523">
        <f t="shared" si="6"/>
        <v>6.6225165562913907E-3</v>
      </c>
      <c r="U29" s="532"/>
      <c r="V29" s="515" t="str">
        <f t="shared" si="7"/>
        <v>B1</v>
      </c>
      <c r="W29" s="46" t="str">
        <f t="shared" si="8"/>
        <v>Canada</v>
      </c>
      <c r="X29" s="527">
        <f t="shared" si="9"/>
        <v>7.0000000000000001E-3</v>
      </c>
      <c r="Y29" s="534"/>
      <c r="Z29" s="515" t="str">
        <f t="shared" si="10"/>
        <v>B1</v>
      </c>
      <c r="AA29" s="46" t="str">
        <f t="shared" si="11"/>
        <v>Canada</v>
      </c>
      <c r="AB29" s="527">
        <f t="shared" si="12"/>
        <v>0.03</v>
      </c>
    </row>
    <row r="30" spans="1:28" ht="15.95" customHeight="1" thickBot="1" x14ac:dyDescent="0.3">
      <c r="A30" s="508"/>
      <c r="B30" s="518" t="s">
        <v>379</v>
      </c>
      <c r="C30" s="519" t="str">
        <f>Data!C30</f>
        <v>New Zealand</v>
      </c>
      <c r="D30" s="520" t="str">
        <f t="shared" si="0"/>
        <v>70/1</v>
      </c>
      <c r="E30" s="134">
        <v>20</v>
      </c>
      <c r="F30" s="135">
        <v>1</v>
      </c>
      <c r="G30" s="521">
        <f t="shared" si="1"/>
        <v>1.4E-2</v>
      </c>
      <c r="H30" s="522">
        <f t="shared" si="13"/>
        <v>4.3443917851500792E-2</v>
      </c>
      <c r="I30" s="738"/>
      <c r="J30" s="514">
        <f t="shared" si="2"/>
        <v>4.7619047619047616E-2</v>
      </c>
      <c r="K30" s="532"/>
      <c r="L30" s="515" t="str">
        <f>Data!I30</f>
        <v>I4</v>
      </c>
      <c r="M30" s="46" t="str">
        <f>Data!J30</f>
        <v>Norway</v>
      </c>
      <c r="N30" s="293" t="str">
        <f t="shared" si="3"/>
        <v>100/1</v>
      </c>
      <c r="O30" s="496">
        <v>33</v>
      </c>
      <c r="P30" s="497">
        <v>1</v>
      </c>
      <c r="Q30" s="516">
        <f t="shared" si="4"/>
        <v>4.0000000000000001E-3</v>
      </c>
      <c r="R30" s="517">
        <f t="shared" si="5"/>
        <v>2.3974928689493757E-2</v>
      </c>
      <c r="S30" s="711"/>
      <c r="T30" s="523">
        <f t="shared" si="6"/>
        <v>2.9411764705882353E-2</v>
      </c>
      <c r="U30" s="532"/>
      <c r="V30" s="515" t="str">
        <f t="shared" si="7"/>
        <v>I4</v>
      </c>
      <c r="W30" s="46" t="str">
        <f t="shared" si="8"/>
        <v>Norway</v>
      </c>
      <c r="X30" s="527">
        <f t="shared" si="9"/>
        <v>1.6E-2</v>
      </c>
      <c r="Y30" s="534"/>
      <c r="Z30" s="515" t="str">
        <f t="shared" si="10"/>
        <v>I4</v>
      </c>
      <c r="AA30" s="46" t="str">
        <f t="shared" si="11"/>
        <v>Norway</v>
      </c>
      <c r="AB30" s="527">
        <f t="shared" si="12"/>
        <v>0.06</v>
      </c>
    </row>
    <row r="31" spans="1:28" ht="15.95" customHeight="1" x14ac:dyDescent="0.25">
      <c r="A31" s="508"/>
      <c r="B31" s="509" t="s">
        <v>380</v>
      </c>
      <c r="C31" s="510" t="str">
        <f>Data!C31</f>
        <v>Spain</v>
      </c>
      <c r="D31" s="511" t="str">
        <f t="shared" si="0"/>
        <v>8/15</v>
      </c>
      <c r="E31" s="132">
        <v>1</v>
      </c>
      <c r="F31" s="133">
        <v>6</v>
      </c>
      <c r="G31" s="512">
        <f t="shared" si="1"/>
        <v>0.65</v>
      </c>
      <c r="H31" s="513">
        <f t="shared" si="13"/>
        <v>0.78199052132701419</v>
      </c>
      <c r="I31" s="736">
        <f>IFERROR(SUM(J31:J34)-1,"")</f>
        <v>0.10114094418255104</v>
      </c>
      <c r="J31" s="514">
        <f t="shared" si="2"/>
        <v>0.8571428571428571</v>
      </c>
      <c r="K31" s="532"/>
      <c r="L31" s="515" t="str">
        <f>Data!I31</f>
        <v>E3</v>
      </c>
      <c r="M31" s="46" t="str">
        <f>Data!J31</f>
        <v>Cote d'Ivorie</v>
      </c>
      <c r="N31" s="293" t="str">
        <f t="shared" si="3"/>
        <v>250/1</v>
      </c>
      <c r="O31" s="496">
        <v>150</v>
      </c>
      <c r="P31" s="497">
        <v>1</v>
      </c>
      <c r="Q31" s="516">
        <f t="shared" si="4"/>
        <v>0</v>
      </c>
      <c r="R31" s="517">
        <f t="shared" si="5"/>
        <v>5.3983283141906474E-3</v>
      </c>
      <c r="S31" s="711"/>
      <c r="T31" s="523">
        <f t="shared" si="6"/>
        <v>6.6225165562913907E-3</v>
      </c>
      <c r="U31" s="532"/>
      <c r="V31" s="515" t="str">
        <f t="shared" si="7"/>
        <v>E3</v>
      </c>
      <c r="W31" s="46" t="str">
        <f t="shared" si="8"/>
        <v>Cote d'Ivorie</v>
      </c>
      <c r="X31" s="527">
        <f t="shared" si="9"/>
        <v>2E-3</v>
      </c>
      <c r="Y31" s="534"/>
      <c r="Z31" s="515" t="str">
        <f t="shared" si="10"/>
        <v>E3</v>
      </c>
      <c r="AA31" s="46" t="str">
        <f t="shared" si="11"/>
        <v>Cote d'Ivorie</v>
      </c>
      <c r="AB31" s="527">
        <f t="shared" si="12"/>
        <v>7.0000000000000001E-3</v>
      </c>
    </row>
    <row r="32" spans="1:28" ht="15.95" customHeight="1" x14ac:dyDescent="0.25">
      <c r="A32" s="508"/>
      <c r="B32" s="515" t="s">
        <v>381</v>
      </c>
      <c r="C32" s="46" t="str">
        <f>Data!C32</f>
        <v>Cabo Verde</v>
      </c>
      <c r="D32" s="293" t="str">
        <f t="shared" si="0"/>
        <v>28/1</v>
      </c>
      <c r="E32" s="496">
        <v>50</v>
      </c>
      <c r="F32" s="497">
        <v>1</v>
      </c>
      <c r="G32" s="516">
        <f t="shared" si="1"/>
        <v>3.4000000000000002E-2</v>
      </c>
      <c r="H32" s="517">
        <f t="shared" si="13"/>
        <v>1.7888672056500327E-2</v>
      </c>
      <c r="I32" s="737"/>
      <c r="J32" s="514">
        <f t="shared" si="2"/>
        <v>1.9607843137254902E-2</v>
      </c>
      <c r="K32" s="532"/>
      <c r="L32" s="515" t="str">
        <f>Data!I32</f>
        <v>L4</v>
      </c>
      <c r="M32" s="46" t="str">
        <f>Data!J32</f>
        <v>Panama</v>
      </c>
      <c r="N32" s="293" t="str">
        <f t="shared" si="3"/>
        <v>100/1</v>
      </c>
      <c r="O32" s="496">
        <v>500</v>
      </c>
      <c r="P32" s="497">
        <v>1</v>
      </c>
      <c r="Q32" s="516">
        <f t="shared" si="4"/>
        <v>3.0000000000000001E-3</v>
      </c>
      <c r="R32" s="517">
        <f t="shared" si="5"/>
        <v>1.6270410687480794E-3</v>
      </c>
      <c r="S32" s="711"/>
      <c r="T32" s="523">
        <f t="shared" si="6"/>
        <v>1.996007984031936E-3</v>
      </c>
      <c r="U32" s="532"/>
      <c r="V32" s="515" t="str">
        <f t="shared" si="7"/>
        <v>L4</v>
      </c>
      <c r="W32" s="46" t="str">
        <f t="shared" si="8"/>
        <v>Panama</v>
      </c>
      <c r="X32" s="527">
        <f t="shared" si="9"/>
        <v>8.0000000000000002E-3</v>
      </c>
      <c r="Y32" s="534"/>
      <c r="Z32" s="515" t="str">
        <f t="shared" si="10"/>
        <v>L4</v>
      </c>
      <c r="AA32" s="46" t="str">
        <f t="shared" si="11"/>
        <v>Panama</v>
      </c>
      <c r="AB32" s="527">
        <f t="shared" si="12"/>
        <v>1.9E-2</v>
      </c>
    </row>
    <row r="33" spans="1:28" ht="15.95" customHeight="1" x14ac:dyDescent="0.25">
      <c r="A33" s="508"/>
      <c r="B33" s="515" t="s">
        <v>382</v>
      </c>
      <c r="C33" s="46" t="str">
        <f>Data!C33</f>
        <v>Saudi Arabia</v>
      </c>
      <c r="D33" s="293" t="str">
        <f t="shared" si="0"/>
        <v>21/1</v>
      </c>
      <c r="E33" s="496">
        <v>40</v>
      </c>
      <c r="F33" s="497">
        <v>1</v>
      </c>
      <c r="G33" s="516">
        <f t="shared" si="1"/>
        <v>4.4999999999999998E-2</v>
      </c>
      <c r="H33" s="517">
        <f t="shared" si="13"/>
        <v>2.2251762801988213E-2</v>
      </c>
      <c r="I33" s="737"/>
      <c r="J33" s="514">
        <f t="shared" si="2"/>
        <v>2.4390243902439025E-2</v>
      </c>
      <c r="K33" s="532"/>
      <c r="L33" s="515" t="str">
        <f>Data!I33</f>
        <v>F3</v>
      </c>
      <c r="M33" s="46" t="str">
        <f>Data!J33</f>
        <v>Sweden</v>
      </c>
      <c r="N33" s="293" t="str">
        <f t="shared" si="3"/>
        <v>250/1</v>
      </c>
      <c r="O33" s="496">
        <v>150</v>
      </c>
      <c r="P33" s="497">
        <v>1</v>
      </c>
      <c r="Q33" s="516">
        <f t="shared" si="4"/>
        <v>0</v>
      </c>
      <c r="R33" s="517">
        <f t="shared" si="5"/>
        <v>5.3983283141906474E-3</v>
      </c>
      <c r="S33" s="711"/>
      <c r="T33" s="523">
        <f t="shared" si="6"/>
        <v>6.6225165562913907E-3</v>
      </c>
      <c r="U33" s="532"/>
      <c r="V33" s="515" t="str">
        <f t="shared" si="7"/>
        <v>F3</v>
      </c>
      <c r="W33" s="46" t="str">
        <f t="shared" si="8"/>
        <v>Sweden</v>
      </c>
      <c r="X33" s="527">
        <f t="shared" si="9"/>
        <v>2E-3</v>
      </c>
      <c r="Y33" s="534"/>
      <c r="Z33" s="515" t="str">
        <f t="shared" si="10"/>
        <v>F3</v>
      </c>
      <c r="AA33" s="46" t="str">
        <f t="shared" si="11"/>
        <v>Sweden</v>
      </c>
      <c r="AB33" s="527">
        <f t="shared" si="12"/>
        <v>2.3E-2</v>
      </c>
    </row>
    <row r="34" spans="1:28" ht="15.95" customHeight="1" thickBot="1" x14ac:dyDescent="0.3">
      <c r="A34" s="508"/>
      <c r="B34" s="518" t="s">
        <v>383</v>
      </c>
      <c r="C34" s="519" t="str">
        <f>Data!C34</f>
        <v>Uruguay</v>
      </c>
      <c r="D34" s="520" t="str">
        <f t="shared" si="0"/>
        <v>13/5</v>
      </c>
      <c r="E34" s="134">
        <v>4</v>
      </c>
      <c r="F34" s="135">
        <v>1</v>
      </c>
      <c r="G34" s="521">
        <f t="shared" si="1"/>
        <v>0.27100000000000002</v>
      </c>
      <c r="H34" s="522">
        <f t="shared" si="13"/>
        <v>0.18246445497630334</v>
      </c>
      <c r="I34" s="738"/>
      <c r="J34" s="514">
        <f t="shared" si="2"/>
        <v>0.2</v>
      </c>
      <c r="K34" s="532"/>
      <c r="L34" s="515" t="str">
        <f>Data!I34</f>
        <v>A4</v>
      </c>
      <c r="M34" s="46" t="str">
        <f>Data!J34</f>
        <v>Czechia</v>
      </c>
      <c r="N34" s="293" t="str">
        <f t="shared" si="3"/>
        <v>100/1</v>
      </c>
      <c r="O34" s="496">
        <v>500</v>
      </c>
      <c r="P34" s="497">
        <v>1</v>
      </c>
      <c r="Q34" s="516">
        <f t="shared" si="4"/>
        <v>1E-3</v>
      </c>
      <c r="R34" s="517">
        <f t="shared" si="5"/>
        <v>1.6270410687480794E-3</v>
      </c>
      <c r="S34" s="711"/>
      <c r="T34" s="523">
        <f t="shared" si="6"/>
        <v>1.996007984031936E-3</v>
      </c>
      <c r="U34" s="532"/>
      <c r="V34" s="515" t="str">
        <f t="shared" si="7"/>
        <v>A4</v>
      </c>
      <c r="W34" s="46" t="str">
        <f t="shared" si="8"/>
        <v>Czechia</v>
      </c>
      <c r="X34" s="527">
        <f t="shared" si="9"/>
        <v>1E-3</v>
      </c>
      <c r="Y34" s="534"/>
      <c r="Z34" s="515" t="str">
        <f t="shared" si="10"/>
        <v>A4</v>
      </c>
      <c r="AA34" s="46" t="str">
        <f t="shared" si="11"/>
        <v>Czechia</v>
      </c>
      <c r="AB34" s="527">
        <f t="shared" si="12"/>
        <v>3.0000000000000001E-3</v>
      </c>
    </row>
    <row r="35" spans="1:28" ht="15.95" customHeight="1" x14ac:dyDescent="0.25">
      <c r="A35" s="508"/>
      <c r="B35" s="509" t="s">
        <v>427</v>
      </c>
      <c r="C35" s="510" t="str">
        <f>Data!C35</f>
        <v>France</v>
      </c>
      <c r="D35" s="511" t="str">
        <f t="shared" si="0"/>
        <v>12/25</v>
      </c>
      <c r="E35" s="132">
        <v>4</v>
      </c>
      <c r="F35" s="133">
        <v>9</v>
      </c>
      <c r="G35" s="512">
        <f t="shared" si="1"/>
        <v>0.66700000000000004</v>
      </c>
      <c r="H35" s="513">
        <f t="shared" si="13"/>
        <v>0.63160772876412685</v>
      </c>
      <c r="I35" s="736">
        <f>IFERROR(SUM(J35:J38)-1,"")</f>
        <v>9.8899732108687299E-2</v>
      </c>
      <c r="J35" s="514">
        <f t="shared" si="2"/>
        <v>0.69230769230769229</v>
      </c>
      <c r="K35" s="532"/>
      <c r="L35" s="515" t="str">
        <f>Data!I35</f>
        <v>D2</v>
      </c>
      <c r="M35" s="46" t="str">
        <f>Data!J35</f>
        <v>Paraguay</v>
      </c>
      <c r="N35" s="293" t="str">
        <f t="shared" si="3"/>
        <v>100/1</v>
      </c>
      <c r="O35" s="496">
        <v>150</v>
      </c>
      <c r="P35" s="497">
        <v>1</v>
      </c>
      <c r="Q35" s="516">
        <f t="shared" si="4"/>
        <v>2E-3</v>
      </c>
      <c r="R35" s="517">
        <f t="shared" si="5"/>
        <v>5.3983283141906474E-3</v>
      </c>
      <c r="S35" s="711"/>
      <c r="T35" s="523">
        <f t="shared" si="6"/>
        <v>6.6225165562913907E-3</v>
      </c>
      <c r="U35" s="532"/>
      <c r="V35" s="515" t="str">
        <f t="shared" si="7"/>
        <v>D2</v>
      </c>
      <c r="W35" s="46" t="str">
        <f t="shared" si="8"/>
        <v>Paraguay</v>
      </c>
      <c r="X35" s="527">
        <f t="shared" si="9"/>
        <v>5.0000000000000001E-3</v>
      </c>
      <c r="Y35" s="534"/>
      <c r="Z35" s="515" t="str">
        <f t="shared" si="10"/>
        <v>D2</v>
      </c>
      <c r="AA35" s="46" t="str">
        <f t="shared" si="11"/>
        <v>Paraguay</v>
      </c>
      <c r="AB35" s="527">
        <f t="shared" si="12"/>
        <v>1.0999999999999999E-2</v>
      </c>
    </row>
    <row r="36" spans="1:28" ht="15.95" customHeight="1" x14ac:dyDescent="0.25">
      <c r="A36" s="508"/>
      <c r="B36" s="515" t="s">
        <v>428</v>
      </c>
      <c r="C36" s="46" t="str">
        <f>Data!C36</f>
        <v>Senegal</v>
      </c>
      <c r="D36" s="293" t="str">
        <f t="shared" si="0"/>
        <v>5/1</v>
      </c>
      <c r="E36" s="496">
        <v>7</v>
      </c>
      <c r="F36" s="497">
        <v>1</v>
      </c>
      <c r="G36" s="516">
        <f t="shared" si="1"/>
        <v>0.16500000000000001</v>
      </c>
      <c r="H36" s="517">
        <f t="shared" si="13"/>
        <v>0.11404028436018958</v>
      </c>
      <c r="I36" s="737"/>
      <c r="J36" s="514">
        <f t="shared" si="2"/>
        <v>0.125</v>
      </c>
      <c r="K36" s="532"/>
      <c r="L36" s="515" t="str">
        <f>Data!I36</f>
        <v>C4</v>
      </c>
      <c r="M36" s="46" t="str">
        <f>Data!J36</f>
        <v>Scotland</v>
      </c>
      <c r="N36" s="293" t="str">
        <f t="shared" si="3"/>
        <v>250/1</v>
      </c>
      <c r="O36" s="496">
        <v>150</v>
      </c>
      <c r="P36" s="497">
        <v>1</v>
      </c>
      <c r="Q36" s="516">
        <f t="shared" si="4"/>
        <v>0</v>
      </c>
      <c r="R36" s="517">
        <f t="shared" si="5"/>
        <v>5.3983283141906474E-3</v>
      </c>
      <c r="S36" s="711"/>
      <c r="T36" s="523">
        <f t="shared" si="6"/>
        <v>6.6225165562913907E-3</v>
      </c>
      <c r="U36" s="532"/>
      <c r="V36" s="515" t="str">
        <f t="shared" si="7"/>
        <v>C4</v>
      </c>
      <c r="W36" s="46" t="str">
        <f t="shared" si="8"/>
        <v>Scotland</v>
      </c>
      <c r="X36" s="527">
        <f t="shared" si="9"/>
        <v>4.0000000000000001E-3</v>
      </c>
      <c r="Y36" s="534"/>
      <c r="Z36" s="515" t="str">
        <f t="shared" si="10"/>
        <v>C4</v>
      </c>
      <c r="AA36" s="46" t="str">
        <f t="shared" si="11"/>
        <v>Scotland</v>
      </c>
      <c r="AB36" s="527">
        <f t="shared" si="12"/>
        <v>1.2999999999999999E-2</v>
      </c>
    </row>
    <row r="37" spans="1:28" ht="15.95" customHeight="1" x14ac:dyDescent="0.25">
      <c r="A37" s="508"/>
      <c r="B37" s="515" t="s">
        <v>429</v>
      </c>
      <c r="C37" s="46" t="str">
        <f>Data!C37</f>
        <v>Iraq</v>
      </c>
      <c r="D37" s="293" t="str">
        <f t="shared" si="0"/>
        <v>46/1</v>
      </c>
      <c r="E37" s="496">
        <v>66</v>
      </c>
      <c r="F37" s="497">
        <v>1</v>
      </c>
      <c r="G37" s="516">
        <f t="shared" si="1"/>
        <v>2.1000000000000001E-2</v>
      </c>
      <c r="H37" s="517">
        <f t="shared" si="13"/>
        <v>1.3616750371365919E-2</v>
      </c>
      <c r="I37" s="737"/>
      <c r="J37" s="514">
        <f t="shared" si="2"/>
        <v>1.4925373134328358E-2</v>
      </c>
      <c r="K37" s="532"/>
      <c r="L37" s="515" t="str">
        <f>Data!I37</f>
        <v>F4</v>
      </c>
      <c r="M37" s="46" t="str">
        <f>Data!J37</f>
        <v>Tunisia</v>
      </c>
      <c r="N37" s="293" t="str">
        <f t="shared" si="3"/>
        <v>250/1</v>
      </c>
      <c r="O37" s="496">
        <v>500</v>
      </c>
      <c r="P37" s="497">
        <v>1</v>
      </c>
      <c r="Q37" s="516">
        <f t="shared" si="4"/>
        <v>0</v>
      </c>
      <c r="R37" s="517">
        <f t="shared" si="5"/>
        <v>1.6270410687480794E-3</v>
      </c>
      <c r="S37" s="711"/>
      <c r="T37" s="523">
        <f t="shared" si="6"/>
        <v>1.996007984031936E-3</v>
      </c>
      <c r="U37" s="532"/>
      <c r="V37" s="515" t="str">
        <f t="shared" si="7"/>
        <v>F4</v>
      </c>
      <c r="W37" s="46" t="str">
        <f t="shared" si="8"/>
        <v>Tunisia</v>
      </c>
      <c r="X37" s="527">
        <f t="shared" si="9"/>
        <v>1E-3</v>
      </c>
      <c r="Y37" s="534"/>
      <c r="Z37" s="515" t="str">
        <f t="shared" si="10"/>
        <v>F4</v>
      </c>
      <c r="AA37" s="46" t="str">
        <f t="shared" si="11"/>
        <v>Tunisia</v>
      </c>
      <c r="AB37" s="527">
        <f t="shared" si="12"/>
        <v>2E-3</v>
      </c>
    </row>
    <row r="38" spans="1:28" ht="15.95" customHeight="1" thickBot="1" x14ac:dyDescent="0.3">
      <c r="A38" s="508"/>
      <c r="B38" s="518" t="s">
        <v>430</v>
      </c>
      <c r="C38" s="519" t="str">
        <f>Data!C38</f>
        <v>Norway</v>
      </c>
      <c r="D38" s="520" t="str">
        <f t="shared" si="0"/>
        <v>11/2</v>
      </c>
      <c r="E38" s="134">
        <v>11</v>
      </c>
      <c r="F38" s="135">
        <v>4</v>
      </c>
      <c r="G38" s="521">
        <f t="shared" si="1"/>
        <v>0.14699999999999999</v>
      </c>
      <c r="H38" s="522">
        <f t="shared" si="13"/>
        <v>0.24328593996840445</v>
      </c>
      <c r="I38" s="738"/>
      <c r="J38" s="514">
        <f t="shared" si="2"/>
        <v>0.26666666666666666</v>
      </c>
      <c r="K38" s="532"/>
      <c r="L38" s="515" t="str">
        <f>Data!I38</f>
        <v>K2</v>
      </c>
      <c r="M38" s="46" t="str">
        <f>Data!J38</f>
        <v>Congo DR</v>
      </c>
      <c r="N38" s="293" t="str">
        <f t="shared" si="3"/>
        <v>250/1</v>
      </c>
      <c r="O38" s="496">
        <v>500</v>
      </c>
      <c r="P38" s="497">
        <v>1</v>
      </c>
      <c r="Q38" s="516">
        <f t="shared" si="4"/>
        <v>0</v>
      </c>
      <c r="R38" s="517">
        <f t="shared" si="5"/>
        <v>1.6270410687480794E-3</v>
      </c>
      <c r="S38" s="711"/>
      <c r="T38" s="523">
        <f t="shared" si="6"/>
        <v>1.996007984031936E-3</v>
      </c>
      <c r="U38" s="532"/>
      <c r="V38" s="515" t="str">
        <f t="shared" si="7"/>
        <v>K2</v>
      </c>
      <c r="W38" s="46" t="str">
        <f t="shared" si="8"/>
        <v>Congo DR</v>
      </c>
      <c r="X38" s="527">
        <f t="shared" si="9"/>
        <v>0</v>
      </c>
      <c r="Y38" s="534"/>
      <c r="Z38" s="515" t="str">
        <f t="shared" si="10"/>
        <v>K2</v>
      </c>
      <c r="AA38" s="46" t="str">
        <f t="shared" si="11"/>
        <v>Congo DR</v>
      </c>
      <c r="AB38" s="527">
        <f t="shared" si="12"/>
        <v>0</v>
      </c>
    </row>
    <row r="39" spans="1:28" ht="15.95" customHeight="1" x14ac:dyDescent="0.25">
      <c r="A39" s="508"/>
      <c r="B39" s="509" t="s">
        <v>431</v>
      </c>
      <c r="C39" s="510" t="str">
        <f>Data!C39</f>
        <v>Argentina</v>
      </c>
      <c r="D39" s="511" t="str">
        <f t="shared" si="0"/>
        <v>23/50</v>
      </c>
      <c r="E39" s="132">
        <v>4</v>
      </c>
      <c r="F39" s="133">
        <v>11</v>
      </c>
      <c r="G39" s="512">
        <f t="shared" si="1"/>
        <v>0.67600000000000005</v>
      </c>
      <c r="H39" s="513">
        <f t="shared" si="13"/>
        <v>0.66903633491311221</v>
      </c>
      <c r="I39" s="736">
        <f>IFERROR(SUM(J39:J42)-1,"")</f>
        <v>9.5480928689883893E-2</v>
      </c>
      <c r="J39" s="514">
        <f t="shared" si="2"/>
        <v>0.73333333333333328</v>
      </c>
      <c r="K39" s="532"/>
      <c r="L39" s="515" t="str">
        <f>Data!I39</f>
        <v>K3</v>
      </c>
      <c r="M39" s="46" t="str">
        <f>Data!J39</f>
        <v>Uzbekistan</v>
      </c>
      <c r="N39" s="293" t="str">
        <f t="shared" si="3"/>
        <v>250/1</v>
      </c>
      <c r="O39" s="496">
        <v>500</v>
      </c>
      <c r="P39" s="497">
        <v>1</v>
      </c>
      <c r="Q39" s="516">
        <f t="shared" si="4"/>
        <v>0</v>
      </c>
      <c r="R39" s="517">
        <f t="shared" si="5"/>
        <v>1.6270410687480794E-3</v>
      </c>
      <c r="S39" s="711"/>
      <c r="T39" s="523">
        <f t="shared" si="6"/>
        <v>1.996007984031936E-3</v>
      </c>
      <c r="U39" s="532"/>
      <c r="V39" s="515" t="str">
        <f t="shared" si="7"/>
        <v>K3</v>
      </c>
      <c r="W39" s="46" t="str">
        <f t="shared" si="8"/>
        <v>Uzbekistan</v>
      </c>
      <c r="X39" s="527">
        <f t="shared" si="9"/>
        <v>1E-3</v>
      </c>
      <c r="Y39" s="534"/>
      <c r="Z39" s="515" t="str">
        <f t="shared" si="10"/>
        <v>K3</v>
      </c>
      <c r="AA39" s="46" t="str">
        <f t="shared" si="11"/>
        <v>Uzbekistan</v>
      </c>
      <c r="AB39" s="527">
        <f t="shared" si="12"/>
        <v>1E-3</v>
      </c>
    </row>
    <row r="40" spans="1:28" ht="15.95" customHeight="1" x14ac:dyDescent="0.25">
      <c r="A40" s="508"/>
      <c r="B40" s="515" t="s">
        <v>432</v>
      </c>
      <c r="C40" s="46" t="str">
        <f>Data!C40</f>
        <v>Algeria</v>
      </c>
      <c r="D40" s="293" t="str">
        <f t="shared" si="0"/>
        <v>11/2</v>
      </c>
      <c r="E40" s="496">
        <v>7</v>
      </c>
      <c r="F40" s="497">
        <v>1</v>
      </c>
      <c r="G40" s="516">
        <f t="shared" si="1"/>
        <v>0.151</v>
      </c>
      <c r="H40" s="517">
        <f t="shared" si="13"/>
        <v>0.11404028436018958</v>
      </c>
      <c r="I40" s="737"/>
      <c r="J40" s="514">
        <f t="shared" si="2"/>
        <v>0.125</v>
      </c>
      <c r="K40" s="532"/>
      <c r="L40" s="515" t="str">
        <f>Data!I40</f>
        <v>B3</v>
      </c>
      <c r="M40" s="46" t="str">
        <f>Data!J40</f>
        <v>Qatar</v>
      </c>
      <c r="N40" s="293" t="str">
        <f t="shared" si="3"/>
        <v>250/1</v>
      </c>
      <c r="O40" s="496">
        <v>500</v>
      </c>
      <c r="P40" s="497">
        <v>1</v>
      </c>
      <c r="Q40" s="516">
        <f t="shared" si="4"/>
        <v>0</v>
      </c>
      <c r="R40" s="517">
        <f t="shared" si="5"/>
        <v>1.6270410687480794E-3</v>
      </c>
      <c r="S40" s="711"/>
      <c r="T40" s="523">
        <f t="shared" si="6"/>
        <v>1.996007984031936E-3</v>
      </c>
      <c r="U40" s="532"/>
      <c r="V40" s="515" t="str">
        <f t="shared" si="7"/>
        <v>B3</v>
      </c>
      <c r="W40" s="46" t="str">
        <f t="shared" si="8"/>
        <v>Qatar</v>
      </c>
      <c r="X40" s="527">
        <f t="shared" si="9"/>
        <v>1E-3</v>
      </c>
      <c r="Y40" s="534"/>
      <c r="Z40" s="515" t="str">
        <f t="shared" si="10"/>
        <v>B3</v>
      </c>
      <c r="AA40" s="46" t="str">
        <f t="shared" si="11"/>
        <v>Qatar</v>
      </c>
      <c r="AB40" s="527">
        <f t="shared" si="12"/>
        <v>7.0000000000000001E-3</v>
      </c>
    </row>
    <row r="41" spans="1:28" ht="15.95" customHeight="1" x14ac:dyDescent="0.25">
      <c r="A41" s="508"/>
      <c r="B41" s="515" t="s">
        <v>433</v>
      </c>
      <c r="C41" s="46" t="str">
        <f>Data!C41</f>
        <v>Austria</v>
      </c>
      <c r="D41" s="293" t="str">
        <f t="shared" si="0"/>
        <v>5/1</v>
      </c>
      <c r="E41" s="496">
        <v>7</v>
      </c>
      <c r="F41" s="497">
        <v>2</v>
      </c>
      <c r="G41" s="516">
        <f t="shared" si="1"/>
        <v>0.16300000000000001</v>
      </c>
      <c r="H41" s="517">
        <f t="shared" si="13"/>
        <v>0.20273828330700369</v>
      </c>
      <c r="I41" s="737"/>
      <c r="J41" s="514">
        <f t="shared" si="2"/>
        <v>0.22222222222222221</v>
      </c>
      <c r="K41" s="532"/>
      <c r="L41" s="515" t="str">
        <f>Data!I41</f>
        <v>I3</v>
      </c>
      <c r="M41" s="46" t="str">
        <f>Data!J41</f>
        <v>Iraq</v>
      </c>
      <c r="N41" s="293" t="str">
        <f t="shared" si="3"/>
        <v>250/1</v>
      </c>
      <c r="O41" s="496">
        <v>500</v>
      </c>
      <c r="P41" s="497">
        <v>1</v>
      </c>
      <c r="Q41" s="516">
        <f t="shared" si="4"/>
        <v>0</v>
      </c>
      <c r="R41" s="517">
        <f t="shared" si="5"/>
        <v>1.6270410687480794E-3</v>
      </c>
      <c r="S41" s="711"/>
      <c r="T41" s="523">
        <f t="shared" si="6"/>
        <v>1.996007984031936E-3</v>
      </c>
      <c r="U41" s="532"/>
      <c r="V41" s="515" t="str">
        <f t="shared" si="7"/>
        <v>I3</v>
      </c>
      <c r="W41" s="46" t="str">
        <f t="shared" si="8"/>
        <v>Iraq</v>
      </c>
      <c r="X41" s="527">
        <f t="shared" si="9"/>
        <v>0</v>
      </c>
      <c r="Y41" s="534"/>
      <c r="Z41" s="515" t="str">
        <f t="shared" si="10"/>
        <v>I3</v>
      </c>
      <c r="AA41" s="46" t="str">
        <f t="shared" si="11"/>
        <v>Iraq</v>
      </c>
      <c r="AB41" s="527">
        <f t="shared" si="12"/>
        <v>1E-3</v>
      </c>
    </row>
    <row r="42" spans="1:28" ht="15.95" customHeight="1" thickBot="1" x14ac:dyDescent="0.3">
      <c r="A42" s="508"/>
      <c r="B42" s="518" t="s">
        <v>434</v>
      </c>
      <c r="C42" s="519" t="str">
        <f>Data!C42</f>
        <v>Jordan</v>
      </c>
      <c r="D42" s="520" t="str">
        <f t="shared" si="0"/>
        <v>100/1</v>
      </c>
      <c r="E42" s="134">
        <v>66</v>
      </c>
      <c r="F42" s="135">
        <v>1</v>
      </c>
      <c r="G42" s="521">
        <f t="shared" si="1"/>
        <v>0.01</v>
      </c>
      <c r="H42" s="522">
        <f t="shared" si="13"/>
        <v>1.3616750371365919E-2</v>
      </c>
      <c r="I42" s="738"/>
      <c r="J42" s="514">
        <f t="shared" si="2"/>
        <v>1.4925373134328358E-2</v>
      </c>
      <c r="K42" s="532"/>
      <c r="L42" s="515" t="str">
        <f>Data!I42</f>
        <v>A2</v>
      </c>
      <c r="M42" s="46" t="str">
        <f>Data!J42</f>
        <v>South Africa</v>
      </c>
      <c r="N42" s="293" t="str">
        <f t="shared" si="3"/>
        <v>250/1</v>
      </c>
      <c r="O42" s="496">
        <v>500</v>
      </c>
      <c r="P42" s="497">
        <v>1</v>
      </c>
      <c r="Q42" s="516">
        <f t="shared" si="4"/>
        <v>0</v>
      </c>
      <c r="R42" s="517">
        <f t="shared" si="5"/>
        <v>1.6270410687480794E-3</v>
      </c>
      <c r="S42" s="711"/>
      <c r="T42" s="523">
        <f t="shared" si="6"/>
        <v>1.996007984031936E-3</v>
      </c>
      <c r="U42" s="532"/>
      <c r="V42" s="515" t="str">
        <f t="shared" si="7"/>
        <v>A2</v>
      </c>
      <c r="W42" s="46" t="str">
        <f t="shared" si="8"/>
        <v>South Africa</v>
      </c>
      <c r="X42" s="527">
        <f t="shared" si="9"/>
        <v>0</v>
      </c>
      <c r="Y42" s="534"/>
      <c r="Z42" s="515" t="str">
        <f t="shared" si="10"/>
        <v>A2</v>
      </c>
      <c r="AA42" s="46" t="str">
        <f t="shared" si="11"/>
        <v>South Africa</v>
      </c>
      <c r="AB42" s="527">
        <f t="shared" si="12"/>
        <v>2E-3</v>
      </c>
    </row>
    <row r="43" spans="1:28" ht="15.95" customHeight="1" x14ac:dyDescent="0.25">
      <c r="A43" s="508"/>
      <c r="B43" s="509" t="s">
        <v>435</v>
      </c>
      <c r="C43" s="510" t="str">
        <f>Data!C43</f>
        <v>Portugal</v>
      </c>
      <c r="D43" s="511" t="str">
        <f t="shared" si="0"/>
        <v>17/25</v>
      </c>
      <c r="E43" s="132">
        <v>2</v>
      </c>
      <c r="F43" s="133">
        <v>5</v>
      </c>
      <c r="G43" s="512">
        <f t="shared" si="1"/>
        <v>0.59199999999999997</v>
      </c>
      <c r="H43" s="513">
        <f t="shared" si="13"/>
        <v>0.65165876777251186</v>
      </c>
      <c r="I43" s="736">
        <f>IFERROR(SUM(J43:J46)-1,"")</f>
        <v>0.15406162464985984</v>
      </c>
      <c r="J43" s="514">
        <f t="shared" si="2"/>
        <v>0.7142857142857143</v>
      </c>
      <c r="K43" s="532"/>
      <c r="L43" s="515" t="str">
        <f>Data!I43</f>
        <v>H3</v>
      </c>
      <c r="M43" s="46" t="str">
        <f>Data!J43</f>
        <v>Saudi Arabia</v>
      </c>
      <c r="N43" s="293" t="str">
        <f t="shared" si="3"/>
        <v>100/1</v>
      </c>
      <c r="O43" s="496">
        <v>500</v>
      </c>
      <c r="P43" s="497">
        <v>1</v>
      </c>
      <c r="Q43" s="516">
        <f t="shared" si="4"/>
        <v>1E-3</v>
      </c>
      <c r="R43" s="517">
        <f t="shared" si="5"/>
        <v>1.6270410687480794E-3</v>
      </c>
      <c r="S43" s="711"/>
      <c r="T43" s="523">
        <f t="shared" si="6"/>
        <v>1.996007984031936E-3</v>
      </c>
      <c r="U43" s="532"/>
      <c r="V43" s="515" t="str">
        <f t="shared" si="7"/>
        <v>H3</v>
      </c>
      <c r="W43" s="46" t="str">
        <f t="shared" si="8"/>
        <v>Saudi Arabia</v>
      </c>
      <c r="X43" s="527">
        <f t="shared" si="9"/>
        <v>1E-3</v>
      </c>
      <c r="Y43" s="534"/>
      <c r="Z43" s="515" t="str">
        <f t="shared" si="10"/>
        <v>H3</v>
      </c>
      <c r="AA43" s="46" t="str">
        <f t="shared" si="11"/>
        <v>Saudi Arabia</v>
      </c>
      <c r="AB43" s="527">
        <f t="shared" si="12"/>
        <v>2E-3</v>
      </c>
    </row>
    <row r="44" spans="1:28" ht="15.95" customHeight="1" x14ac:dyDescent="0.25">
      <c r="A44" s="508"/>
      <c r="B44" s="515" t="s">
        <v>436</v>
      </c>
      <c r="C44" s="46" t="str">
        <f>Data!C44</f>
        <v>Congo DR</v>
      </c>
      <c r="D44" s="293" t="str">
        <f t="shared" si="0"/>
        <v>33/1</v>
      </c>
      <c r="E44" s="496">
        <v>16</v>
      </c>
      <c r="F44" s="497">
        <v>1</v>
      </c>
      <c r="G44" s="516">
        <f t="shared" si="1"/>
        <v>2.9000000000000001E-2</v>
      </c>
      <c r="H44" s="517">
        <f t="shared" si="13"/>
        <v>5.366601616950098E-2</v>
      </c>
      <c r="I44" s="737"/>
      <c r="J44" s="514">
        <f t="shared" si="2"/>
        <v>5.8823529411764705E-2</v>
      </c>
      <c r="K44" s="532"/>
      <c r="L44" s="515" t="str">
        <f>Data!I44</f>
        <v>J4</v>
      </c>
      <c r="M44" s="46" t="str">
        <f>Data!J44</f>
        <v>Jordan</v>
      </c>
      <c r="N44" s="293" t="str">
        <f t="shared" si="3"/>
        <v>250/1</v>
      </c>
      <c r="O44" s="496">
        <v>500</v>
      </c>
      <c r="P44" s="497">
        <v>1</v>
      </c>
      <c r="Q44" s="516">
        <f t="shared" si="4"/>
        <v>0</v>
      </c>
      <c r="R44" s="517">
        <f t="shared" si="5"/>
        <v>1.6270410687480794E-3</v>
      </c>
      <c r="S44" s="711"/>
      <c r="T44" s="523">
        <f t="shared" si="6"/>
        <v>1.996007984031936E-3</v>
      </c>
      <c r="U44" s="532"/>
      <c r="V44" s="515" t="str">
        <f t="shared" si="7"/>
        <v>J4</v>
      </c>
      <c r="W44" s="46" t="str">
        <f t="shared" si="8"/>
        <v>Jordan</v>
      </c>
      <c r="X44" s="527">
        <f t="shared" si="9"/>
        <v>0</v>
      </c>
      <c r="Y44" s="534"/>
      <c r="Z44" s="515" t="str">
        <f t="shared" si="10"/>
        <v>J4</v>
      </c>
      <c r="AA44" s="46" t="str">
        <f t="shared" si="11"/>
        <v>Jordan</v>
      </c>
      <c r="AB44" s="527">
        <f t="shared" si="12"/>
        <v>1E-3</v>
      </c>
    </row>
    <row r="45" spans="1:28" ht="15.95" customHeight="1" x14ac:dyDescent="0.25">
      <c r="A45" s="508"/>
      <c r="B45" s="515" t="s">
        <v>437</v>
      </c>
      <c r="C45" s="46" t="str">
        <f>Data!C45</f>
        <v>Uzbekistan</v>
      </c>
      <c r="D45" s="293" t="str">
        <f t="shared" si="0"/>
        <v>39/1</v>
      </c>
      <c r="E45" s="496">
        <v>20</v>
      </c>
      <c r="F45" s="497">
        <v>1</v>
      </c>
      <c r="G45" s="516">
        <f t="shared" si="1"/>
        <v>2.5000000000000001E-2</v>
      </c>
      <c r="H45" s="517">
        <f t="shared" si="13"/>
        <v>4.3443917851500792E-2</v>
      </c>
      <c r="I45" s="737"/>
      <c r="J45" s="514">
        <f t="shared" si="2"/>
        <v>4.7619047619047616E-2</v>
      </c>
      <c r="K45" s="532"/>
      <c r="L45" s="515" t="str">
        <f>Data!I45</f>
        <v>B2</v>
      </c>
      <c r="M45" s="46" t="str">
        <f>Data!J45</f>
        <v>Bosnia-Herzegovina</v>
      </c>
      <c r="N45" s="293" t="str">
        <f t="shared" si="3"/>
        <v>250/1</v>
      </c>
      <c r="O45" s="496">
        <v>500</v>
      </c>
      <c r="P45" s="497">
        <v>1</v>
      </c>
      <c r="Q45" s="516">
        <f t="shared" si="4"/>
        <v>0</v>
      </c>
      <c r="R45" s="517">
        <f t="shared" si="5"/>
        <v>1.6270410687480794E-3</v>
      </c>
      <c r="S45" s="711"/>
      <c r="T45" s="523">
        <f t="shared" si="6"/>
        <v>1.996007984031936E-3</v>
      </c>
      <c r="U45" s="532"/>
      <c r="V45" s="515" t="str">
        <f t="shared" si="7"/>
        <v>B2</v>
      </c>
      <c r="W45" s="46" t="str">
        <f t="shared" si="8"/>
        <v>Bosnia-Herzegovina</v>
      </c>
      <c r="X45" s="527">
        <f t="shared" si="9"/>
        <v>0</v>
      </c>
      <c r="Y45" s="534"/>
      <c r="Z45" s="515" t="str">
        <f t="shared" si="10"/>
        <v>B2</v>
      </c>
      <c r="AA45" s="46" t="str">
        <f t="shared" si="11"/>
        <v>Bosnia-Herzegovina</v>
      </c>
      <c r="AB45" s="527">
        <f t="shared" si="12"/>
        <v>0</v>
      </c>
    </row>
    <row r="46" spans="1:28" ht="15.95" customHeight="1" thickBot="1" x14ac:dyDescent="0.3">
      <c r="A46" s="508"/>
      <c r="B46" s="518" t="s">
        <v>438</v>
      </c>
      <c r="C46" s="519" t="str">
        <f>Data!C46</f>
        <v>Colombia</v>
      </c>
      <c r="D46" s="520" t="str">
        <f t="shared" si="0"/>
        <v>9/5</v>
      </c>
      <c r="E46" s="134">
        <v>2</v>
      </c>
      <c r="F46" s="135">
        <v>1</v>
      </c>
      <c r="G46" s="521">
        <f t="shared" si="1"/>
        <v>0.35399999999999998</v>
      </c>
      <c r="H46" s="522">
        <f t="shared" si="13"/>
        <v>0.30410742496050552</v>
      </c>
      <c r="I46" s="738"/>
      <c r="J46" s="514">
        <f t="shared" si="2"/>
        <v>0.33333333333333331</v>
      </c>
      <c r="K46" s="532"/>
      <c r="L46" s="515" t="str">
        <f>Data!I46</f>
        <v>H2</v>
      </c>
      <c r="M46" s="46" t="str">
        <f>Data!J46</f>
        <v>Cabo Verde</v>
      </c>
      <c r="N46" s="293" t="str">
        <f t="shared" si="3"/>
        <v>250/1</v>
      </c>
      <c r="O46" s="496">
        <v>500</v>
      </c>
      <c r="P46" s="497">
        <v>1</v>
      </c>
      <c r="Q46" s="516">
        <f t="shared" si="4"/>
        <v>0</v>
      </c>
      <c r="R46" s="517">
        <f t="shared" si="5"/>
        <v>1.6270410687480794E-3</v>
      </c>
      <c r="S46" s="711"/>
      <c r="T46" s="523">
        <f t="shared" si="6"/>
        <v>1.996007984031936E-3</v>
      </c>
      <c r="U46" s="532"/>
      <c r="V46" s="515" t="str">
        <f t="shared" si="7"/>
        <v>H2</v>
      </c>
      <c r="W46" s="46" t="str">
        <f t="shared" si="8"/>
        <v>Cabo Verde</v>
      </c>
      <c r="X46" s="527">
        <f t="shared" si="9"/>
        <v>0</v>
      </c>
      <c r="Y46" s="534"/>
      <c r="Z46" s="515" t="str">
        <f t="shared" si="10"/>
        <v>H2</v>
      </c>
      <c r="AA46" s="46" t="str">
        <f t="shared" si="11"/>
        <v>Cabo Verde</v>
      </c>
      <c r="AB46" s="527">
        <f t="shared" si="12"/>
        <v>1E-3</v>
      </c>
    </row>
    <row r="47" spans="1:28" ht="15.95" customHeight="1" x14ac:dyDescent="0.25">
      <c r="A47" s="508"/>
      <c r="B47" s="509" t="s">
        <v>439</v>
      </c>
      <c r="C47" s="510" t="str">
        <f>Data!C47</f>
        <v>England</v>
      </c>
      <c r="D47" s="511" t="str">
        <f t="shared" si="0"/>
        <v>4/7</v>
      </c>
      <c r="E47" s="132">
        <v>4</v>
      </c>
      <c r="F47" s="133">
        <v>11</v>
      </c>
      <c r="G47" s="512">
        <f t="shared" si="1"/>
        <v>0.629</v>
      </c>
      <c r="H47" s="513">
        <f t="shared" si="13"/>
        <v>0.66903633491311221</v>
      </c>
      <c r="I47" s="736">
        <f>IFERROR(SUM(J47:J50)-1,"")</f>
        <v>0.10079920079920068</v>
      </c>
      <c r="J47" s="514">
        <f t="shared" si="2"/>
        <v>0.73333333333333328</v>
      </c>
      <c r="K47" s="532"/>
      <c r="L47" s="515" t="str">
        <f>Data!I47</f>
        <v>L3</v>
      </c>
      <c r="M47" s="46" t="str">
        <f>Data!J47</f>
        <v>Ghana</v>
      </c>
      <c r="N47" s="293" t="str">
        <f t="shared" si="3"/>
        <v>250/1</v>
      </c>
      <c r="O47" s="496">
        <v>500</v>
      </c>
      <c r="P47" s="497">
        <v>1</v>
      </c>
      <c r="Q47" s="516">
        <f t="shared" si="4"/>
        <v>0</v>
      </c>
      <c r="R47" s="517">
        <f t="shared" si="5"/>
        <v>1.6270410687480794E-3</v>
      </c>
      <c r="S47" s="711"/>
      <c r="T47" s="523">
        <f t="shared" si="6"/>
        <v>1.996007984031936E-3</v>
      </c>
      <c r="U47" s="532"/>
      <c r="V47" s="515" t="str">
        <f t="shared" si="7"/>
        <v>L3</v>
      </c>
      <c r="W47" s="46" t="str">
        <f t="shared" si="8"/>
        <v>Ghana</v>
      </c>
      <c r="X47" s="527">
        <f t="shared" si="9"/>
        <v>0</v>
      </c>
      <c r="Y47" s="534"/>
      <c r="Z47" s="515" t="str">
        <f t="shared" si="10"/>
        <v>L3</v>
      </c>
      <c r="AA47" s="46" t="str">
        <f t="shared" si="11"/>
        <v>Ghana</v>
      </c>
      <c r="AB47" s="527">
        <f t="shared" si="12"/>
        <v>2E-3</v>
      </c>
    </row>
    <row r="48" spans="1:28" ht="15.95" customHeight="1" x14ac:dyDescent="0.25">
      <c r="A48" s="508"/>
      <c r="B48" s="515" t="s">
        <v>440</v>
      </c>
      <c r="C48" s="46" t="str">
        <f>Data!C48</f>
        <v>Croatia</v>
      </c>
      <c r="D48" s="293" t="str">
        <f t="shared" si="0"/>
        <v>13/5</v>
      </c>
      <c r="E48" s="496">
        <v>16</v>
      </c>
      <c r="F48" s="497">
        <v>5</v>
      </c>
      <c r="G48" s="516">
        <f t="shared" si="1"/>
        <v>0.26900000000000002</v>
      </c>
      <c r="H48" s="517">
        <f t="shared" si="13"/>
        <v>0.21721958925750395</v>
      </c>
      <c r="I48" s="737"/>
      <c r="J48" s="514">
        <f t="shared" si="2"/>
        <v>0.23809523809523808</v>
      </c>
      <c r="K48" s="532"/>
      <c r="L48" s="515" t="str">
        <f>Data!I48</f>
        <v>E2</v>
      </c>
      <c r="M48" s="46" t="str">
        <f>Data!J48</f>
        <v>Curaçao</v>
      </c>
      <c r="N48" s="293" t="str">
        <f t="shared" si="3"/>
        <v>250/1</v>
      </c>
      <c r="O48" s="496">
        <v>500</v>
      </c>
      <c r="P48" s="497">
        <v>1</v>
      </c>
      <c r="Q48" s="516">
        <f t="shared" si="4"/>
        <v>0</v>
      </c>
      <c r="R48" s="517">
        <f t="shared" si="5"/>
        <v>1.6270410687480794E-3</v>
      </c>
      <c r="S48" s="711"/>
      <c r="T48" s="523">
        <f t="shared" si="6"/>
        <v>1.996007984031936E-3</v>
      </c>
      <c r="U48" s="532"/>
      <c r="V48" s="515" t="str">
        <f t="shared" si="7"/>
        <v>E2</v>
      </c>
      <c r="W48" s="46" t="str">
        <f t="shared" si="8"/>
        <v>Curaçao</v>
      </c>
      <c r="X48" s="527">
        <f t="shared" si="9"/>
        <v>0</v>
      </c>
      <c r="Y48" s="534"/>
      <c r="Z48" s="515" t="str">
        <f t="shared" si="10"/>
        <v>E2</v>
      </c>
      <c r="AA48" s="46" t="str">
        <f t="shared" si="11"/>
        <v>Curaçao</v>
      </c>
      <c r="AB48" s="527">
        <f t="shared" si="12"/>
        <v>0</v>
      </c>
    </row>
    <row r="49" spans="1:28" ht="15.95" customHeight="1" x14ac:dyDescent="0.25">
      <c r="A49" s="508"/>
      <c r="B49" s="515" t="s">
        <v>441</v>
      </c>
      <c r="C49" s="46" t="str">
        <f>Data!C49</f>
        <v>Ghana</v>
      </c>
      <c r="D49" s="293" t="str">
        <f t="shared" si="0"/>
        <v>54/1</v>
      </c>
      <c r="E49" s="496">
        <v>10</v>
      </c>
      <c r="F49" s="497">
        <v>1</v>
      </c>
      <c r="G49" s="516">
        <f t="shared" si="1"/>
        <v>1.7999999999999999E-2</v>
      </c>
      <c r="H49" s="517">
        <f t="shared" si="13"/>
        <v>8.2938388625592427E-2</v>
      </c>
      <c r="I49" s="737"/>
      <c r="J49" s="514">
        <f t="shared" si="2"/>
        <v>9.0909090909090912E-2</v>
      </c>
      <c r="K49" s="532"/>
      <c r="L49" s="515" t="str">
        <f>Data!I49</f>
        <v>C3</v>
      </c>
      <c r="M49" s="46" t="str">
        <f>Data!J49</f>
        <v>Haiti</v>
      </c>
      <c r="N49" s="293" t="str">
        <f t="shared" si="3"/>
        <v>250/1</v>
      </c>
      <c r="O49" s="496">
        <v>500</v>
      </c>
      <c r="P49" s="497">
        <v>1</v>
      </c>
      <c r="Q49" s="516">
        <f t="shared" si="4"/>
        <v>0</v>
      </c>
      <c r="R49" s="517">
        <f t="shared" si="5"/>
        <v>1.6270410687480794E-3</v>
      </c>
      <c r="S49" s="711"/>
      <c r="T49" s="523">
        <f t="shared" si="6"/>
        <v>1.996007984031936E-3</v>
      </c>
      <c r="U49" s="532"/>
      <c r="V49" s="515" t="str">
        <f t="shared" si="7"/>
        <v>C3</v>
      </c>
      <c r="W49" s="46" t="str">
        <f t="shared" si="8"/>
        <v>Haiti</v>
      </c>
      <c r="X49" s="527">
        <f t="shared" si="9"/>
        <v>0</v>
      </c>
      <c r="Y49" s="534"/>
      <c r="Z49" s="515" t="str">
        <f t="shared" si="10"/>
        <v>C3</v>
      </c>
      <c r="AA49" s="46" t="str">
        <f t="shared" si="11"/>
        <v>Haiti</v>
      </c>
      <c r="AB49" s="527">
        <f t="shared" si="12"/>
        <v>0</v>
      </c>
    </row>
    <row r="50" spans="1:28" ht="15.95" customHeight="1" thickBot="1" x14ac:dyDescent="0.3">
      <c r="A50" s="508"/>
      <c r="B50" s="518" t="s">
        <v>442</v>
      </c>
      <c r="C50" s="519" t="str">
        <f>Data!C50</f>
        <v>Panama</v>
      </c>
      <c r="D50" s="520" t="str">
        <f t="shared" si="0"/>
        <v>21/2</v>
      </c>
      <c r="E50" s="134">
        <v>25</v>
      </c>
      <c r="F50" s="135">
        <v>1</v>
      </c>
      <c r="G50" s="521">
        <f t="shared" si="1"/>
        <v>8.4000000000000005E-2</v>
      </c>
      <c r="H50" s="522">
        <f t="shared" si="13"/>
        <v>3.5089318264673722E-2</v>
      </c>
      <c r="I50" s="738"/>
      <c r="J50" s="514">
        <f t="shared" si="2"/>
        <v>3.8461538461538464E-2</v>
      </c>
      <c r="K50" s="532"/>
      <c r="L50" s="518" t="str">
        <f>Data!I50</f>
        <v>G4</v>
      </c>
      <c r="M50" s="519" t="str">
        <f>Data!J50</f>
        <v>New Zealand</v>
      </c>
      <c r="N50" s="520" t="str">
        <f t="shared" si="3"/>
        <v>250/1</v>
      </c>
      <c r="O50" s="134">
        <v>500</v>
      </c>
      <c r="P50" s="135">
        <v>1</v>
      </c>
      <c r="Q50" s="521">
        <f t="shared" si="4"/>
        <v>0</v>
      </c>
      <c r="R50" s="522">
        <f t="shared" si="5"/>
        <v>1.6270410687480794E-3</v>
      </c>
      <c r="S50" s="712"/>
      <c r="T50" s="528">
        <f t="shared" si="6"/>
        <v>1.996007984031936E-3</v>
      </c>
      <c r="U50" s="532"/>
      <c r="V50" s="518" t="str">
        <f t="shared" si="7"/>
        <v>G4</v>
      </c>
      <c r="W50" s="519" t="str">
        <f t="shared" si="8"/>
        <v>New Zealand</v>
      </c>
      <c r="X50" s="529">
        <f t="shared" si="9"/>
        <v>0</v>
      </c>
      <c r="Y50" s="535"/>
      <c r="Z50" s="518" t="str">
        <f t="shared" si="10"/>
        <v>G4</v>
      </c>
      <c r="AA50" s="519" t="str">
        <f t="shared" si="11"/>
        <v>New Zealand</v>
      </c>
      <c r="AB50" s="529">
        <f t="shared" si="12"/>
        <v>0</v>
      </c>
    </row>
    <row r="51" spans="1:28" ht="32.1" customHeight="1" x14ac:dyDescent="0.25">
      <c r="A51" s="508"/>
      <c r="N51" s="530"/>
      <c r="O51" s="18"/>
      <c r="P51" s="18"/>
      <c r="R51" s="531">
        <f>SUM(R3:R50)</f>
        <v>0.99999999999999922</v>
      </c>
      <c r="X51" s="531">
        <f>SUM(X3:X50)</f>
        <v>1.9999999999999984</v>
      </c>
      <c r="Y51" s="534"/>
      <c r="AB51" s="531">
        <f>SUM(AB3:AB50)</f>
        <v>3.9999999999999991</v>
      </c>
    </row>
    <row r="52" spans="1:28" ht="15.95" customHeight="1" x14ac:dyDescent="0.25">
      <c r="A52" s="508"/>
    </row>
    <row r="53" spans="1:28" ht="15.95" customHeight="1" x14ac:dyDescent="0.25">
      <c r="A53" s="508"/>
    </row>
    <row r="54" spans="1:28" ht="15.95" customHeight="1" x14ac:dyDescent="0.25">
      <c r="A54" s="508"/>
    </row>
    <row r="55" spans="1:28" ht="15.95" customHeight="1" x14ac:dyDescent="0.25">
      <c r="A55" s="508"/>
    </row>
    <row r="56" spans="1:28" ht="15.95" customHeight="1" x14ac:dyDescent="0.25">
      <c r="A56" s="508"/>
    </row>
    <row r="57" spans="1:28" ht="15.95" customHeight="1" x14ac:dyDescent="0.25">
      <c r="A57" s="508"/>
    </row>
    <row r="58" spans="1:28" ht="15.95" customHeight="1" x14ac:dyDescent="0.25">
      <c r="A58" s="508"/>
    </row>
    <row r="59" spans="1:28" ht="15.95" customHeight="1" x14ac:dyDescent="0.25">
      <c r="A59" s="508"/>
    </row>
    <row r="60" spans="1:28" ht="15.95" customHeight="1" x14ac:dyDescent="0.25">
      <c r="A60" s="508"/>
    </row>
    <row r="61" spans="1:28" ht="15.95" customHeight="1" x14ac:dyDescent="0.25">
      <c r="A61" s="508"/>
    </row>
    <row r="62" spans="1:28" ht="15.95" customHeight="1" x14ac:dyDescent="0.25">
      <c r="A62" s="508"/>
    </row>
    <row r="63" spans="1:28" ht="15.95" customHeight="1" x14ac:dyDescent="0.25">
      <c r="A63" s="508"/>
    </row>
    <row r="64" spans="1:28" ht="15.95" customHeight="1" x14ac:dyDescent="0.25">
      <c r="A64" s="508"/>
    </row>
    <row r="65" spans="1:1" ht="15.95" customHeight="1" x14ac:dyDescent="0.25">
      <c r="A65" s="508"/>
    </row>
    <row r="66" spans="1:1" ht="15.95" customHeight="1" x14ac:dyDescent="0.25">
      <c r="A66" s="508"/>
    </row>
    <row r="67" spans="1:1" ht="15.95" customHeight="1" x14ac:dyDescent="0.25">
      <c r="A67" s="508"/>
    </row>
    <row r="68" spans="1:1" ht="15.95" customHeight="1" x14ac:dyDescent="0.25">
      <c r="A68" s="508"/>
    </row>
    <row r="69" spans="1:1" ht="15.95" customHeight="1" x14ac:dyDescent="0.25">
      <c r="A69" s="508"/>
    </row>
    <row r="70" spans="1:1" ht="15.95" customHeight="1" x14ac:dyDescent="0.25">
      <c r="A70" s="508"/>
    </row>
    <row r="71" spans="1:1" ht="15.95" customHeight="1" x14ac:dyDescent="0.25">
      <c r="A71" s="508"/>
    </row>
    <row r="72" spans="1:1" ht="15.95" customHeight="1" x14ac:dyDescent="0.25">
      <c r="A72" s="508"/>
    </row>
    <row r="73" spans="1:1" ht="15.95" customHeight="1" x14ac:dyDescent="0.25">
      <c r="A73" s="508"/>
    </row>
    <row r="74" spans="1:1" ht="15.95" customHeight="1" x14ac:dyDescent="0.25">
      <c r="A74" s="508"/>
    </row>
    <row r="75" spans="1:1" ht="15.95" customHeight="1" x14ac:dyDescent="0.25">
      <c r="A75" s="508"/>
    </row>
    <row r="76" spans="1:1" ht="15.95" customHeight="1" x14ac:dyDescent="0.25">
      <c r="A76" s="508"/>
    </row>
    <row r="77" spans="1:1" ht="15.95" customHeight="1" x14ac:dyDescent="0.25">
      <c r="A77" s="508"/>
    </row>
    <row r="78" spans="1:1" ht="15.95" customHeight="1" x14ac:dyDescent="0.25">
      <c r="A78" s="508"/>
    </row>
    <row r="79" spans="1:1" ht="15.95" customHeight="1" x14ac:dyDescent="0.25">
      <c r="A79" s="508"/>
    </row>
    <row r="80" spans="1:1" ht="15.95" customHeight="1" x14ac:dyDescent="0.25">
      <c r="A80" s="508"/>
    </row>
    <row r="81" spans="1:1" ht="15.95" customHeight="1" x14ac:dyDescent="0.25">
      <c r="A81" s="508"/>
    </row>
    <row r="82" spans="1:1" ht="15.95" customHeight="1" x14ac:dyDescent="0.25">
      <c r="A82" s="508"/>
    </row>
    <row r="83" spans="1:1" ht="15.95" customHeight="1" x14ac:dyDescent="0.25">
      <c r="A83" s="508"/>
    </row>
    <row r="84" spans="1:1" ht="15.95" customHeight="1" x14ac:dyDescent="0.25">
      <c r="A84" s="508"/>
    </row>
    <row r="85" spans="1:1" ht="15.95" customHeight="1" x14ac:dyDescent="0.25">
      <c r="A85" s="508"/>
    </row>
    <row r="86" spans="1:1" ht="15.95" customHeight="1" x14ac:dyDescent="0.25">
      <c r="A86" s="508"/>
    </row>
    <row r="87" spans="1:1" ht="15.95" customHeight="1" x14ac:dyDescent="0.25">
      <c r="A87" s="508"/>
    </row>
    <row r="88" spans="1:1" ht="15.95" customHeight="1" x14ac:dyDescent="0.25">
      <c r="A88" s="508"/>
    </row>
    <row r="89" spans="1:1" ht="15.95" customHeight="1" x14ac:dyDescent="0.25">
      <c r="A89" s="508"/>
    </row>
    <row r="90" spans="1:1" ht="15.95" customHeight="1" x14ac:dyDescent="0.25">
      <c r="A90" s="508"/>
    </row>
    <row r="91" spans="1:1" ht="15.95" customHeight="1" x14ac:dyDescent="0.25">
      <c r="A91" s="508"/>
    </row>
    <row r="92" spans="1:1" ht="15.95" customHeight="1" x14ac:dyDescent="0.25">
      <c r="A92" s="508"/>
    </row>
    <row r="93" spans="1:1" ht="15.95" customHeight="1" x14ac:dyDescent="0.25">
      <c r="A93" s="508"/>
    </row>
    <row r="94" spans="1:1" ht="15.95" customHeight="1" x14ac:dyDescent="0.25">
      <c r="A94" s="508"/>
    </row>
    <row r="95" spans="1:1" ht="15.95" customHeight="1" x14ac:dyDescent="0.25">
      <c r="A95" s="508"/>
    </row>
    <row r="96" spans="1:1" ht="15.95" customHeight="1" x14ac:dyDescent="0.25">
      <c r="A96" s="508"/>
    </row>
    <row r="97" spans="1:1" ht="15.95" customHeight="1" x14ac:dyDescent="0.25">
      <c r="A97" s="508"/>
    </row>
    <row r="98" spans="1:1" ht="15.95" customHeight="1" x14ac:dyDescent="0.25">
      <c r="A98" s="508"/>
    </row>
    <row r="99" spans="1:1" ht="15.95" customHeight="1" x14ac:dyDescent="0.25">
      <c r="A99" s="508"/>
    </row>
  </sheetData>
  <sheetProtection sheet="1"/>
  <mergeCells count="28">
    <mergeCell ref="I31:I34"/>
    <mergeCell ref="I35:I38"/>
    <mergeCell ref="I39:I42"/>
    <mergeCell ref="I43:I46"/>
    <mergeCell ref="I47:I50"/>
    <mergeCell ref="I27:I30"/>
    <mergeCell ref="I3:I6"/>
    <mergeCell ref="I7:I10"/>
    <mergeCell ref="I11:I14"/>
    <mergeCell ref="I15:I18"/>
    <mergeCell ref="I19:I22"/>
    <mergeCell ref="B1:C1"/>
    <mergeCell ref="B2:C2"/>
    <mergeCell ref="E2:F2"/>
    <mergeCell ref="E1:F1"/>
    <mergeCell ref="I23:I26"/>
    <mergeCell ref="AB1:AB2"/>
    <mergeCell ref="S3:S50"/>
    <mergeCell ref="L1:M2"/>
    <mergeCell ref="N1:N2"/>
    <mergeCell ref="O1:P2"/>
    <mergeCell ref="Q1:Q2"/>
    <mergeCell ref="R1:R2"/>
    <mergeCell ref="S1:S2"/>
    <mergeCell ref="T1:T2"/>
    <mergeCell ref="X1:X2"/>
    <mergeCell ref="Z1:AA2"/>
    <mergeCell ref="V1:W2"/>
  </mergeCells>
  <conditionalFormatting sqref="D3:F50">
    <cfRule type="expression" dxfId="4" priority="337">
      <formula>$G3&lt;$F3/($E3+$F3)</formula>
    </cfRule>
  </conditionalFormatting>
  <conditionalFormatting sqref="E3:F50">
    <cfRule type="expression" dxfId="3" priority="4">
      <formula>$E3/$F3&gt;9999</formula>
    </cfRule>
  </conditionalFormatting>
  <conditionalFormatting sqref="F4:F50">
    <cfRule type="expression" priority="5">
      <formula>$E4/$F4&gt;9999</formula>
    </cfRule>
  </conditionalFormatting>
  <conditionalFormatting sqref="N3:P50">
    <cfRule type="expression" dxfId="2" priority="339">
      <formula>$Q3&lt;$P3/($O3+$P3)</formula>
    </cfRule>
  </conditionalFormatting>
  <conditionalFormatting sqref="O3:P50">
    <cfRule type="expression" dxfId="1" priority="338">
      <formula>$O3/$P3&gt;9999</formula>
    </cfRule>
  </conditionalFormatting>
  <printOptions horizontalCentered="1"/>
  <pageMargins left="0.23622047244094491" right="0.23622047244094491" top="0.55118110236220474" bottom="0.55118110236220474" header="0" footer="0.31496062992125984"/>
  <pageSetup paperSize="9" fitToHeight="10" orientation="landscape" verticalDpi="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pageSetUpPr fitToPage="1"/>
  </sheetPr>
  <dimension ref="A1:E49"/>
  <sheetViews>
    <sheetView showGridLines="0" showRowColHeaders="0" zoomScaleNormal="100" workbookViewId="0">
      <pane xSplit="3" ySplit="1" topLeftCell="D2" activePane="bottomRight" state="frozen"/>
      <selection activeCell="H30" sqref="H30"/>
      <selection pane="topRight" activeCell="H30" sqref="H30"/>
      <selection pane="bottomLeft" activeCell="H30" sqref="H30"/>
      <selection pane="bottomRight" activeCell="C2" sqref="C2"/>
    </sheetView>
  </sheetViews>
  <sheetFormatPr defaultColWidth="9.140625" defaultRowHeight="17.100000000000001" customHeight="1" x14ac:dyDescent="0.25"/>
  <cols>
    <col min="1" max="1" width="7.7109375" style="13" customWidth="1"/>
    <col min="2" max="2" width="30.7109375" style="10" customWidth="1"/>
    <col min="3" max="5" width="10.7109375" style="18" customWidth="1"/>
    <col min="6" max="16384" width="9.140625" style="10"/>
  </cols>
  <sheetData>
    <row r="1" spans="1:5" s="13" customFormat="1" ht="33.950000000000003" customHeight="1" x14ac:dyDescent="0.25">
      <c r="A1" s="544" t="s">
        <v>424</v>
      </c>
      <c r="B1" s="128" t="str">
        <f>League</f>
        <v>2026 FIFA World Cup Americas</v>
      </c>
      <c r="C1" s="545" t="s">
        <v>421</v>
      </c>
      <c r="D1" s="546" t="s">
        <v>422</v>
      </c>
      <c r="E1" s="546" t="s">
        <v>423</v>
      </c>
    </row>
    <row r="2" spans="1:5" ht="17.100000000000001" customHeight="1" x14ac:dyDescent="0.25">
      <c r="A2" s="14">
        <v>1</v>
      </c>
      <c r="B2" s="547" t="str">
        <f>Teams!B2</f>
        <v>Argentina</v>
      </c>
      <c r="C2" s="131">
        <v>-85</v>
      </c>
      <c r="D2" s="548">
        <f t="shared" ref="D2:D49" si="0">VLOOKUP(A2,Lookup07,5,FALSE)</f>
        <v>1877</v>
      </c>
      <c r="E2" s="548">
        <f t="shared" ref="E2:E49" si="1">D2+C2</f>
        <v>1792</v>
      </c>
    </row>
    <row r="3" spans="1:5" ht="17.100000000000001" customHeight="1" x14ac:dyDescent="0.25">
      <c r="A3" s="14">
        <v>2</v>
      </c>
      <c r="B3" s="547" t="str">
        <f>Teams!B3</f>
        <v>Spain</v>
      </c>
      <c r="C3" s="131">
        <v>-40</v>
      </c>
      <c r="D3" s="548">
        <f t="shared" si="0"/>
        <v>1875</v>
      </c>
      <c r="E3" s="548">
        <f t="shared" si="1"/>
        <v>1835</v>
      </c>
    </row>
    <row r="4" spans="1:5" ht="17.100000000000001" customHeight="1" x14ac:dyDescent="0.25">
      <c r="A4" s="14">
        <v>3</v>
      </c>
      <c r="B4" s="547" t="str">
        <f>Teams!B4</f>
        <v>France</v>
      </c>
      <c r="C4" s="131">
        <v>-52</v>
      </c>
      <c r="D4" s="548">
        <f t="shared" si="0"/>
        <v>1871</v>
      </c>
      <c r="E4" s="548">
        <f t="shared" si="1"/>
        <v>1819</v>
      </c>
    </row>
    <row r="5" spans="1:5" ht="17.100000000000001" customHeight="1" x14ac:dyDescent="0.25">
      <c r="A5" s="14">
        <v>4</v>
      </c>
      <c r="B5" s="547" t="str">
        <f>Teams!B5</f>
        <v>England</v>
      </c>
      <c r="C5" s="131">
        <v>-25</v>
      </c>
      <c r="D5" s="548">
        <f t="shared" si="0"/>
        <v>1828</v>
      </c>
      <c r="E5" s="548">
        <f t="shared" si="1"/>
        <v>1803</v>
      </c>
    </row>
    <row r="6" spans="1:5" ht="17.100000000000001" customHeight="1" x14ac:dyDescent="0.25">
      <c r="A6" s="14">
        <v>5</v>
      </c>
      <c r="B6" s="547" t="str">
        <f>Teams!B6</f>
        <v>Portugal</v>
      </c>
      <c r="C6" s="131">
        <v>30</v>
      </c>
      <c r="D6" s="548">
        <f t="shared" si="0"/>
        <v>1768</v>
      </c>
      <c r="E6" s="548">
        <f t="shared" si="1"/>
        <v>1798</v>
      </c>
    </row>
    <row r="7" spans="1:5" ht="17.100000000000001" customHeight="1" x14ac:dyDescent="0.25">
      <c r="A7" s="14">
        <v>6</v>
      </c>
      <c r="B7" s="547" t="str">
        <f>Teams!B7</f>
        <v>Brazil</v>
      </c>
      <c r="C7" s="131">
        <v>22</v>
      </c>
      <c r="D7" s="548">
        <f t="shared" si="0"/>
        <v>1766</v>
      </c>
      <c r="E7" s="548">
        <f t="shared" si="1"/>
        <v>1788</v>
      </c>
    </row>
    <row r="8" spans="1:5" ht="17.100000000000001" customHeight="1" x14ac:dyDescent="0.25">
      <c r="A8" s="14">
        <v>7</v>
      </c>
      <c r="B8" s="547" t="str">
        <f>Teams!B8</f>
        <v>Morocco</v>
      </c>
      <c r="C8" s="131">
        <v>-60</v>
      </c>
      <c r="D8" s="548">
        <f t="shared" si="0"/>
        <v>1755</v>
      </c>
      <c r="E8" s="548">
        <f t="shared" si="1"/>
        <v>1695</v>
      </c>
    </row>
    <row r="9" spans="1:5" ht="17.100000000000001" customHeight="1" x14ac:dyDescent="0.25">
      <c r="A9" s="14">
        <v>8</v>
      </c>
      <c r="B9" s="547" t="str">
        <f>Teams!B9</f>
        <v>Netherlands</v>
      </c>
      <c r="C9" s="131">
        <v>-5</v>
      </c>
      <c r="D9" s="548">
        <f t="shared" si="0"/>
        <v>1754</v>
      </c>
      <c r="E9" s="548">
        <f t="shared" si="1"/>
        <v>1749</v>
      </c>
    </row>
    <row r="10" spans="1:5" ht="17.100000000000001" customHeight="1" x14ac:dyDescent="0.25">
      <c r="A10" s="14">
        <v>9</v>
      </c>
      <c r="B10" s="547" t="str">
        <f>Teams!B10</f>
        <v>Belgium</v>
      </c>
      <c r="C10" s="131">
        <v>-7</v>
      </c>
      <c r="D10" s="548">
        <f t="shared" si="0"/>
        <v>1742</v>
      </c>
      <c r="E10" s="548">
        <f t="shared" si="1"/>
        <v>1735</v>
      </c>
    </row>
    <row r="11" spans="1:5" ht="17.100000000000001" customHeight="1" x14ac:dyDescent="0.25">
      <c r="A11" s="14">
        <v>10</v>
      </c>
      <c r="B11" s="547" t="str">
        <f>Teams!B11</f>
        <v>Germany</v>
      </c>
      <c r="C11" s="131">
        <v>35</v>
      </c>
      <c r="D11" s="548">
        <f t="shared" si="0"/>
        <v>1736</v>
      </c>
      <c r="E11" s="548">
        <f t="shared" si="1"/>
        <v>1771</v>
      </c>
    </row>
    <row r="12" spans="1:5" ht="17.100000000000001" customHeight="1" x14ac:dyDescent="0.25">
      <c r="A12" s="14">
        <v>11</v>
      </c>
      <c r="B12" s="547" t="str">
        <f>Teams!B12</f>
        <v>Croatia</v>
      </c>
      <c r="C12" s="131">
        <v>-20</v>
      </c>
      <c r="D12" s="548">
        <f t="shared" si="0"/>
        <v>1715</v>
      </c>
      <c r="E12" s="548">
        <f t="shared" si="1"/>
        <v>1695</v>
      </c>
    </row>
    <row r="13" spans="1:5" ht="17.100000000000001" customHeight="1" x14ac:dyDescent="0.25">
      <c r="A13" s="14">
        <v>12</v>
      </c>
      <c r="B13" s="547" t="str">
        <f>Teams!B13</f>
        <v>Colombia</v>
      </c>
      <c r="C13" s="131">
        <v>25</v>
      </c>
      <c r="D13" s="548">
        <f t="shared" si="0"/>
        <v>1698</v>
      </c>
      <c r="E13" s="548">
        <f t="shared" si="1"/>
        <v>1723</v>
      </c>
    </row>
    <row r="14" spans="1:5" ht="17.100000000000001" customHeight="1" x14ac:dyDescent="0.25">
      <c r="A14" s="14">
        <v>13</v>
      </c>
      <c r="B14" s="547" t="str">
        <f>Teams!B14</f>
        <v>Mexico</v>
      </c>
      <c r="C14" s="131">
        <v>15</v>
      </c>
      <c r="D14" s="548">
        <f t="shared" si="0"/>
        <v>1687</v>
      </c>
      <c r="E14" s="548">
        <f t="shared" si="1"/>
        <v>1702</v>
      </c>
    </row>
    <row r="15" spans="1:5" ht="17.100000000000001" customHeight="1" x14ac:dyDescent="0.25">
      <c r="A15" s="14">
        <v>14</v>
      </c>
      <c r="B15" s="547" t="str">
        <f>Teams!B15</f>
        <v>Senegal</v>
      </c>
      <c r="C15" s="131">
        <v>-30</v>
      </c>
      <c r="D15" s="548">
        <f t="shared" si="0"/>
        <v>1684</v>
      </c>
      <c r="E15" s="548">
        <f t="shared" si="1"/>
        <v>1654</v>
      </c>
    </row>
    <row r="16" spans="1:5" ht="17.100000000000001" customHeight="1" x14ac:dyDescent="0.25">
      <c r="A16" s="14">
        <v>15</v>
      </c>
      <c r="B16" s="547" t="str">
        <f>Teams!B16</f>
        <v>Uruguay</v>
      </c>
      <c r="C16" s="131"/>
      <c r="D16" s="548">
        <f t="shared" si="0"/>
        <v>1673</v>
      </c>
      <c r="E16" s="548">
        <f t="shared" si="1"/>
        <v>1673</v>
      </c>
    </row>
    <row r="17" spans="1:5" ht="17.100000000000001" customHeight="1" x14ac:dyDescent="0.25">
      <c r="A17" s="14">
        <v>16</v>
      </c>
      <c r="B17" s="547" t="str">
        <f>Teams!B17</f>
        <v>USA</v>
      </c>
      <c r="C17" s="131"/>
      <c r="D17" s="548">
        <f t="shared" si="0"/>
        <v>1671</v>
      </c>
      <c r="E17" s="548">
        <f t="shared" si="1"/>
        <v>1671</v>
      </c>
    </row>
    <row r="18" spans="1:5" ht="17.100000000000001" customHeight="1" x14ac:dyDescent="0.25">
      <c r="A18" s="14">
        <v>17</v>
      </c>
      <c r="B18" s="547" t="str">
        <f>Teams!B18</f>
        <v>Japan</v>
      </c>
      <c r="C18" s="131"/>
      <c r="D18" s="548">
        <f t="shared" si="0"/>
        <v>1662</v>
      </c>
      <c r="E18" s="548">
        <f t="shared" si="1"/>
        <v>1662</v>
      </c>
    </row>
    <row r="19" spans="1:5" ht="17.100000000000001" customHeight="1" x14ac:dyDescent="0.25">
      <c r="A19" s="14">
        <v>18</v>
      </c>
      <c r="B19" s="547" t="str">
        <f>Teams!B19</f>
        <v>Switzerland</v>
      </c>
      <c r="C19" s="131"/>
      <c r="D19" s="548">
        <f t="shared" si="0"/>
        <v>1650</v>
      </c>
      <c r="E19" s="548">
        <f t="shared" si="1"/>
        <v>1650</v>
      </c>
    </row>
    <row r="20" spans="1:5" ht="17.100000000000001" customHeight="1" x14ac:dyDescent="0.25">
      <c r="A20" s="14">
        <v>19</v>
      </c>
      <c r="B20" s="547" t="str">
        <f>Teams!B20</f>
        <v>IR Iran</v>
      </c>
      <c r="C20" s="131">
        <v>-50</v>
      </c>
      <c r="D20" s="548">
        <f t="shared" si="0"/>
        <v>1620</v>
      </c>
      <c r="E20" s="548">
        <f t="shared" si="1"/>
        <v>1570</v>
      </c>
    </row>
    <row r="21" spans="1:5" ht="17.100000000000001" customHeight="1" x14ac:dyDescent="0.25">
      <c r="A21" s="14">
        <v>20</v>
      </c>
      <c r="B21" s="547" t="str">
        <f>Teams!B21</f>
        <v>Turkiye</v>
      </c>
      <c r="C21" s="131"/>
      <c r="D21" s="548">
        <f t="shared" si="0"/>
        <v>1606</v>
      </c>
      <c r="E21" s="548">
        <f t="shared" si="1"/>
        <v>1606</v>
      </c>
    </row>
    <row r="22" spans="1:5" ht="17.100000000000001" customHeight="1" x14ac:dyDescent="0.25">
      <c r="A22" s="14">
        <v>21</v>
      </c>
      <c r="B22" s="547" t="str">
        <f>Teams!B22</f>
        <v>Ecuador</v>
      </c>
      <c r="C22" s="131"/>
      <c r="D22" s="548">
        <f t="shared" si="0"/>
        <v>1599</v>
      </c>
      <c r="E22" s="548">
        <f t="shared" si="1"/>
        <v>1599</v>
      </c>
    </row>
    <row r="23" spans="1:5" ht="17.100000000000001" customHeight="1" x14ac:dyDescent="0.25">
      <c r="A23" s="14">
        <v>22</v>
      </c>
      <c r="B23" s="547" t="str">
        <f>Teams!B23</f>
        <v>Austria</v>
      </c>
      <c r="C23" s="131">
        <v>10</v>
      </c>
      <c r="D23" s="548">
        <f t="shared" si="0"/>
        <v>1597</v>
      </c>
      <c r="E23" s="548">
        <f t="shared" si="1"/>
        <v>1607</v>
      </c>
    </row>
    <row r="24" spans="1:5" ht="17.100000000000001" customHeight="1" x14ac:dyDescent="0.25">
      <c r="A24" s="14">
        <v>23</v>
      </c>
      <c r="B24" s="547" t="str">
        <f>Teams!B24</f>
        <v>Korea Republic</v>
      </c>
      <c r="C24" s="131"/>
      <c r="D24" s="548">
        <f t="shared" si="0"/>
        <v>1592</v>
      </c>
      <c r="E24" s="548">
        <f t="shared" si="1"/>
        <v>1592</v>
      </c>
    </row>
    <row r="25" spans="1:5" ht="17.100000000000001" customHeight="1" x14ac:dyDescent="0.25">
      <c r="A25" s="14">
        <v>24</v>
      </c>
      <c r="B25" s="547" t="str">
        <f>Teams!B25</f>
        <v>Australia</v>
      </c>
      <c r="C25" s="131">
        <v>-30</v>
      </c>
      <c r="D25" s="548">
        <f t="shared" si="0"/>
        <v>1579</v>
      </c>
      <c r="E25" s="548">
        <f t="shared" si="1"/>
        <v>1549</v>
      </c>
    </row>
    <row r="26" spans="1:5" ht="17.100000000000001" customHeight="1" x14ac:dyDescent="0.25">
      <c r="A26" s="14">
        <v>25</v>
      </c>
      <c r="B26" s="547" t="str">
        <f>Teams!B26</f>
        <v>Algeria</v>
      </c>
      <c r="C26" s="131">
        <v>20</v>
      </c>
      <c r="D26" s="548">
        <f t="shared" si="0"/>
        <v>1571</v>
      </c>
      <c r="E26" s="548">
        <f t="shared" si="1"/>
        <v>1591</v>
      </c>
    </row>
    <row r="27" spans="1:5" ht="17.100000000000001" customHeight="1" x14ac:dyDescent="0.25">
      <c r="A27" s="14">
        <v>26</v>
      </c>
      <c r="B27" s="547" t="str">
        <f>Teams!B27</f>
        <v>Egypt</v>
      </c>
      <c r="C27" s="131"/>
      <c r="D27" s="548">
        <f t="shared" si="0"/>
        <v>1562</v>
      </c>
      <c r="E27" s="548">
        <f t="shared" si="1"/>
        <v>1562</v>
      </c>
    </row>
    <row r="28" spans="1:5" ht="17.100000000000001" customHeight="1" x14ac:dyDescent="0.25">
      <c r="A28" s="14">
        <v>27</v>
      </c>
      <c r="B28" s="547" t="str">
        <f>Teams!B28</f>
        <v>Canada</v>
      </c>
      <c r="C28" s="131">
        <v>30</v>
      </c>
      <c r="D28" s="548">
        <f t="shared" si="0"/>
        <v>1559</v>
      </c>
      <c r="E28" s="548">
        <f t="shared" si="1"/>
        <v>1589</v>
      </c>
    </row>
    <row r="29" spans="1:5" ht="17.100000000000001" customHeight="1" x14ac:dyDescent="0.25">
      <c r="A29" s="14">
        <v>28</v>
      </c>
      <c r="B29" s="547" t="str">
        <f>Teams!B29</f>
        <v>Norway</v>
      </c>
      <c r="C29" s="131">
        <v>80</v>
      </c>
      <c r="D29" s="548">
        <f t="shared" si="0"/>
        <v>1557</v>
      </c>
      <c r="E29" s="548">
        <f t="shared" si="1"/>
        <v>1637</v>
      </c>
    </row>
    <row r="30" spans="1:5" ht="17.100000000000001" customHeight="1" x14ac:dyDescent="0.25">
      <c r="A30" s="14">
        <v>29</v>
      </c>
      <c r="B30" s="547" t="str">
        <f>Teams!B30</f>
        <v>Cote d'Ivorie</v>
      </c>
      <c r="C30" s="131">
        <v>-80</v>
      </c>
      <c r="D30" s="548">
        <f t="shared" si="0"/>
        <v>1541</v>
      </c>
      <c r="E30" s="548">
        <f t="shared" si="1"/>
        <v>1461</v>
      </c>
    </row>
    <row r="31" spans="1:5" ht="17.100000000000001" customHeight="1" x14ac:dyDescent="0.25">
      <c r="A31" s="14">
        <v>30</v>
      </c>
      <c r="B31" s="547" t="str">
        <f>Teams!B31</f>
        <v>Panama</v>
      </c>
      <c r="C31" s="131">
        <v>30</v>
      </c>
      <c r="D31" s="548">
        <f t="shared" si="0"/>
        <v>1539</v>
      </c>
      <c r="E31" s="548">
        <f t="shared" si="1"/>
        <v>1569</v>
      </c>
    </row>
    <row r="32" spans="1:5" ht="17.100000000000001" customHeight="1" x14ac:dyDescent="0.25">
      <c r="A32" s="14">
        <v>31</v>
      </c>
      <c r="B32" s="547" t="str">
        <f>Teams!B32</f>
        <v>Sweden</v>
      </c>
      <c r="C32" s="131">
        <v>50</v>
      </c>
      <c r="D32" s="548">
        <f t="shared" si="0"/>
        <v>1510</v>
      </c>
      <c r="E32" s="548">
        <f t="shared" si="1"/>
        <v>1560</v>
      </c>
    </row>
    <row r="33" spans="1:5" ht="17.100000000000001" customHeight="1" x14ac:dyDescent="0.25">
      <c r="A33" s="14">
        <v>32</v>
      </c>
      <c r="B33" s="547" t="str">
        <f>Teams!B33</f>
        <v>Czechia</v>
      </c>
      <c r="C33" s="131"/>
      <c r="D33" s="548">
        <f t="shared" si="0"/>
        <v>1506</v>
      </c>
      <c r="E33" s="548">
        <f t="shared" si="1"/>
        <v>1506</v>
      </c>
    </row>
    <row r="34" spans="1:5" ht="17.100000000000001" customHeight="1" x14ac:dyDescent="0.25">
      <c r="A34" s="14">
        <v>33</v>
      </c>
      <c r="B34" s="547" t="str">
        <f>Teams!B34</f>
        <v>Paraguay</v>
      </c>
      <c r="C34" s="131">
        <v>40</v>
      </c>
      <c r="D34" s="548">
        <f t="shared" si="0"/>
        <v>1505</v>
      </c>
      <c r="E34" s="548">
        <f t="shared" si="1"/>
        <v>1545</v>
      </c>
    </row>
    <row r="35" spans="1:5" ht="17.100000000000001" customHeight="1" x14ac:dyDescent="0.25">
      <c r="A35" s="14">
        <v>34</v>
      </c>
      <c r="B35" s="547" t="str">
        <f>Teams!B35</f>
        <v>Scotland</v>
      </c>
      <c r="C35" s="131">
        <v>30</v>
      </c>
      <c r="D35" s="548">
        <f t="shared" si="0"/>
        <v>1503</v>
      </c>
      <c r="E35" s="548">
        <f t="shared" si="1"/>
        <v>1533</v>
      </c>
    </row>
    <row r="36" spans="1:5" ht="17.100000000000001" customHeight="1" x14ac:dyDescent="0.25">
      <c r="A36" s="14">
        <v>35</v>
      </c>
      <c r="B36" s="547" t="str">
        <f>Teams!B36</f>
        <v>Tunisia</v>
      </c>
      <c r="C36" s="131">
        <v>30</v>
      </c>
      <c r="D36" s="548">
        <f t="shared" si="0"/>
        <v>1476</v>
      </c>
      <c r="E36" s="548">
        <f t="shared" si="1"/>
        <v>1506</v>
      </c>
    </row>
    <row r="37" spans="1:5" ht="17.100000000000001" customHeight="1" x14ac:dyDescent="0.25">
      <c r="A37" s="14">
        <v>36</v>
      </c>
      <c r="B37" s="547" t="str">
        <f>Teams!B37</f>
        <v>Congo DR</v>
      </c>
      <c r="C37" s="131"/>
      <c r="D37" s="548">
        <f t="shared" si="0"/>
        <v>1474</v>
      </c>
      <c r="E37" s="548">
        <f t="shared" si="1"/>
        <v>1474</v>
      </c>
    </row>
    <row r="38" spans="1:5" ht="17.100000000000001" customHeight="1" x14ac:dyDescent="0.25">
      <c r="A38" s="14">
        <v>37</v>
      </c>
      <c r="B38" s="547" t="str">
        <f>Teams!B38</f>
        <v>Uzbekistan</v>
      </c>
      <c r="C38" s="131"/>
      <c r="D38" s="548">
        <f t="shared" si="0"/>
        <v>1459</v>
      </c>
      <c r="E38" s="548">
        <f t="shared" si="1"/>
        <v>1459</v>
      </c>
    </row>
    <row r="39" spans="1:5" ht="17.100000000000001" customHeight="1" x14ac:dyDescent="0.25">
      <c r="A39" s="14">
        <v>38</v>
      </c>
      <c r="B39" s="547" t="str">
        <f>Teams!B39</f>
        <v>Qatar</v>
      </c>
      <c r="C39" s="131"/>
      <c r="D39" s="548">
        <f t="shared" si="0"/>
        <v>1450</v>
      </c>
      <c r="E39" s="548">
        <f t="shared" si="1"/>
        <v>1450</v>
      </c>
    </row>
    <row r="40" spans="1:5" ht="17.100000000000001" customHeight="1" x14ac:dyDescent="0.25">
      <c r="A40" s="14">
        <v>39</v>
      </c>
      <c r="B40" s="547" t="str">
        <f>Teams!B40</f>
        <v>Iraq</v>
      </c>
      <c r="C40" s="131"/>
      <c r="D40" s="548">
        <f t="shared" si="0"/>
        <v>1446</v>
      </c>
      <c r="E40" s="548">
        <f t="shared" si="1"/>
        <v>1446</v>
      </c>
    </row>
    <row r="41" spans="1:5" ht="17.100000000000001" customHeight="1" x14ac:dyDescent="0.25">
      <c r="A41" s="14">
        <v>40</v>
      </c>
      <c r="B41" s="547" t="str">
        <f>Teams!B41</f>
        <v>South Africa</v>
      </c>
      <c r="C41" s="131"/>
      <c r="D41" s="548">
        <f t="shared" si="0"/>
        <v>1428</v>
      </c>
      <c r="E41" s="548">
        <f t="shared" si="1"/>
        <v>1428</v>
      </c>
    </row>
    <row r="42" spans="1:5" ht="17.100000000000001" customHeight="1" x14ac:dyDescent="0.25">
      <c r="A42" s="14">
        <v>41</v>
      </c>
      <c r="B42" s="547" t="str">
        <f>Teams!B42</f>
        <v>Saudi Arabia</v>
      </c>
      <c r="C42" s="131"/>
      <c r="D42" s="548">
        <f t="shared" si="0"/>
        <v>1424</v>
      </c>
      <c r="E42" s="548">
        <f t="shared" si="1"/>
        <v>1424</v>
      </c>
    </row>
    <row r="43" spans="1:5" ht="17.100000000000001" customHeight="1" x14ac:dyDescent="0.25">
      <c r="A43" s="14">
        <v>42</v>
      </c>
      <c r="B43" s="547" t="str">
        <f>Teams!B43</f>
        <v>Jordan</v>
      </c>
      <c r="C43" s="131"/>
      <c r="D43" s="548">
        <f t="shared" si="0"/>
        <v>1388</v>
      </c>
      <c r="E43" s="548">
        <f t="shared" si="1"/>
        <v>1388</v>
      </c>
    </row>
    <row r="44" spans="1:5" ht="17.100000000000001" customHeight="1" x14ac:dyDescent="0.25">
      <c r="A44" s="14">
        <v>43</v>
      </c>
      <c r="B44" s="547" t="str">
        <f>Teams!B44</f>
        <v>Bosnia-Herzegovina</v>
      </c>
      <c r="C44" s="131">
        <v>20</v>
      </c>
      <c r="D44" s="548">
        <f t="shared" si="0"/>
        <v>1387</v>
      </c>
      <c r="E44" s="548">
        <f t="shared" si="1"/>
        <v>1407</v>
      </c>
    </row>
    <row r="45" spans="1:5" ht="17.100000000000001" customHeight="1" x14ac:dyDescent="0.25">
      <c r="A45" s="14">
        <v>44</v>
      </c>
      <c r="B45" s="547" t="str">
        <f>Teams!B45</f>
        <v>Cabo Verde</v>
      </c>
      <c r="C45" s="131"/>
      <c r="D45" s="548">
        <f t="shared" si="0"/>
        <v>1371</v>
      </c>
      <c r="E45" s="548">
        <f t="shared" si="1"/>
        <v>1371</v>
      </c>
    </row>
    <row r="46" spans="1:5" ht="17.100000000000001" customHeight="1" x14ac:dyDescent="0.25">
      <c r="A46" s="14">
        <v>45</v>
      </c>
      <c r="B46" s="547" t="str">
        <f>Teams!B46</f>
        <v>Ghana</v>
      </c>
      <c r="C46" s="131">
        <v>100</v>
      </c>
      <c r="D46" s="548">
        <f t="shared" si="0"/>
        <v>1347</v>
      </c>
      <c r="E46" s="548">
        <f t="shared" si="1"/>
        <v>1447</v>
      </c>
    </row>
    <row r="47" spans="1:5" ht="17.100000000000001" customHeight="1" x14ac:dyDescent="0.25">
      <c r="A47" s="14">
        <v>46</v>
      </c>
      <c r="B47" s="547" t="str">
        <f>Teams!B47</f>
        <v>Curaçao</v>
      </c>
      <c r="C47" s="131"/>
      <c r="D47" s="548">
        <f t="shared" si="0"/>
        <v>1295</v>
      </c>
      <c r="E47" s="548">
        <f t="shared" si="1"/>
        <v>1295</v>
      </c>
    </row>
    <row r="48" spans="1:5" ht="17.100000000000001" customHeight="1" x14ac:dyDescent="0.25">
      <c r="A48" s="14">
        <v>47</v>
      </c>
      <c r="B48" s="547" t="str">
        <f>Teams!B48</f>
        <v>Haiti</v>
      </c>
      <c r="C48" s="131"/>
      <c r="D48" s="548">
        <f t="shared" si="0"/>
        <v>1293</v>
      </c>
      <c r="E48" s="548">
        <f t="shared" si="1"/>
        <v>1293</v>
      </c>
    </row>
    <row r="49" spans="1:5" ht="17.100000000000001" customHeight="1" x14ac:dyDescent="0.25">
      <c r="A49" s="14">
        <v>48</v>
      </c>
      <c r="B49" s="547" t="str">
        <f>Teams!B49</f>
        <v>New Zealand</v>
      </c>
      <c r="C49" s="131"/>
      <c r="D49" s="548">
        <f t="shared" si="0"/>
        <v>1276</v>
      </c>
      <c r="E49" s="548">
        <f t="shared" si="1"/>
        <v>1276</v>
      </c>
    </row>
  </sheetData>
  <sheetProtection sheet="1" objects="1" scenarios="1" selectLockedCells="1"/>
  <pageMargins left="0.70866141732283472" right="0.70866141732283472" top="0.74803149606299213" bottom="0.74803149606299213" header="0.31496062992125984" footer="0.31496062992125984"/>
  <pageSetup paperSize="9" scale="87" orientation="landscape" verticalDpi="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9103C-41F0-4198-A55E-9AECEC8BC224}">
  <sheetPr>
    <tabColor theme="4"/>
    <pageSetUpPr fitToPage="1"/>
  </sheetPr>
  <dimension ref="A1:O79"/>
  <sheetViews>
    <sheetView showGridLines="0" showRowColHeaders="0" workbookViewId="0">
      <pane xSplit="4" ySplit="2" topLeftCell="E3" activePane="bottomRight" state="frozen"/>
      <selection pane="topRight" activeCell="D1" sqref="D1"/>
      <selection pane="bottomLeft" activeCell="A3" sqref="A3"/>
      <selection pane="bottomRight" activeCell="F19" sqref="F19"/>
    </sheetView>
  </sheetViews>
  <sheetFormatPr defaultRowHeight="15" x14ac:dyDescent="0.25"/>
  <cols>
    <col min="1" max="1" width="13.42578125" hidden="1" customWidth="1"/>
    <col min="2" max="2" width="14.7109375" style="105" customWidth="1"/>
    <col min="3" max="4" width="9.7109375" style="105" customWidth="1"/>
    <col min="5" max="5" width="21.7109375" customWidth="1"/>
    <col min="6" max="9" width="12.7109375" customWidth="1"/>
    <col min="10" max="10" width="21.7109375" customWidth="1"/>
    <col min="11" max="15" width="12.7109375" customWidth="1"/>
  </cols>
  <sheetData>
    <row r="1" spans="1:15" x14ac:dyDescent="0.25">
      <c r="B1" s="739" t="str">
        <f>League</f>
        <v>2026 FIFA World Cup Americas</v>
      </c>
      <c r="C1" s="740"/>
      <c r="D1" s="741"/>
      <c r="E1" s="549"/>
      <c r="F1" s="550" t="s">
        <v>415</v>
      </c>
      <c r="G1" s="550" t="s">
        <v>416</v>
      </c>
      <c r="H1" s="550" t="s">
        <v>417</v>
      </c>
      <c r="I1" s="550" t="s">
        <v>391</v>
      </c>
      <c r="J1" s="549"/>
      <c r="K1" s="550" t="s">
        <v>415</v>
      </c>
      <c r="L1" s="550" t="s">
        <v>416</v>
      </c>
      <c r="M1" s="550" t="s">
        <v>417</v>
      </c>
      <c r="N1" s="550" t="s">
        <v>391</v>
      </c>
      <c r="O1" s="551"/>
    </row>
    <row r="2" spans="1:15" x14ac:dyDescent="0.25">
      <c r="A2" s="552" t="s">
        <v>618</v>
      </c>
      <c r="B2" s="552" t="s">
        <v>111</v>
      </c>
      <c r="C2" s="553" t="s">
        <v>319</v>
      </c>
      <c r="D2" s="554" t="s">
        <v>320</v>
      </c>
      <c r="E2" s="555"/>
      <c r="F2" s="556" t="s">
        <v>418</v>
      </c>
      <c r="G2" s="556" t="s">
        <v>418</v>
      </c>
      <c r="H2" s="556" t="s">
        <v>414</v>
      </c>
      <c r="I2" s="556" t="s">
        <v>309</v>
      </c>
      <c r="J2" s="555"/>
      <c r="K2" s="556" t="s">
        <v>418</v>
      </c>
      <c r="L2" s="556" t="s">
        <v>418</v>
      </c>
      <c r="M2" s="556" t="s">
        <v>414</v>
      </c>
      <c r="N2" s="556" t="s">
        <v>309</v>
      </c>
      <c r="O2" s="551"/>
    </row>
    <row r="3" spans="1:15" x14ac:dyDescent="0.25">
      <c r="A3" s="557" t="str">
        <f>Poster!A8</f>
        <v>A1A2</v>
      </c>
      <c r="B3" s="557">
        <f>Poster!B8</f>
        <v>46184.833333333336</v>
      </c>
      <c r="C3" s="558">
        <f>Poster!C8</f>
        <v>0.83333333333333337</v>
      </c>
      <c r="D3" s="577" t="str">
        <f>Poster!D8</f>
        <v>A</v>
      </c>
      <c r="E3" s="559" t="str">
        <f>Poster!E8</f>
        <v>Mexico</v>
      </c>
      <c r="F3" s="125">
        <v>1</v>
      </c>
      <c r="G3" s="125"/>
      <c r="H3" s="125">
        <v>1</v>
      </c>
      <c r="I3" s="560">
        <f>F3+G3*2+H3*4</f>
        <v>5</v>
      </c>
      <c r="J3" s="561" t="str">
        <f>Poster!I8</f>
        <v>South Africa</v>
      </c>
      <c r="K3" s="125">
        <v>2</v>
      </c>
      <c r="L3" s="125"/>
      <c r="M3" s="125">
        <v>2</v>
      </c>
      <c r="N3" s="560">
        <f t="shared" ref="N3:N49" si="0">K3+L3*2+M3*4</f>
        <v>10</v>
      </c>
      <c r="O3" s="562"/>
    </row>
    <row r="4" spans="1:15" x14ac:dyDescent="0.25">
      <c r="A4" s="557" t="str">
        <f>Poster!A9</f>
        <v>A3A4</v>
      </c>
      <c r="B4" s="557">
        <f>Poster!B9</f>
        <v>46185.125</v>
      </c>
      <c r="C4" s="558">
        <f>Poster!C9</f>
        <v>0.125</v>
      </c>
      <c r="D4" s="577" t="str">
        <f>Poster!D9</f>
        <v>A</v>
      </c>
      <c r="E4" s="559" t="str">
        <f>Poster!E9</f>
        <v>Korea Republic</v>
      </c>
      <c r="F4" s="126">
        <v>1</v>
      </c>
      <c r="G4" s="126"/>
      <c r="H4" s="126"/>
      <c r="I4" s="560">
        <f t="shared" ref="I4:I49" si="1">F4+G4*2+H4*4</f>
        <v>1</v>
      </c>
      <c r="J4" s="561" t="str">
        <f>Poster!I9</f>
        <v>Czechia</v>
      </c>
      <c r="K4" s="126"/>
      <c r="L4" s="126"/>
      <c r="M4" s="126"/>
      <c r="N4" s="560">
        <f t="shared" si="0"/>
        <v>0</v>
      </c>
      <c r="O4" s="563"/>
    </row>
    <row r="5" spans="1:15" x14ac:dyDescent="0.25">
      <c r="A5" s="557" t="str">
        <f>Poster!A10</f>
        <v>B1B2</v>
      </c>
      <c r="B5" s="557">
        <f>Poster!B10</f>
        <v>46185.833333333336</v>
      </c>
      <c r="C5" s="558">
        <f>Poster!C10</f>
        <v>0.83333333333333337</v>
      </c>
      <c r="D5" s="577" t="str">
        <f>Poster!D10</f>
        <v>B</v>
      </c>
      <c r="E5" s="559" t="str">
        <f>Poster!E10</f>
        <v>Canada</v>
      </c>
      <c r="F5" s="126">
        <v>2</v>
      </c>
      <c r="G5" s="126"/>
      <c r="H5" s="126"/>
      <c r="I5" s="560">
        <f t="shared" si="1"/>
        <v>2</v>
      </c>
      <c r="J5" s="561" t="str">
        <f>Poster!I10</f>
        <v>Bosnia-Herzegovina</v>
      </c>
      <c r="K5" s="126">
        <v>3</v>
      </c>
      <c r="L5" s="126"/>
      <c r="M5" s="126"/>
      <c r="N5" s="560">
        <f t="shared" si="0"/>
        <v>3</v>
      </c>
      <c r="O5" s="563"/>
    </row>
    <row r="6" spans="1:15" x14ac:dyDescent="0.25">
      <c r="A6" s="557" t="str">
        <f>Poster!A11</f>
        <v>D1D2</v>
      </c>
      <c r="B6" s="557">
        <f>Poster!B11</f>
        <v>46186.083333333336</v>
      </c>
      <c r="C6" s="558">
        <f>Poster!C11</f>
        <v>8.3333333333333329E-2</v>
      </c>
      <c r="D6" s="577" t="str">
        <f>Poster!D11</f>
        <v>D</v>
      </c>
      <c r="E6" s="559" t="str">
        <f>Poster!E11</f>
        <v>USA</v>
      </c>
      <c r="F6" s="126">
        <v>1</v>
      </c>
      <c r="G6" s="126"/>
      <c r="H6" s="126"/>
      <c r="I6" s="560">
        <f t="shared" si="1"/>
        <v>1</v>
      </c>
      <c r="J6" s="561" t="str">
        <f>Poster!I11</f>
        <v>Paraguay</v>
      </c>
      <c r="K6" s="126">
        <v>5</v>
      </c>
      <c r="L6" s="126"/>
      <c r="M6" s="126"/>
      <c r="N6" s="560">
        <f t="shared" si="0"/>
        <v>5</v>
      </c>
      <c r="O6" s="563"/>
    </row>
    <row r="7" spans="1:15" x14ac:dyDescent="0.25">
      <c r="A7" s="557" t="str">
        <f>Poster!A12</f>
        <v>B3B4</v>
      </c>
      <c r="B7" s="557">
        <f>Poster!B12</f>
        <v>46186.833333333336</v>
      </c>
      <c r="C7" s="558">
        <f>Poster!C12</f>
        <v>0.83333333333333337</v>
      </c>
      <c r="D7" s="577" t="str">
        <f>Poster!D12</f>
        <v>B</v>
      </c>
      <c r="E7" s="559" t="str">
        <f>Poster!E12</f>
        <v>Qatar</v>
      </c>
      <c r="F7" s="126">
        <v>2</v>
      </c>
      <c r="G7" s="126"/>
      <c r="H7" s="126"/>
      <c r="I7" s="560">
        <f t="shared" si="1"/>
        <v>2</v>
      </c>
      <c r="J7" s="561" t="str">
        <f>Poster!I12</f>
        <v>Switzerland</v>
      </c>
      <c r="K7" s="126">
        <v>1</v>
      </c>
      <c r="L7" s="126"/>
      <c r="M7" s="126"/>
      <c r="N7" s="560">
        <f t="shared" si="0"/>
        <v>1</v>
      </c>
      <c r="O7" s="563"/>
    </row>
    <row r="8" spans="1:15" x14ac:dyDescent="0.25">
      <c r="A8" s="557" t="str">
        <f>Poster!A13</f>
        <v>C1C2</v>
      </c>
      <c r="B8" s="557">
        <f>Poster!B13</f>
        <v>46186.958333333336</v>
      </c>
      <c r="C8" s="558">
        <f>Poster!C13</f>
        <v>0.95833333333333337</v>
      </c>
      <c r="D8" s="577" t="str">
        <f>Poster!D13</f>
        <v>C</v>
      </c>
      <c r="E8" s="559" t="str">
        <f>Poster!E13</f>
        <v>Brazil</v>
      </c>
      <c r="F8" s="126">
        <v>2</v>
      </c>
      <c r="G8" s="126"/>
      <c r="H8" s="126"/>
      <c r="I8" s="560">
        <f t="shared" si="1"/>
        <v>2</v>
      </c>
      <c r="J8" s="561" t="str">
        <f>Poster!I13</f>
        <v>Morocco</v>
      </c>
      <c r="K8" s="126">
        <v>0</v>
      </c>
      <c r="L8" s="126"/>
      <c r="M8" s="126"/>
      <c r="N8" s="560">
        <f t="shared" si="0"/>
        <v>0</v>
      </c>
      <c r="O8" s="563"/>
    </row>
    <row r="9" spans="1:15" x14ac:dyDescent="0.25">
      <c r="A9" s="557" t="str">
        <f>Poster!A14</f>
        <v>C3C4</v>
      </c>
      <c r="B9" s="557">
        <f>Poster!B14</f>
        <v>46187</v>
      </c>
      <c r="C9" s="558">
        <f>Poster!C14</f>
        <v>8.3333333333333329E-2</v>
      </c>
      <c r="D9" s="577" t="str">
        <f>Poster!D14</f>
        <v>C</v>
      </c>
      <c r="E9" s="559" t="str">
        <f>Poster!E14</f>
        <v>Haiti</v>
      </c>
      <c r="F9" s="126">
        <v>1</v>
      </c>
      <c r="G9" s="126"/>
      <c r="H9" s="126"/>
      <c r="I9" s="560">
        <f t="shared" si="1"/>
        <v>1</v>
      </c>
      <c r="J9" s="561" t="str">
        <f>Poster!I14</f>
        <v>Scotland</v>
      </c>
      <c r="K9" s="126">
        <v>3</v>
      </c>
      <c r="L9" s="126"/>
      <c r="M9" s="126"/>
      <c r="N9" s="560">
        <f t="shared" si="0"/>
        <v>3</v>
      </c>
      <c r="O9" s="563"/>
    </row>
    <row r="10" spans="1:15" x14ac:dyDescent="0.25">
      <c r="A10" s="557" t="str">
        <f>Poster!A15</f>
        <v>D3D4</v>
      </c>
      <c r="B10" s="557">
        <f>Poster!B15</f>
        <v>46187</v>
      </c>
      <c r="C10" s="558">
        <f>Poster!C15</f>
        <v>0.20833333333333334</v>
      </c>
      <c r="D10" s="577" t="str">
        <f>Poster!D15</f>
        <v>D</v>
      </c>
      <c r="E10" s="559" t="str">
        <f>Poster!E15</f>
        <v>Australia</v>
      </c>
      <c r="F10" s="126">
        <v>0</v>
      </c>
      <c r="G10" s="126"/>
      <c r="H10" s="126"/>
      <c r="I10" s="560">
        <f t="shared" si="1"/>
        <v>0</v>
      </c>
      <c r="J10" s="561" t="str">
        <f>Poster!I15</f>
        <v>Turkiye</v>
      </c>
      <c r="K10" s="126">
        <v>1</v>
      </c>
      <c r="L10" s="126"/>
      <c r="M10" s="126"/>
      <c r="N10" s="560">
        <f t="shared" si="0"/>
        <v>1</v>
      </c>
      <c r="O10" s="563"/>
    </row>
    <row r="11" spans="1:15" x14ac:dyDescent="0.25">
      <c r="A11" s="557" t="str">
        <f>Poster!A16</f>
        <v>E1E2</v>
      </c>
      <c r="B11" s="557">
        <f>Poster!B16</f>
        <v>46187</v>
      </c>
      <c r="C11" s="558">
        <f>Poster!C16</f>
        <v>0.75</v>
      </c>
      <c r="D11" s="577" t="str">
        <f>Poster!D16</f>
        <v>E</v>
      </c>
      <c r="E11" s="559" t="str">
        <f>Poster!E16</f>
        <v>Germany</v>
      </c>
      <c r="F11" s="126">
        <v>0</v>
      </c>
      <c r="G11" s="126"/>
      <c r="H11" s="126"/>
      <c r="I11" s="560">
        <f t="shared" si="1"/>
        <v>0</v>
      </c>
      <c r="J11" s="561" t="str">
        <f>Poster!I16</f>
        <v>Curaçao</v>
      </c>
      <c r="K11" s="126">
        <v>0</v>
      </c>
      <c r="L11" s="126"/>
      <c r="M11" s="126"/>
      <c r="N11" s="560">
        <f t="shared" si="0"/>
        <v>0</v>
      </c>
      <c r="O11" s="563"/>
    </row>
    <row r="12" spans="1:15" x14ac:dyDescent="0.25">
      <c r="A12" s="557" t="str">
        <f>Poster!A17</f>
        <v>F1F2</v>
      </c>
      <c r="B12" s="557">
        <f>Poster!B17</f>
        <v>46187</v>
      </c>
      <c r="C12" s="558">
        <f>Poster!C17</f>
        <v>0.875</v>
      </c>
      <c r="D12" s="577" t="str">
        <f>Poster!D17</f>
        <v>F</v>
      </c>
      <c r="E12" s="559" t="str">
        <f>Poster!E17</f>
        <v>Netherlands</v>
      </c>
      <c r="F12" s="126">
        <v>3</v>
      </c>
      <c r="G12" s="126"/>
      <c r="H12" s="126"/>
      <c r="I12" s="560">
        <f t="shared" si="1"/>
        <v>3</v>
      </c>
      <c r="J12" s="561" t="str">
        <f>Poster!I17</f>
        <v>Japan</v>
      </c>
      <c r="K12" s="126">
        <v>0</v>
      </c>
      <c r="L12" s="126"/>
      <c r="M12" s="126"/>
      <c r="N12" s="560">
        <f t="shared" si="0"/>
        <v>0</v>
      </c>
      <c r="O12" s="563"/>
    </row>
    <row r="13" spans="1:15" x14ac:dyDescent="0.25">
      <c r="A13" s="557" t="str">
        <f>Poster!A18</f>
        <v>E3E4</v>
      </c>
      <c r="B13" s="557">
        <f>Poster!B18</f>
        <v>46188</v>
      </c>
      <c r="C13" s="558">
        <f>Poster!C18</f>
        <v>0</v>
      </c>
      <c r="D13" s="577" t="str">
        <f>Poster!D18</f>
        <v>E</v>
      </c>
      <c r="E13" s="559" t="str">
        <f>Poster!E18</f>
        <v>Cote d'Ivorie</v>
      </c>
      <c r="F13" s="126">
        <v>3</v>
      </c>
      <c r="G13" s="126"/>
      <c r="H13" s="126"/>
      <c r="I13" s="560">
        <f t="shared" si="1"/>
        <v>3</v>
      </c>
      <c r="J13" s="561" t="str">
        <f>Poster!I18</f>
        <v>Ecuador</v>
      </c>
      <c r="K13" s="126">
        <v>1</v>
      </c>
      <c r="L13" s="126"/>
      <c r="M13" s="126"/>
      <c r="N13" s="560">
        <f t="shared" si="0"/>
        <v>1</v>
      </c>
      <c r="O13" s="563"/>
    </row>
    <row r="14" spans="1:15" x14ac:dyDescent="0.25">
      <c r="A14" s="557" t="str">
        <f>Poster!A19</f>
        <v>F3F4</v>
      </c>
      <c r="B14" s="557">
        <f>Poster!B19</f>
        <v>46188</v>
      </c>
      <c r="C14" s="558">
        <f>Poster!C19</f>
        <v>0.125</v>
      </c>
      <c r="D14" s="577" t="str">
        <f>Poster!D19</f>
        <v>F</v>
      </c>
      <c r="E14" s="559" t="str">
        <f>Poster!E19</f>
        <v>Sweden</v>
      </c>
      <c r="F14" s="126">
        <v>0</v>
      </c>
      <c r="G14" s="126"/>
      <c r="H14" s="126"/>
      <c r="I14" s="560">
        <f t="shared" si="1"/>
        <v>0</v>
      </c>
      <c r="J14" s="561" t="str">
        <f>Poster!I19</f>
        <v>Tunisia</v>
      </c>
      <c r="K14" s="126">
        <v>1</v>
      </c>
      <c r="L14" s="126"/>
      <c r="M14" s="126"/>
      <c r="N14" s="560">
        <f t="shared" si="0"/>
        <v>1</v>
      </c>
      <c r="O14" s="563"/>
    </row>
    <row r="15" spans="1:15" x14ac:dyDescent="0.25">
      <c r="A15" s="557" t="str">
        <f>Poster!A20</f>
        <v>H1H2</v>
      </c>
      <c r="B15" s="557">
        <f>Poster!B20</f>
        <v>46188</v>
      </c>
      <c r="C15" s="558">
        <f>Poster!C20</f>
        <v>0.70833333333333337</v>
      </c>
      <c r="D15" s="577" t="str">
        <f>Poster!D20</f>
        <v>H</v>
      </c>
      <c r="E15" s="559" t="str">
        <f>Poster!E20</f>
        <v>Spain</v>
      </c>
      <c r="F15" s="126">
        <v>1</v>
      </c>
      <c r="G15" s="126"/>
      <c r="H15" s="126"/>
      <c r="I15" s="560">
        <f t="shared" si="1"/>
        <v>1</v>
      </c>
      <c r="J15" s="561" t="str">
        <f>Poster!I20</f>
        <v>Cabo Verde</v>
      </c>
      <c r="K15" s="126">
        <v>1</v>
      </c>
      <c r="L15" s="126"/>
      <c r="M15" s="126"/>
      <c r="N15" s="560">
        <f t="shared" si="0"/>
        <v>1</v>
      </c>
      <c r="O15" s="563"/>
    </row>
    <row r="16" spans="1:15" x14ac:dyDescent="0.25">
      <c r="A16" s="557" t="str">
        <f>Poster!A21</f>
        <v>G1G2</v>
      </c>
      <c r="B16" s="557">
        <f>Poster!B21</f>
        <v>46188</v>
      </c>
      <c r="C16" s="558">
        <f>Poster!C21</f>
        <v>0.83333333333333337</v>
      </c>
      <c r="D16" s="577" t="str">
        <f>Poster!D21</f>
        <v>G</v>
      </c>
      <c r="E16" s="559" t="str">
        <f>Poster!E21</f>
        <v>Belgium</v>
      </c>
      <c r="F16" s="126">
        <v>2</v>
      </c>
      <c r="G16" s="126"/>
      <c r="H16" s="126"/>
      <c r="I16" s="560">
        <f t="shared" si="1"/>
        <v>2</v>
      </c>
      <c r="J16" s="561" t="str">
        <f>Poster!I21</f>
        <v>Egypt</v>
      </c>
      <c r="K16" s="126">
        <v>2</v>
      </c>
      <c r="L16" s="126"/>
      <c r="M16" s="126"/>
      <c r="N16" s="560">
        <f t="shared" si="0"/>
        <v>2</v>
      </c>
      <c r="O16" s="563"/>
    </row>
    <row r="17" spans="1:15" x14ac:dyDescent="0.25">
      <c r="A17" s="557" t="str">
        <f>Poster!A22</f>
        <v>H3H4</v>
      </c>
      <c r="B17" s="557">
        <f>Poster!B22</f>
        <v>46188</v>
      </c>
      <c r="C17" s="558">
        <f>Poster!C22</f>
        <v>0.95833333333333337</v>
      </c>
      <c r="D17" s="577" t="str">
        <f>Poster!D22</f>
        <v>H</v>
      </c>
      <c r="E17" s="559" t="str">
        <f>Poster!E22</f>
        <v>Saudi Arabia</v>
      </c>
      <c r="F17" s="126">
        <v>1</v>
      </c>
      <c r="G17" s="126"/>
      <c r="H17" s="126"/>
      <c r="I17" s="560">
        <f t="shared" si="1"/>
        <v>1</v>
      </c>
      <c r="J17" s="561" t="str">
        <f>Poster!I22</f>
        <v>Uruguay</v>
      </c>
      <c r="K17" s="126">
        <v>0</v>
      </c>
      <c r="L17" s="126"/>
      <c r="M17" s="126"/>
      <c r="N17" s="560">
        <f t="shared" si="0"/>
        <v>0</v>
      </c>
      <c r="O17" s="563"/>
    </row>
    <row r="18" spans="1:15" x14ac:dyDescent="0.25">
      <c r="A18" s="557" t="str">
        <f>Poster!A23</f>
        <v>G3G4</v>
      </c>
      <c r="B18" s="557">
        <f>Poster!B23</f>
        <v>46189</v>
      </c>
      <c r="C18" s="558">
        <f>Poster!C23</f>
        <v>8.3333333333333329E-2</v>
      </c>
      <c r="D18" s="577" t="str">
        <f>Poster!D23</f>
        <v>G</v>
      </c>
      <c r="E18" s="559" t="str">
        <f>Poster!E23</f>
        <v>IR Iran</v>
      </c>
      <c r="F18" s="126">
        <v>1</v>
      </c>
      <c r="G18" s="126"/>
      <c r="H18" s="126"/>
      <c r="I18" s="560">
        <f t="shared" si="1"/>
        <v>1</v>
      </c>
      <c r="J18" s="561" t="str">
        <f>Poster!I23</f>
        <v>New Zealand</v>
      </c>
      <c r="K18" s="126">
        <v>0</v>
      </c>
      <c r="L18" s="126"/>
      <c r="M18" s="126"/>
      <c r="N18" s="560">
        <f t="shared" si="0"/>
        <v>0</v>
      </c>
      <c r="O18" s="563"/>
    </row>
    <row r="19" spans="1:15" x14ac:dyDescent="0.25">
      <c r="A19" s="557" t="str">
        <f>Poster!A24</f>
        <v>I1I2</v>
      </c>
      <c r="B19" s="557">
        <f>Poster!B24</f>
        <v>46189</v>
      </c>
      <c r="C19" s="558">
        <f>Poster!C24</f>
        <v>0.83333333333333337</v>
      </c>
      <c r="D19" s="577" t="str">
        <f>Poster!D24</f>
        <v>I</v>
      </c>
      <c r="E19" s="559" t="str">
        <f>Poster!E24</f>
        <v>France</v>
      </c>
      <c r="F19" s="126"/>
      <c r="G19" s="126"/>
      <c r="H19" s="126"/>
      <c r="I19" s="560">
        <f t="shared" si="1"/>
        <v>0</v>
      </c>
      <c r="J19" s="561" t="str">
        <f>Poster!I24</f>
        <v>Senegal</v>
      </c>
      <c r="K19" s="126"/>
      <c r="L19" s="126"/>
      <c r="M19" s="126"/>
      <c r="N19" s="560">
        <f t="shared" si="0"/>
        <v>0</v>
      </c>
      <c r="O19" s="563"/>
    </row>
    <row r="20" spans="1:15" x14ac:dyDescent="0.25">
      <c r="A20" s="557" t="str">
        <f>Poster!A25</f>
        <v>I3I4</v>
      </c>
      <c r="B20" s="557">
        <f>Poster!B25</f>
        <v>46189</v>
      </c>
      <c r="C20" s="558">
        <f>Poster!C25</f>
        <v>0.95833333333333337</v>
      </c>
      <c r="D20" s="577" t="str">
        <f>Poster!D25</f>
        <v>I</v>
      </c>
      <c r="E20" s="559" t="str">
        <f>Poster!E25</f>
        <v>Iraq</v>
      </c>
      <c r="F20" s="126"/>
      <c r="G20" s="126"/>
      <c r="H20" s="126"/>
      <c r="I20" s="560">
        <f t="shared" si="1"/>
        <v>0</v>
      </c>
      <c r="J20" s="561" t="str">
        <f>Poster!I25</f>
        <v>Norway</v>
      </c>
      <c r="K20" s="126"/>
      <c r="L20" s="126"/>
      <c r="M20" s="126"/>
      <c r="N20" s="560">
        <f t="shared" si="0"/>
        <v>0</v>
      </c>
      <c r="O20" s="563"/>
    </row>
    <row r="21" spans="1:15" x14ac:dyDescent="0.25">
      <c r="A21" s="557" t="str">
        <f>Poster!A26</f>
        <v>J1J2</v>
      </c>
      <c r="B21" s="557">
        <f>Poster!B26</f>
        <v>46190</v>
      </c>
      <c r="C21" s="558">
        <f>Poster!C26</f>
        <v>8.3333333333333329E-2</v>
      </c>
      <c r="D21" s="577" t="str">
        <f>Poster!D26</f>
        <v>J</v>
      </c>
      <c r="E21" s="559" t="str">
        <f>Poster!E26</f>
        <v>Argentina</v>
      </c>
      <c r="F21" s="126"/>
      <c r="G21" s="126"/>
      <c r="H21" s="126"/>
      <c r="I21" s="560">
        <f t="shared" si="1"/>
        <v>0</v>
      </c>
      <c r="J21" s="561" t="str">
        <f>Poster!I26</f>
        <v>Algeria</v>
      </c>
      <c r="K21" s="126"/>
      <c r="L21" s="126"/>
      <c r="M21" s="126"/>
      <c r="N21" s="560">
        <f t="shared" si="0"/>
        <v>0</v>
      </c>
      <c r="O21" s="563"/>
    </row>
    <row r="22" spans="1:15" x14ac:dyDescent="0.25">
      <c r="A22" s="557" t="str">
        <f>Poster!A27</f>
        <v>J3J4</v>
      </c>
      <c r="B22" s="557">
        <f>Poster!B27</f>
        <v>46190</v>
      </c>
      <c r="C22" s="558">
        <f>Poster!C27</f>
        <v>0.20833333333333334</v>
      </c>
      <c r="D22" s="577" t="str">
        <f>Poster!D27</f>
        <v>J</v>
      </c>
      <c r="E22" s="559" t="str">
        <f>Poster!E27</f>
        <v>Austria</v>
      </c>
      <c r="F22" s="126"/>
      <c r="G22" s="126"/>
      <c r="H22" s="126"/>
      <c r="I22" s="560">
        <f t="shared" si="1"/>
        <v>0</v>
      </c>
      <c r="J22" s="561" t="str">
        <f>Poster!I27</f>
        <v>Jordan</v>
      </c>
      <c r="K22" s="126"/>
      <c r="L22" s="126"/>
      <c r="M22" s="126"/>
      <c r="N22" s="560">
        <f t="shared" si="0"/>
        <v>0</v>
      </c>
      <c r="O22" s="563"/>
    </row>
    <row r="23" spans="1:15" x14ac:dyDescent="0.25">
      <c r="A23" s="557" t="str">
        <f>Poster!A28</f>
        <v>K1K2</v>
      </c>
      <c r="B23" s="557">
        <f>Poster!B28</f>
        <v>46190</v>
      </c>
      <c r="C23" s="558">
        <f>Poster!C28</f>
        <v>0.75</v>
      </c>
      <c r="D23" s="577" t="str">
        <f>Poster!D28</f>
        <v>K</v>
      </c>
      <c r="E23" s="559" t="str">
        <f>Poster!E28</f>
        <v>Portugal</v>
      </c>
      <c r="F23" s="126"/>
      <c r="G23" s="126"/>
      <c r="H23" s="126"/>
      <c r="I23" s="560">
        <f t="shared" si="1"/>
        <v>0</v>
      </c>
      <c r="J23" s="561" t="str">
        <f>Poster!I28</f>
        <v>Congo DR</v>
      </c>
      <c r="K23" s="126"/>
      <c r="L23" s="126"/>
      <c r="M23" s="126"/>
      <c r="N23" s="560">
        <f t="shared" si="0"/>
        <v>0</v>
      </c>
      <c r="O23" s="563"/>
    </row>
    <row r="24" spans="1:15" x14ac:dyDescent="0.25">
      <c r="A24" s="557" t="str">
        <f>Poster!A29</f>
        <v>L1L2</v>
      </c>
      <c r="B24" s="557">
        <f>Poster!B29</f>
        <v>46190</v>
      </c>
      <c r="C24" s="558">
        <f>Poster!C29</f>
        <v>0.875</v>
      </c>
      <c r="D24" s="577" t="str">
        <f>Poster!D29</f>
        <v>L</v>
      </c>
      <c r="E24" s="559" t="str">
        <f>Poster!E29</f>
        <v>England</v>
      </c>
      <c r="F24" s="126"/>
      <c r="G24" s="126"/>
      <c r="H24" s="126"/>
      <c r="I24" s="560">
        <f t="shared" si="1"/>
        <v>0</v>
      </c>
      <c r="J24" s="561" t="str">
        <f>Poster!I29</f>
        <v>Croatia</v>
      </c>
      <c r="K24" s="126"/>
      <c r="L24" s="126"/>
      <c r="M24" s="126"/>
      <c r="N24" s="560">
        <f t="shared" si="0"/>
        <v>0</v>
      </c>
      <c r="O24" s="563"/>
    </row>
    <row r="25" spans="1:15" x14ac:dyDescent="0.25">
      <c r="A25" s="557" t="str">
        <f>Poster!A30</f>
        <v>L3L4</v>
      </c>
      <c r="B25" s="557">
        <f>Poster!B30</f>
        <v>46191</v>
      </c>
      <c r="C25" s="558">
        <f>Poster!C30</f>
        <v>0</v>
      </c>
      <c r="D25" s="577" t="str">
        <f>Poster!D30</f>
        <v>L</v>
      </c>
      <c r="E25" s="559" t="str">
        <f>Poster!E30</f>
        <v>Ghana</v>
      </c>
      <c r="F25" s="126"/>
      <c r="G25" s="126"/>
      <c r="H25" s="126"/>
      <c r="I25" s="560">
        <f t="shared" si="1"/>
        <v>0</v>
      </c>
      <c r="J25" s="561" t="str">
        <f>Poster!I30</f>
        <v>Panama</v>
      </c>
      <c r="K25" s="126"/>
      <c r="L25" s="126"/>
      <c r="M25" s="126"/>
      <c r="N25" s="560">
        <f t="shared" si="0"/>
        <v>0</v>
      </c>
      <c r="O25" s="563"/>
    </row>
    <row r="26" spans="1:15" x14ac:dyDescent="0.25">
      <c r="A26" s="557" t="str">
        <f>Poster!A31</f>
        <v>K3K4</v>
      </c>
      <c r="B26" s="557">
        <f>Poster!B31</f>
        <v>46191</v>
      </c>
      <c r="C26" s="558">
        <f>Poster!C31</f>
        <v>0.125</v>
      </c>
      <c r="D26" s="577" t="str">
        <f>Poster!D31</f>
        <v>K</v>
      </c>
      <c r="E26" s="559" t="str">
        <f>Poster!E31</f>
        <v>Uzbekistan</v>
      </c>
      <c r="F26" s="126"/>
      <c r="G26" s="126"/>
      <c r="H26" s="126"/>
      <c r="I26" s="560">
        <f t="shared" si="1"/>
        <v>0</v>
      </c>
      <c r="J26" s="561" t="str">
        <f>Poster!I31</f>
        <v>Colombia</v>
      </c>
      <c r="K26" s="126"/>
      <c r="L26" s="126"/>
      <c r="M26" s="126"/>
      <c r="N26" s="560">
        <f t="shared" si="0"/>
        <v>0</v>
      </c>
      <c r="O26" s="563"/>
    </row>
    <row r="27" spans="1:15" x14ac:dyDescent="0.25">
      <c r="A27" s="557" t="str">
        <f>Poster!A32</f>
        <v>A4A2</v>
      </c>
      <c r="B27" s="557">
        <f>Poster!B32</f>
        <v>46191</v>
      </c>
      <c r="C27" s="558">
        <f>Poster!C32</f>
        <v>0.70833333333333337</v>
      </c>
      <c r="D27" s="577" t="str">
        <f>Poster!D32</f>
        <v>A</v>
      </c>
      <c r="E27" s="559" t="str">
        <f>Poster!E32</f>
        <v>Czechia</v>
      </c>
      <c r="F27" s="126"/>
      <c r="G27" s="126"/>
      <c r="H27" s="126"/>
      <c r="I27" s="560">
        <f t="shared" si="1"/>
        <v>0</v>
      </c>
      <c r="J27" s="561" t="str">
        <f>Poster!I32</f>
        <v>South Africa</v>
      </c>
      <c r="K27" s="126"/>
      <c r="L27" s="126"/>
      <c r="M27" s="126"/>
      <c r="N27" s="560">
        <f t="shared" si="0"/>
        <v>0</v>
      </c>
      <c r="O27" s="563"/>
    </row>
    <row r="28" spans="1:15" x14ac:dyDescent="0.25">
      <c r="A28" s="557" t="str">
        <f>Poster!A33</f>
        <v>B4B2</v>
      </c>
      <c r="B28" s="557">
        <f>Poster!B33</f>
        <v>46191</v>
      </c>
      <c r="C28" s="558">
        <f>Poster!C33</f>
        <v>0.83333333333333337</v>
      </c>
      <c r="D28" s="577" t="str">
        <f>Poster!D33</f>
        <v>B</v>
      </c>
      <c r="E28" s="559" t="str">
        <f>Poster!E33</f>
        <v>Switzerland</v>
      </c>
      <c r="F28" s="126"/>
      <c r="G28" s="126"/>
      <c r="H28" s="126"/>
      <c r="I28" s="560">
        <f t="shared" si="1"/>
        <v>0</v>
      </c>
      <c r="J28" s="561" t="str">
        <f>Poster!I33</f>
        <v>Bosnia-Herzegovina</v>
      </c>
      <c r="K28" s="126"/>
      <c r="L28" s="126"/>
      <c r="M28" s="126"/>
      <c r="N28" s="560">
        <f t="shared" si="0"/>
        <v>0</v>
      </c>
      <c r="O28" s="563"/>
    </row>
    <row r="29" spans="1:15" x14ac:dyDescent="0.25">
      <c r="A29" s="557" t="str">
        <f>Poster!A34</f>
        <v>B1B3</v>
      </c>
      <c r="B29" s="557">
        <f>Poster!B34</f>
        <v>46191</v>
      </c>
      <c r="C29" s="558">
        <f>Poster!C34</f>
        <v>0.95833333333333337</v>
      </c>
      <c r="D29" s="577" t="str">
        <f>Poster!D34</f>
        <v>B</v>
      </c>
      <c r="E29" s="559" t="str">
        <f>Poster!E34</f>
        <v>Canada</v>
      </c>
      <c r="F29" s="126"/>
      <c r="G29" s="126"/>
      <c r="H29" s="126"/>
      <c r="I29" s="560">
        <f t="shared" si="1"/>
        <v>0</v>
      </c>
      <c r="J29" s="561" t="str">
        <f>Poster!I34</f>
        <v>Qatar</v>
      </c>
      <c r="K29" s="126"/>
      <c r="L29" s="126"/>
      <c r="M29" s="126"/>
      <c r="N29" s="560">
        <f t="shared" si="0"/>
        <v>0</v>
      </c>
      <c r="O29" s="563"/>
    </row>
    <row r="30" spans="1:15" x14ac:dyDescent="0.25">
      <c r="A30" s="557" t="str">
        <f>Poster!A35</f>
        <v>A1A3</v>
      </c>
      <c r="B30" s="557">
        <f>Poster!B35</f>
        <v>46192</v>
      </c>
      <c r="C30" s="558">
        <f>Poster!C35</f>
        <v>8.3333333333333329E-2</v>
      </c>
      <c r="D30" s="577" t="str">
        <f>Poster!D35</f>
        <v>A</v>
      </c>
      <c r="E30" s="559" t="str">
        <f>Poster!E35</f>
        <v>Mexico</v>
      </c>
      <c r="F30" s="126"/>
      <c r="G30" s="126"/>
      <c r="H30" s="126"/>
      <c r="I30" s="560">
        <f t="shared" si="1"/>
        <v>0</v>
      </c>
      <c r="J30" s="561" t="str">
        <f>Poster!I35</f>
        <v>Korea Republic</v>
      </c>
      <c r="K30" s="126"/>
      <c r="L30" s="126"/>
      <c r="M30" s="126"/>
      <c r="N30" s="560">
        <f t="shared" si="0"/>
        <v>0</v>
      </c>
      <c r="O30" s="563"/>
    </row>
    <row r="31" spans="1:15" x14ac:dyDescent="0.25">
      <c r="A31" s="557" t="str">
        <f>Poster!A36</f>
        <v>D1D3</v>
      </c>
      <c r="B31" s="557">
        <f>Poster!B36</f>
        <v>46192</v>
      </c>
      <c r="C31" s="558">
        <f>Poster!C36</f>
        <v>0.83333333333333337</v>
      </c>
      <c r="D31" s="577" t="str">
        <f>Poster!D36</f>
        <v>D</v>
      </c>
      <c r="E31" s="559" t="str">
        <f>Poster!E36</f>
        <v>USA</v>
      </c>
      <c r="F31" s="126"/>
      <c r="G31" s="126"/>
      <c r="H31" s="126"/>
      <c r="I31" s="560">
        <f t="shared" si="1"/>
        <v>0</v>
      </c>
      <c r="J31" s="561" t="str">
        <f>Poster!I36</f>
        <v>Australia</v>
      </c>
      <c r="K31" s="126"/>
      <c r="L31" s="126"/>
      <c r="M31" s="126"/>
      <c r="N31" s="560">
        <f t="shared" si="0"/>
        <v>0</v>
      </c>
      <c r="O31" s="563"/>
    </row>
    <row r="32" spans="1:15" x14ac:dyDescent="0.25">
      <c r="A32" s="557" t="str">
        <f>Poster!A37</f>
        <v>C4C2</v>
      </c>
      <c r="B32" s="557">
        <f>Poster!B37</f>
        <v>46192</v>
      </c>
      <c r="C32" s="558">
        <f>Poster!C37</f>
        <v>0.95833333333333337</v>
      </c>
      <c r="D32" s="577" t="str">
        <f>Poster!D37</f>
        <v>C</v>
      </c>
      <c r="E32" s="559" t="str">
        <f>Poster!E37</f>
        <v>Scotland</v>
      </c>
      <c r="F32" s="126"/>
      <c r="G32" s="126"/>
      <c r="H32" s="126"/>
      <c r="I32" s="560">
        <f t="shared" si="1"/>
        <v>0</v>
      </c>
      <c r="J32" s="561" t="str">
        <f>Poster!I37</f>
        <v>Morocco</v>
      </c>
      <c r="K32" s="126"/>
      <c r="L32" s="126"/>
      <c r="M32" s="126"/>
      <c r="N32" s="560">
        <f t="shared" si="0"/>
        <v>0</v>
      </c>
      <c r="O32" s="563"/>
    </row>
    <row r="33" spans="1:15" x14ac:dyDescent="0.25">
      <c r="A33" s="557" t="str">
        <f>Poster!A38</f>
        <v>C1C3</v>
      </c>
      <c r="B33" s="557">
        <f>Poster!B38</f>
        <v>46193</v>
      </c>
      <c r="C33" s="558">
        <f>Poster!C38</f>
        <v>6.25E-2</v>
      </c>
      <c r="D33" s="577" t="str">
        <f>Poster!D38</f>
        <v>C</v>
      </c>
      <c r="E33" s="559" t="str">
        <f>Poster!E38</f>
        <v>Brazil</v>
      </c>
      <c r="F33" s="126"/>
      <c r="G33" s="126"/>
      <c r="H33" s="126"/>
      <c r="I33" s="560">
        <f t="shared" si="1"/>
        <v>0</v>
      </c>
      <c r="J33" s="561" t="str">
        <f>Poster!I38</f>
        <v>Haiti</v>
      </c>
      <c r="K33" s="126"/>
      <c r="L33" s="126"/>
      <c r="M33" s="126"/>
      <c r="N33" s="560">
        <f t="shared" si="0"/>
        <v>0</v>
      </c>
      <c r="O33" s="563"/>
    </row>
    <row r="34" spans="1:15" x14ac:dyDescent="0.25">
      <c r="A34" s="557" t="str">
        <f>Poster!A39</f>
        <v>D4D2</v>
      </c>
      <c r="B34" s="557">
        <f>Poster!B39</f>
        <v>46193</v>
      </c>
      <c r="C34" s="558">
        <f>Poster!C39</f>
        <v>0.16666666666666666</v>
      </c>
      <c r="D34" s="577" t="str">
        <f>Poster!D39</f>
        <v>D</v>
      </c>
      <c r="E34" s="559" t="str">
        <f>Poster!E39</f>
        <v>Turkiye</v>
      </c>
      <c r="F34" s="126"/>
      <c r="G34" s="126"/>
      <c r="H34" s="126"/>
      <c r="I34" s="560">
        <f t="shared" si="1"/>
        <v>0</v>
      </c>
      <c r="J34" s="561" t="str">
        <f>Poster!I39</f>
        <v>Paraguay</v>
      </c>
      <c r="K34" s="126"/>
      <c r="L34" s="126"/>
      <c r="M34" s="126"/>
      <c r="N34" s="560">
        <f t="shared" si="0"/>
        <v>0</v>
      </c>
      <c r="O34" s="563"/>
    </row>
    <row r="35" spans="1:15" x14ac:dyDescent="0.25">
      <c r="A35" s="557" t="str">
        <f>Poster!A40</f>
        <v>F1F3</v>
      </c>
      <c r="B35" s="557">
        <f>Poster!B40</f>
        <v>46193</v>
      </c>
      <c r="C35" s="558">
        <f>Poster!C40</f>
        <v>0.75</v>
      </c>
      <c r="D35" s="577" t="str">
        <f>Poster!D40</f>
        <v>F</v>
      </c>
      <c r="E35" s="559" t="str">
        <f>Poster!E40</f>
        <v>Netherlands</v>
      </c>
      <c r="F35" s="126"/>
      <c r="G35" s="126"/>
      <c r="H35" s="126"/>
      <c r="I35" s="560">
        <f t="shared" si="1"/>
        <v>0</v>
      </c>
      <c r="J35" s="561" t="str">
        <f>Poster!I40</f>
        <v>Sweden</v>
      </c>
      <c r="K35" s="126"/>
      <c r="L35" s="126"/>
      <c r="M35" s="126"/>
      <c r="N35" s="560">
        <f t="shared" si="0"/>
        <v>0</v>
      </c>
      <c r="O35" s="563"/>
    </row>
    <row r="36" spans="1:15" x14ac:dyDescent="0.25">
      <c r="A36" s="557" t="str">
        <f>Poster!A41</f>
        <v>E1E3</v>
      </c>
      <c r="B36" s="557">
        <f>Poster!B41</f>
        <v>46193</v>
      </c>
      <c r="C36" s="558">
        <f>Poster!C41</f>
        <v>0.875</v>
      </c>
      <c r="D36" s="577" t="str">
        <f>Poster!D41</f>
        <v>E</v>
      </c>
      <c r="E36" s="559" t="str">
        <f>Poster!E41</f>
        <v>Germany</v>
      </c>
      <c r="F36" s="126"/>
      <c r="G36" s="126"/>
      <c r="H36" s="126"/>
      <c r="I36" s="560">
        <f t="shared" si="1"/>
        <v>0</v>
      </c>
      <c r="J36" s="561" t="str">
        <f>Poster!I41</f>
        <v>Cote d'Ivorie</v>
      </c>
      <c r="K36" s="126"/>
      <c r="L36" s="126"/>
      <c r="M36" s="126"/>
      <c r="N36" s="560">
        <f t="shared" si="0"/>
        <v>0</v>
      </c>
      <c r="O36" s="563"/>
    </row>
    <row r="37" spans="1:15" x14ac:dyDescent="0.25">
      <c r="A37" s="557" t="str">
        <f>Poster!A42</f>
        <v>E4E2</v>
      </c>
      <c r="B37" s="557">
        <f>Poster!B42</f>
        <v>46194</v>
      </c>
      <c r="C37" s="558">
        <f>Poster!C42</f>
        <v>4.1666666666666664E-2</v>
      </c>
      <c r="D37" s="577" t="str">
        <f>Poster!D42</f>
        <v>E</v>
      </c>
      <c r="E37" s="559" t="str">
        <f>Poster!E42</f>
        <v>Ecuador</v>
      </c>
      <c r="F37" s="126"/>
      <c r="G37" s="126"/>
      <c r="H37" s="126"/>
      <c r="I37" s="560">
        <f t="shared" si="1"/>
        <v>0</v>
      </c>
      <c r="J37" s="561" t="str">
        <f>Poster!I42</f>
        <v>Curaçao</v>
      </c>
      <c r="K37" s="126"/>
      <c r="L37" s="126"/>
      <c r="M37" s="126"/>
      <c r="N37" s="560">
        <f t="shared" si="0"/>
        <v>0</v>
      </c>
      <c r="O37" s="563"/>
    </row>
    <row r="38" spans="1:15" x14ac:dyDescent="0.25">
      <c r="A38" s="557" t="str">
        <f>Poster!A43</f>
        <v>F4F2</v>
      </c>
      <c r="B38" s="557">
        <f>Poster!B43</f>
        <v>46194</v>
      </c>
      <c r="C38" s="558">
        <f>Poster!C43</f>
        <v>0.20833333333333334</v>
      </c>
      <c r="D38" s="577" t="str">
        <f>Poster!D43</f>
        <v>F</v>
      </c>
      <c r="E38" s="559" t="str">
        <f>Poster!E43</f>
        <v>Tunisia</v>
      </c>
      <c r="F38" s="126"/>
      <c r="G38" s="126"/>
      <c r="H38" s="126"/>
      <c r="I38" s="560">
        <f t="shared" si="1"/>
        <v>0</v>
      </c>
      <c r="J38" s="561" t="str">
        <f>Poster!I43</f>
        <v>Japan</v>
      </c>
      <c r="K38" s="126"/>
      <c r="L38" s="126"/>
      <c r="M38" s="126"/>
      <c r="N38" s="560">
        <f t="shared" si="0"/>
        <v>0</v>
      </c>
      <c r="O38" s="563"/>
    </row>
    <row r="39" spans="1:15" x14ac:dyDescent="0.25">
      <c r="A39" s="557" t="str">
        <f>Poster!A44</f>
        <v>H1H3</v>
      </c>
      <c r="B39" s="557">
        <f>Poster!B44</f>
        <v>46194</v>
      </c>
      <c r="C39" s="558">
        <f>Poster!C44</f>
        <v>0.70833333333333337</v>
      </c>
      <c r="D39" s="577" t="str">
        <f>Poster!D44</f>
        <v>H</v>
      </c>
      <c r="E39" s="559" t="str">
        <f>Poster!E44</f>
        <v>Spain</v>
      </c>
      <c r="F39" s="126"/>
      <c r="G39" s="126"/>
      <c r="H39" s="126"/>
      <c r="I39" s="560">
        <f t="shared" si="1"/>
        <v>0</v>
      </c>
      <c r="J39" s="561" t="str">
        <f>Poster!I44</f>
        <v>Saudi Arabia</v>
      </c>
      <c r="K39" s="126"/>
      <c r="L39" s="126"/>
      <c r="M39" s="126"/>
      <c r="N39" s="560">
        <f t="shared" si="0"/>
        <v>0</v>
      </c>
      <c r="O39" s="563"/>
    </row>
    <row r="40" spans="1:15" x14ac:dyDescent="0.25">
      <c r="A40" s="557" t="str">
        <f>Poster!A45</f>
        <v>G1G3</v>
      </c>
      <c r="B40" s="557">
        <f>Poster!B45</f>
        <v>46194</v>
      </c>
      <c r="C40" s="558">
        <f>Poster!C45</f>
        <v>0.83333333333333337</v>
      </c>
      <c r="D40" s="577" t="str">
        <f>Poster!D45</f>
        <v>G</v>
      </c>
      <c r="E40" s="559" t="str">
        <f>Poster!E45</f>
        <v>Belgium</v>
      </c>
      <c r="F40" s="126"/>
      <c r="G40" s="126"/>
      <c r="H40" s="126"/>
      <c r="I40" s="560">
        <f t="shared" si="1"/>
        <v>0</v>
      </c>
      <c r="J40" s="561" t="str">
        <f>Poster!I45</f>
        <v>IR Iran</v>
      </c>
      <c r="K40" s="126"/>
      <c r="L40" s="126"/>
      <c r="M40" s="126"/>
      <c r="N40" s="560">
        <f t="shared" si="0"/>
        <v>0</v>
      </c>
      <c r="O40" s="563"/>
    </row>
    <row r="41" spans="1:15" x14ac:dyDescent="0.25">
      <c r="A41" s="557" t="str">
        <f>Poster!A46</f>
        <v>H4H2</v>
      </c>
      <c r="B41" s="557">
        <f>Poster!B46</f>
        <v>46194</v>
      </c>
      <c r="C41" s="558">
        <f>Poster!C46</f>
        <v>0.95833333333333337</v>
      </c>
      <c r="D41" s="577" t="str">
        <f>Poster!D46</f>
        <v>H</v>
      </c>
      <c r="E41" s="559" t="str">
        <f>Poster!E46</f>
        <v>Uruguay</v>
      </c>
      <c r="F41" s="126"/>
      <c r="G41" s="126"/>
      <c r="H41" s="126"/>
      <c r="I41" s="560">
        <f t="shared" si="1"/>
        <v>0</v>
      </c>
      <c r="J41" s="561" t="str">
        <f>Poster!I46</f>
        <v>Cabo Verde</v>
      </c>
      <c r="K41" s="126"/>
      <c r="L41" s="126"/>
      <c r="M41" s="126"/>
      <c r="N41" s="560">
        <f t="shared" si="0"/>
        <v>0</v>
      </c>
      <c r="O41" s="563"/>
    </row>
    <row r="42" spans="1:15" x14ac:dyDescent="0.25">
      <c r="A42" s="557" t="str">
        <f>Poster!A47</f>
        <v>G4G2</v>
      </c>
      <c r="B42" s="557">
        <f>Poster!B47</f>
        <v>46195</v>
      </c>
      <c r="C42" s="558">
        <f>Poster!C47</f>
        <v>8.3333333333333329E-2</v>
      </c>
      <c r="D42" s="577" t="str">
        <f>Poster!D47</f>
        <v>G</v>
      </c>
      <c r="E42" s="559" t="str">
        <f>Poster!E47</f>
        <v>New Zealand</v>
      </c>
      <c r="F42" s="126"/>
      <c r="G42" s="126"/>
      <c r="H42" s="126"/>
      <c r="I42" s="560">
        <f t="shared" si="1"/>
        <v>0</v>
      </c>
      <c r="J42" s="561" t="str">
        <f>Poster!I47</f>
        <v>Egypt</v>
      </c>
      <c r="K42" s="126"/>
      <c r="L42" s="126"/>
      <c r="M42" s="126"/>
      <c r="N42" s="560">
        <f t="shared" si="0"/>
        <v>0</v>
      </c>
      <c r="O42" s="563"/>
    </row>
    <row r="43" spans="1:15" x14ac:dyDescent="0.25">
      <c r="A43" s="557" t="str">
        <f>Poster!A48</f>
        <v>J1J3</v>
      </c>
      <c r="B43" s="557">
        <f>Poster!B48</f>
        <v>46195</v>
      </c>
      <c r="C43" s="558">
        <f>Poster!C48</f>
        <v>0.75</v>
      </c>
      <c r="D43" s="577" t="str">
        <f>Poster!D48</f>
        <v>J</v>
      </c>
      <c r="E43" s="559" t="str">
        <f>Poster!E48</f>
        <v>Argentina</v>
      </c>
      <c r="F43" s="126"/>
      <c r="G43" s="126"/>
      <c r="H43" s="126"/>
      <c r="I43" s="560">
        <f t="shared" si="1"/>
        <v>0</v>
      </c>
      <c r="J43" s="561" t="str">
        <f>Poster!I48</f>
        <v>Austria</v>
      </c>
      <c r="K43" s="126"/>
      <c r="L43" s="126"/>
      <c r="M43" s="126"/>
      <c r="N43" s="560">
        <f t="shared" si="0"/>
        <v>0</v>
      </c>
      <c r="O43" s="563"/>
    </row>
    <row r="44" spans="1:15" x14ac:dyDescent="0.25">
      <c r="A44" s="557" t="str">
        <f>Poster!A49</f>
        <v>I1I3</v>
      </c>
      <c r="B44" s="557">
        <f>Poster!B49</f>
        <v>46195</v>
      </c>
      <c r="C44" s="558">
        <f>Poster!C49</f>
        <v>0.91666666666666663</v>
      </c>
      <c r="D44" s="577" t="str">
        <f>Poster!D49</f>
        <v>I</v>
      </c>
      <c r="E44" s="559" t="str">
        <f>Poster!E49</f>
        <v>France</v>
      </c>
      <c r="F44" s="126"/>
      <c r="G44" s="126"/>
      <c r="H44" s="126"/>
      <c r="I44" s="560">
        <f t="shared" si="1"/>
        <v>0</v>
      </c>
      <c r="J44" s="561" t="str">
        <f>Poster!I49</f>
        <v>Iraq</v>
      </c>
      <c r="K44" s="126"/>
      <c r="L44" s="126"/>
      <c r="M44" s="126"/>
      <c r="N44" s="560">
        <f t="shared" si="0"/>
        <v>0</v>
      </c>
      <c r="O44" s="563"/>
    </row>
    <row r="45" spans="1:15" x14ac:dyDescent="0.25">
      <c r="A45" s="557" t="str">
        <f>Poster!A50</f>
        <v>I4I2</v>
      </c>
      <c r="B45" s="557">
        <f>Poster!B50</f>
        <v>46196</v>
      </c>
      <c r="C45" s="558">
        <f>Poster!C50</f>
        <v>4.1666666666666664E-2</v>
      </c>
      <c r="D45" s="577" t="str">
        <f>Poster!D50</f>
        <v>I</v>
      </c>
      <c r="E45" s="559" t="str">
        <f>Poster!E50</f>
        <v>Norway</v>
      </c>
      <c r="F45" s="126"/>
      <c r="G45" s="126"/>
      <c r="H45" s="126"/>
      <c r="I45" s="560">
        <f t="shared" si="1"/>
        <v>0</v>
      </c>
      <c r="J45" s="561" t="str">
        <f>Poster!I50</f>
        <v>Senegal</v>
      </c>
      <c r="K45" s="126"/>
      <c r="L45" s="126"/>
      <c r="M45" s="126"/>
      <c r="N45" s="560">
        <f t="shared" si="0"/>
        <v>0</v>
      </c>
      <c r="O45" s="563"/>
    </row>
    <row r="46" spans="1:15" x14ac:dyDescent="0.25">
      <c r="A46" s="557" t="str">
        <f>Poster!A51</f>
        <v>J4J2</v>
      </c>
      <c r="B46" s="557">
        <f>Poster!B51</f>
        <v>46196</v>
      </c>
      <c r="C46" s="558">
        <f>Poster!C51</f>
        <v>0.16666666666666666</v>
      </c>
      <c r="D46" s="577" t="str">
        <f>Poster!D51</f>
        <v>J</v>
      </c>
      <c r="E46" s="559" t="str">
        <f>Poster!E51</f>
        <v>Jordan</v>
      </c>
      <c r="F46" s="126"/>
      <c r="G46" s="126"/>
      <c r="H46" s="126"/>
      <c r="I46" s="560">
        <f t="shared" si="1"/>
        <v>0</v>
      </c>
      <c r="J46" s="561" t="str">
        <f>Poster!I51</f>
        <v>Algeria</v>
      </c>
      <c r="K46" s="126"/>
      <c r="L46" s="126"/>
      <c r="M46" s="126"/>
      <c r="N46" s="560">
        <f t="shared" si="0"/>
        <v>0</v>
      </c>
      <c r="O46" s="563"/>
    </row>
    <row r="47" spans="1:15" x14ac:dyDescent="0.25">
      <c r="A47" s="557" t="str">
        <f>Poster!A52</f>
        <v>K1K3</v>
      </c>
      <c r="B47" s="557">
        <f>Poster!B52</f>
        <v>46196</v>
      </c>
      <c r="C47" s="558">
        <f>Poster!C52</f>
        <v>0.75</v>
      </c>
      <c r="D47" s="577" t="str">
        <f>Poster!D52</f>
        <v>K</v>
      </c>
      <c r="E47" s="559" t="str">
        <f>Poster!E52</f>
        <v>Portugal</v>
      </c>
      <c r="F47" s="126"/>
      <c r="G47" s="126"/>
      <c r="H47" s="126"/>
      <c r="I47" s="560">
        <f t="shared" si="1"/>
        <v>0</v>
      </c>
      <c r="J47" s="561" t="str">
        <f>Poster!I52</f>
        <v>Uzbekistan</v>
      </c>
      <c r="K47" s="126"/>
      <c r="L47" s="126"/>
      <c r="M47" s="126"/>
      <c r="N47" s="560">
        <f t="shared" si="0"/>
        <v>0</v>
      </c>
      <c r="O47" s="563"/>
    </row>
    <row r="48" spans="1:15" x14ac:dyDescent="0.25">
      <c r="A48" s="557" t="str">
        <f>Poster!A53</f>
        <v>L1L3</v>
      </c>
      <c r="B48" s="557">
        <f>Poster!B53</f>
        <v>46196</v>
      </c>
      <c r="C48" s="558">
        <f>Poster!C53</f>
        <v>0.875</v>
      </c>
      <c r="D48" s="577" t="str">
        <f>Poster!D53</f>
        <v>L</v>
      </c>
      <c r="E48" s="559" t="str">
        <f>Poster!E53</f>
        <v>England</v>
      </c>
      <c r="F48" s="126"/>
      <c r="G48" s="126"/>
      <c r="H48" s="126"/>
      <c r="I48" s="560">
        <f t="shared" si="1"/>
        <v>0</v>
      </c>
      <c r="J48" s="561" t="str">
        <f>Poster!I53</f>
        <v>Ghana</v>
      </c>
      <c r="K48" s="126"/>
      <c r="L48" s="126"/>
      <c r="M48" s="126"/>
      <c r="N48" s="560">
        <f t="shared" si="0"/>
        <v>0</v>
      </c>
      <c r="O48" s="563"/>
    </row>
    <row r="49" spans="1:15" x14ac:dyDescent="0.25">
      <c r="A49" s="557" t="str">
        <f>Poster!A54</f>
        <v>L4L2</v>
      </c>
      <c r="B49" s="557">
        <f>Poster!B54</f>
        <v>46197</v>
      </c>
      <c r="C49" s="558">
        <f>Poster!C54</f>
        <v>0</v>
      </c>
      <c r="D49" s="577" t="str">
        <f>Poster!D54</f>
        <v>L</v>
      </c>
      <c r="E49" s="559" t="str">
        <f>Poster!E54</f>
        <v>Panama</v>
      </c>
      <c r="F49" s="126"/>
      <c r="G49" s="126"/>
      <c r="H49" s="126"/>
      <c r="I49" s="560">
        <f t="shared" si="1"/>
        <v>0</v>
      </c>
      <c r="J49" s="561" t="str">
        <f>Poster!I54</f>
        <v>Croatia</v>
      </c>
      <c r="K49" s="126"/>
      <c r="L49" s="126"/>
      <c r="M49" s="126"/>
      <c r="N49" s="560">
        <f t="shared" si="0"/>
        <v>0</v>
      </c>
      <c r="O49" s="563"/>
    </row>
    <row r="50" spans="1:15" x14ac:dyDescent="0.25">
      <c r="A50" s="557" t="str">
        <f>Poster!A55</f>
        <v>K4K2</v>
      </c>
      <c r="B50" s="557">
        <f>Poster!B55</f>
        <v>46197</v>
      </c>
      <c r="C50" s="558">
        <f>Poster!C55</f>
        <v>0.125</v>
      </c>
      <c r="D50" s="577" t="str">
        <f>Poster!D55</f>
        <v>K</v>
      </c>
      <c r="E50" s="559" t="str">
        <f>Poster!E55</f>
        <v>Colombia</v>
      </c>
      <c r="F50" s="126"/>
      <c r="G50" s="126"/>
      <c r="H50" s="126"/>
      <c r="I50" s="560">
        <f t="shared" ref="I50:I72" si="2">F50+G50*2+H50*4</f>
        <v>0</v>
      </c>
      <c r="J50" s="561" t="str">
        <f>Poster!I55</f>
        <v>Congo DR</v>
      </c>
      <c r="K50" s="126"/>
      <c r="L50" s="126"/>
      <c r="M50" s="126"/>
      <c r="N50" s="560">
        <f t="shared" ref="N50:N72" si="3">K50+L50*2+M50*4</f>
        <v>0</v>
      </c>
      <c r="O50" s="563"/>
    </row>
    <row r="51" spans="1:15" x14ac:dyDescent="0.25">
      <c r="A51" s="557" t="str">
        <f>Poster!A56</f>
        <v>B4B1</v>
      </c>
      <c r="B51" s="557">
        <f>Poster!B56</f>
        <v>46197</v>
      </c>
      <c r="C51" s="558">
        <f>Poster!C56</f>
        <v>0.83333333333333337</v>
      </c>
      <c r="D51" s="577" t="str">
        <f>Poster!D56</f>
        <v>B</v>
      </c>
      <c r="E51" s="559" t="str">
        <f>Poster!E56</f>
        <v>Switzerland</v>
      </c>
      <c r="F51" s="126"/>
      <c r="G51" s="126"/>
      <c r="H51" s="126"/>
      <c r="I51" s="560">
        <f t="shared" si="2"/>
        <v>0</v>
      </c>
      <c r="J51" s="561" t="str">
        <f>Poster!I56</f>
        <v>Canada</v>
      </c>
      <c r="K51" s="126"/>
      <c r="L51" s="126"/>
      <c r="M51" s="126"/>
      <c r="N51" s="560">
        <f t="shared" si="3"/>
        <v>0</v>
      </c>
      <c r="O51" s="563"/>
    </row>
    <row r="52" spans="1:15" x14ac:dyDescent="0.25">
      <c r="A52" s="557" t="str">
        <f>Poster!A57</f>
        <v>B2B3</v>
      </c>
      <c r="B52" s="557">
        <f>Poster!B57</f>
        <v>46197</v>
      </c>
      <c r="C52" s="558">
        <f>Poster!C57</f>
        <v>0.83333333333333337</v>
      </c>
      <c r="D52" s="577" t="str">
        <f>Poster!D57</f>
        <v>B</v>
      </c>
      <c r="E52" s="559" t="str">
        <f>Poster!E57</f>
        <v>Bosnia-Herzegovina</v>
      </c>
      <c r="F52" s="126"/>
      <c r="G52" s="126"/>
      <c r="H52" s="126"/>
      <c r="I52" s="560">
        <f t="shared" si="2"/>
        <v>0</v>
      </c>
      <c r="J52" s="561" t="str">
        <f>Poster!I57</f>
        <v>Qatar</v>
      </c>
      <c r="K52" s="126"/>
      <c r="L52" s="126"/>
      <c r="M52" s="126"/>
      <c r="N52" s="560">
        <f t="shared" si="3"/>
        <v>0</v>
      </c>
      <c r="O52" s="563"/>
    </row>
    <row r="53" spans="1:15" x14ac:dyDescent="0.25">
      <c r="A53" s="557" t="str">
        <f>Poster!A58</f>
        <v>C4C1</v>
      </c>
      <c r="B53" s="557">
        <f>Poster!B58</f>
        <v>46197</v>
      </c>
      <c r="C53" s="558">
        <f>Poster!C58</f>
        <v>0.95833333333333337</v>
      </c>
      <c r="D53" s="577" t="str">
        <f>Poster!D58</f>
        <v>C</v>
      </c>
      <c r="E53" s="559" t="str">
        <f>Poster!E58</f>
        <v>Scotland</v>
      </c>
      <c r="F53" s="126"/>
      <c r="G53" s="126"/>
      <c r="H53" s="126"/>
      <c r="I53" s="560">
        <f t="shared" si="2"/>
        <v>0</v>
      </c>
      <c r="J53" s="561" t="str">
        <f>Poster!I58</f>
        <v>Brazil</v>
      </c>
      <c r="K53" s="126"/>
      <c r="L53" s="126"/>
      <c r="M53" s="126"/>
      <c r="N53" s="560">
        <f t="shared" si="3"/>
        <v>0</v>
      </c>
      <c r="O53" s="563"/>
    </row>
    <row r="54" spans="1:15" x14ac:dyDescent="0.25">
      <c r="A54" s="557" t="str">
        <f>Poster!A59</f>
        <v>C2C3</v>
      </c>
      <c r="B54" s="557">
        <f>Poster!B59</f>
        <v>46197</v>
      </c>
      <c r="C54" s="558">
        <f>Poster!C59</f>
        <v>0.95833333333333337</v>
      </c>
      <c r="D54" s="577" t="str">
        <f>Poster!D59</f>
        <v>C</v>
      </c>
      <c r="E54" s="559" t="str">
        <f>Poster!E59</f>
        <v>Morocco</v>
      </c>
      <c r="F54" s="126"/>
      <c r="G54" s="126"/>
      <c r="H54" s="126"/>
      <c r="I54" s="560">
        <f t="shared" si="2"/>
        <v>0</v>
      </c>
      <c r="J54" s="561" t="str">
        <f>Poster!I59</f>
        <v>Haiti</v>
      </c>
      <c r="K54" s="126"/>
      <c r="L54" s="126"/>
      <c r="M54" s="126"/>
      <c r="N54" s="560">
        <f t="shared" si="3"/>
        <v>0</v>
      </c>
      <c r="O54" s="563"/>
    </row>
    <row r="55" spans="1:15" x14ac:dyDescent="0.25">
      <c r="A55" s="557" t="str">
        <f>Poster!A60</f>
        <v>A4A1</v>
      </c>
      <c r="B55" s="557">
        <f>Poster!B60</f>
        <v>46198</v>
      </c>
      <c r="C55" s="558">
        <f>Poster!C60</f>
        <v>8.3333333333333329E-2</v>
      </c>
      <c r="D55" s="577" t="str">
        <f>Poster!D60</f>
        <v>A</v>
      </c>
      <c r="E55" s="559" t="str">
        <f>Poster!E60</f>
        <v>Czechia</v>
      </c>
      <c r="F55" s="126"/>
      <c r="G55" s="126"/>
      <c r="H55" s="126"/>
      <c r="I55" s="560">
        <f t="shared" si="2"/>
        <v>0</v>
      </c>
      <c r="J55" s="561" t="str">
        <f>Poster!I60</f>
        <v>Mexico</v>
      </c>
      <c r="K55" s="126"/>
      <c r="L55" s="126"/>
      <c r="M55" s="126"/>
      <c r="N55" s="560">
        <f t="shared" si="3"/>
        <v>0</v>
      </c>
      <c r="O55" s="563"/>
    </row>
    <row r="56" spans="1:15" x14ac:dyDescent="0.25">
      <c r="A56" s="557" t="str">
        <f>Poster!A61</f>
        <v>A2A3</v>
      </c>
      <c r="B56" s="557">
        <f>Poster!B61</f>
        <v>46198</v>
      </c>
      <c r="C56" s="558">
        <f>Poster!C61</f>
        <v>8.3333333333333329E-2</v>
      </c>
      <c r="D56" s="577" t="str">
        <f>Poster!D61</f>
        <v>A</v>
      </c>
      <c r="E56" s="559" t="str">
        <f>Poster!E61</f>
        <v>South Africa</v>
      </c>
      <c r="F56" s="126"/>
      <c r="G56" s="126"/>
      <c r="H56" s="126"/>
      <c r="I56" s="560">
        <f t="shared" si="2"/>
        <v>0</v>
      </c>
      <c r="J56" s="561" t="str">
        <f>Poster!I61</f>
        <v>Korea Republic</v>
      </c>
      <c r="K56" s="126"/>
      <c r="L56" s="126"/>
      <c r="M56" s="126"/>
      <c r="N56" s="560">
        <f t="shared" si="3"/>
        <v>0</v>
      </c>
      <c r="O56" s="563"/>
    </row>
    <row r="57" spans="1:15" x14ac:dyDescent="0.25">
      <c r="A57" s="557" t="str">
        <f>Poster!A62</f>
        <v>E2E3</v>
      </c>
      <c r="B57" s="557">
        <f>Poster!B62</f>
        <v>46198</v>
      </c>
      <c r="C57" s="558">
        <f>Poster!C62</f>
        <v>0.875</v>
      </c>
      <c r="D57" s="577" t="str">
        <f>Poster!D62</f>
        <v>E</v>
      </c>
      <c r="E57" s="559" t="str">
        <f>Poster!E62</f>
        <v>Curaçao</v>
      </c>
      <c r="F57" s="126"/>
      <c r="G57" s="126"/>
      <c r="H57" s="126"/>
      <c r="I57" s="560">
        <f t="shared" si="2"/>
        <v>0</v>
      </c>
      <c r="J57" s="561" t="str">
        <f>Poster!I62</f>
        <v>Cote d'Ivorie</v>
      </c>
      <c r="K57" s="126"/>
      <c r="L57" s="126"/>
      <c r="M57" s="126"/>
      <c r="N57" s="560">
        <f t="shared" si="3"/>
        <v>0</v>
      </c>
      <c r="O57" s="563"/>
    </row>
    <row r="58" spans="1:15" x14ac:dyDescent="0.25">
      <c r="A58" s="557" t="str">
        <f>Poster!A63</f>
        <v>E4E1</v>
      </c>
      <c r="B58" s="557">
        <f>Poster!B63</f>
        <v>46198</v>
      </c>
      <c r="C58" s="558">
        <f>Poster!C63</f>
        <v>0.875</v>
      </c>
      <c r="D58" s="577" t="str">
        <f>Poster!D63</f>
        <v>E</v>
      </c>
      <c r="E58" s="559" t="str">
        <f>Poster!E63</f>
        <v>Ecuador</v>
      </c>
      <c r="F58" s="126"/>
      <c r="G58" s="126"/>
      <c r="H58" s="126"/>
      <c r="I58" s="560">
        <f t="shared" si="2"/>
        <v>0</v>
      </c>
      <c r="J58" s="561" t="str">
        <f>Poster!I63</f>
        <v>Germany</v>
      </c>
      <c r="K58" s="126"/>
      <c r="L58" s="126"/>
      <c r="M58" s="126"/>
      <c r="N58" s="560">
        <f t="shared" si="3"/>
        <v>0</v>
      </c>
      <c r="O58" s="563"/>
    </row>
    <row r="59" spans="1:15" x14ac:dyDescent="0.25">
      <c r="A59" s="557" t="str">
        <f>Poster!A64</f>
        <v>F2F3</v>
      </c>
      <c r="B59" s="557">
        <f>Poster!B64</f>
        <v>46199</v>
      </c>
      <c r="C59" s="558">
        <f>Poster!C64</f>
        <v>0</v>
      </c>
      <c r="D59" s="577" t="str">
        <f>Poster!D64</f>
        <v>F</v>
      </c>
      <c r="E59" s="559" t="str">
        <f>Poster!E64</f>
        <v>Japan</v>
      </c>
      <c r="F59" s="126"/>
      <c r="G59" s="126"/>
      <c r="H59" s="126"/>
      <c r="I59" s="560">
        <f t="shared" si="2"/>
        <v>0</v>
      </c>
      <c r="J59" s="561" t="str">
        <f>Poster!I64</f>
        <v>Sweden</v>
      </c>
      <c r="K59" s="126"/>
      <c r="L59" s="126"/>
      <c r="M59" s="126"/>
      <c r="N59" s="560">
        <f t="shared" si="3"/>
        <v>0</v>
      </c>
      <c r="O59" s="563"/>
    </row>
    <row r="60" spans="1:15" x14ac:dyDescent="0.25">
      <c r="A60" s="557" t="str">
        <f>Poster!A65</f>
        <v>F4F1</v>
      </c>
      <c r="B60" s="557">
        <f>Poster!B65</f>
        <v>46199</v>
      </c>
      <c r="C60" s="558">
        <f>Poster!C65</f>
        <v>0</v>
      </c>
      <c r="D60" s="577" t="str">
        <f>Poster!D65</f>
        <v>F</v>
      </c>
      <c r="E60" s="559" t="str">
        <f>Poster!E65</f>
        <v>Tunisia</v>
      </c>
      <c r="F60" s="126"/>
      <c r="G60" s="126"/>
      <c r="H60" s="126"/>
      <c r="I60" s="560">
        <f t="shared" si="2"/>
        <v>0</v>
      </c>
      <c r="J60" s="561" t="str">
        <f>Poster!I65</f>
        <v>Netherlands</v>
      </c>
      <c r="K60" s="126"/>
      <c r="L60" s="126"/>
      <c r="M60" s="126"/>
      <c r="N60" s="560">
        <f t="shared" si="3"/>
        <v>0</v>
      </c>
      <c r="O60" s="563"/>
    </row>
    <row r="61" spans="1:15" x14ac:dyDescent="0.25">
      <c r="A61" s="557" t="str">
        <f>Poster!A66</f>
        <v>D4D1</v>
      </c>
      <c r="B61" s="557">
        <f>Poster!B66</f>
        <v>46199</v>
      </c>
      <c r="C61" s="558">
        <f>Poster!C66</f>
        <v>0.125</v>
      </c>
      <c r="D61" s="577" t="str">
        <f>Poster!D66</f>
        <v>D</v>
      </c>
      <c r="E61" s="559" t="str">
        <f>Poster!E66</f>
        <v>Turkiye</v>
      </c>
      <c r="F61" s="126"/>
      <c r="G61" s="126"/>
      <c r="H61" s="126"/>
      <c r="I61" s="560">
        <f t="shared" si="2"/>
        <v>0</v>
      </c>
      <c r="J61" s="561" t="str">
        <f>Poster!I66</f>
        <v>USA</v>
      </c>
      <c r="K61" s="126"/>
      <c r="L61" s="126"/>
      <c r="M61" s="126"/>
      <c r="N61" s="560">
        <f t="shared" si="3"/>
        <v>0</v>
      </c>
      <c r="O61" s="563"/>
    </row>
    <row r="62" spans="1:15" x14ac:dyDescent="0.25">
      <c r="A62" s="557" t="str">
        <f>Poster!A67</f>
        <v>D2D3</v>
      </c>
      <c r="B62" s="557">
        <f>Poster!B67</f>
        <v>46199</v>
      </c>
      <c r="C62" s="558">
        <f>Poster!C67</f>
        <v>0.125</v>
      </c>
      <c r="D62" s="577" t="str">
        <f>Poster!D67</f>
        <v>D</v>
      </c>
      <c r="E62" s="559" t="str">
        <f>Poster!E67</f>
        <v>Paraguay</v>
      </c>
      <c r="F62" s="126"/>
      <c r="G62" s="126"/>
      <c r="H62" s="126"/>
      <c r="I62" s="560">
        <f t="shared" si="2"/>
        <v>0</v>
      </c>
      <c r="J62" s="561" t="str">
        <f>Poster!I67</f>
        <v>Australia</v>
      </c>
      <c r="K62" s="126"/>
      <c r="L62" s="126"/>
      <c r="M62" s="126"/>
      <c r="N62" s="560">
        <f t="shared" si="3"/>
        <v>0</v>
      </c>
      <c r="O62" s="563"/>
    </row>
    <row r="63" spans="1:15" x14ac:dyDescent="0.25">
      <c r="A63" s="557" t="str">
        <f>Poster!A68</f>
        <v>I4I1</v>
      </c>
      <c r="B63" s="557">
        <f>Poster!B68</f>
        <v>46199</v>
      </c>
      <c r="C63" s="558">
        <f>Poster!C68</f>
        <v>0.83333333333333337</v>
      </c>
      <c r="D63" s="577" t="str">
        <f>Poster!D68</f>
        <v>I</v>
      </c>
      <c r="E63" s="559" t="str">
        <f>Poster!E68</f>
        <v>Norway</v>
      </c>
      <c r="F63" s="126"/>
      <c r="G63" s="126"/>
      <c r="H63" s="126"/>
      <c r="I63" s="560">
        <f t="shared" si="2"/>
        <v>0</v>
      </c>
      <c r="J63" s="561" t="str">
        <f>Poster!I68</f>
        <v>France</v>
      </c>
      <c r="K63" s="126"/>
      <c r="L63" s="126"/>
      <c r="M63" s="126"/>
      <c r="N63" s="560">
        <f t="shared" si="3"/>
        <v>0</v>
      </c>
      <c r="O63" s="563"/>
    </row>
    <row r="64" spans="1:15" x14ac:dyDescent="0.25">
      <c r="A64" s="557" t="str">
        <f>Poster!A69</f>
        <v>I2I3</v>
      </c>
      <c r="B64" s="557">
        <f>Poster!B69</f>
        <v>46199</v>
      </c>
      <c r="C64" s="558">
        <f>Poster!C69</f>
        <v>0.83333333333333337</v>
      </c>
      <c r="D64" s="577" t="str">
        <f>Poster!D69</f>
        <v>I</v>
      </c>
      <c r="E64" s="559" t="str">
        <f>Poster!E69</f>
        <v>Senegal</v>
      </c>
      <c r="F64" s="126"/>
      <c r="G64" s="126"/>
      <c r="H64" s="126"/>
      <c r="I64" s="560">
        <f t="shared" si="2"/>
        <v>0</v>
      </c>
      <c r="J64" s="561" t="str">
        <f>Poster!I69</f>
        <v>Iraq</v>
      </c>
      <c r="K64" s="126"/>
      <c r="L64" s="126"/>
      <c r="M64" s="126"/>
      <c r="N64" s="560">
        <f t="shared" si="3"/>
        <v>0</v>
      </c>
      <c r="O64" s="563"/>
    </row>
    <row r="65" spans="1:15" x14ac:dyDescent="0.25">
      <c r="A65" s="557" t="str">
        <f>Poster!A70</f>
        <v>H2H3</v>
      </c>
      <c r="B65" s="557">
        <f>Poster!B70</f>
        <v>46200</v>
      </c>
      <c r="C65" s="558">
        <f>Poster!C70</f>
        <v>4.1666666666666664E-2</v>
      </c>
      <c r="D65" s="577" t="str">
        <f>Poster!D70</f>
        <v>H</v>
      </c>
      <c r="E65" s="559" t="str">
        <f>Poster!E70</f>
        <v>Cabo Verde</v>
      </c>
      <c r="F65" s="126"/>
      <c r="G65" s="126"/>
      <c r="H65" s="126"/>
      <c r="I65" s="560">
        <f t="shared" si="2"/>
        <v>0</v>
      </c>
      <c r="J65" s="561" t="str">
        <f>Poster!I70</f>
        <v>Saudi Arabia</v>
      </c>
      <c r="K65" s="126"/>
      <c r="L65" s="126"/>
      <c r="M65" s="126"/>
      <c r="N65" s="560">
        <f t="shared" si="3"/>
        <v>0</v>
      </c>
      <c r="O65" s="563"/>
    </row>
    <row r="66" spans="1:15" x14ac:dyDescent="0.25">
      <c r="A66" s="557" t="str">
        <f>Poster!A71</f>
        <v>H4H1</v>
      </c>
      <c r="B66" s="557">
        <f>Poster!B71</f>
        <v>46200</v>
      </c>
      <c r="C66" s="558">
        <f>Poster!C71</f>
        <v>4.1666666666666664E-2</v>
      </c>
      <c r="D66" s="577" t="str">
        <f>Poster!D71</f>
        <v>H</v>
      </c>
      <c r="E66" s="559" t="str">
        <f>Poster!E71</f>
        <v>Uruguay</v>
      </c>
      <c r="F66" s="126"/>
      <c r="G66" s="126"/>
      <c r="H66" s="126"/>
      <c r="I66" s="560">
        <f t="shared" si="2"/>
        <v>0</v>
      </c>
      <c r="J66" s="561" t="str">
        <f>Poster!I71</f>
        <v>Spain</v>
      </c>
      <c r="K66" s="126"/>
      <c r="L66" s="126"/>
      <c r="M66" s="126"/>
      <c r="N66" s="560">
        <f t="shared" si="3"/>
        <v>0</v>
      </c>
      <c r="O66" s="563"/>
    </row>
    <row r="67" spans="1:15" x14ac:dyDescent="0.25">
      <c r="A67" s="557" t="str">
        <f>Poster!A72</f>
        <v>G2G3</v>
      </c>
      <c r="B67" s="557">
        <f>Poster!B72</f>
        <v>46200</v>
      </c>
      <c r="C67" s="558">
        <f>Poster!C72</f>
        <v>0.16666666666666666</v>
      </c>
      <c r="D67" s="577" t="str">
        <f>Poster!D72</f>
        <v>G</v>
      </c>
      <c r="E67" s="559" t="str">
        <f>Poster!E72</f>
        <v>Egypt</v>
      </c>
      <c r="F67" s="126"/>
      <c r="G67" s="126"/>
      <c r="H67" s="126"/>
      <c r="I67" s="560">
        <f t="shared" si="2"/>
        <v>0</v>
      </c>
      <c r="J67" s="561" t="str">
        <f>Poster!I72</f>
        <v>IR Iran</v>
      </c>
      <c r="K67" s="126"/>
      <c r="L67" s="126"/>
      <c r="M67" s="126"/>
      <c r="N67" s="560">
        <f t="shared" si="3"/>
        <v>0</v>
      </c>
      <c r="O67" s="563"/>
    </row>
    <row r="68" spans="1:15" x14ac:dyDescent="0.25">
      <c r="A68" s="557" t="str">
        <f>Poster!A73</f>
        <v>G4G1</v>
      </c>
      <c r="B68" s="557">
        <f>Poster!B73</f>
        <v>46200</v>
      </c>
      <c r="C68" s="558">
        <f>Poster!C73</f>
        <v>0.16666666666666666</v>
      </c>
      <c r="D68" s="577" t="str">
        <f>Poster!D73</f>
        <v>G</v>
      </c>
      <c r="E68" s="559" t="str">
        <f>Poster!E73</f>
        <v>New Zealand</v>
      </c>
      <c r="F68" s="126"/>
      <c r="G68" s="126"/>
      <c r="H68" s="126"/>
      <c r="I68" s="560">
        <f t="shared" si="2"/>
        <v>0</v>
      </c>
      <c r="J68" s="561" t="str">
        <f>Poster!I73</f>
        <v>Belgium</v>
      </c>
      <c r="K68" s="126"/>
      <c r="L68" s="126"/>
      <c r="M68" s="126"/>
      <c r="N68" s="560">
        <f t="shared" si="3"/>
        <v>0</v>
      </c>
      <c r="O68" s="563"/>
    </row>
    <row r="69" spans="1:15" x14ac:dyDescent="0.25">
      <c r="A69" s="557" t="str">
        <f>Poster!A74</f>
        <v>L4L1</v>
      </c>
      <c r="B69" s="557">
        <f>Poster!B74</f>
        <v>46200</v>
      </c>
      <c r="C69" s="558">
        <f>Poster!C74</f>
        <v>0.91666666666666663</v>
      </c>
      <c r="D69" s="577" t="str">
        <f>Poster!D74</f>
        <v>L</v>
      </c>
      <c r="E69" s="559" t="str">
        <f>Poster!E74</f>
        <v>Panama</v>
      </c>
      <c r="F69" s="126"/>
      <c r="G69" s="126"/>
      <c r="H69" s="126"/>
      <c r="I69" s="560">
        <f t="shared" si="2"/>
        <v>0</v>
      </c>
      <c r="J69" s="561" t="str">
        <f>Poster!I74</f>
        <v>England</v>
      </c>
      <c r="K69" s="126"/>
      <c r="L69" s="126"/>
      <c r="M69" s="126"/>
      <c r="N69" s="560">
        <f t="shared" si="3"/>
        <v>0</v>
      </c>
      <c r="O69" s="563"/>
    </row>
    <row r="70" spans="1:15" x14ac:dyDescent="0.25">
      <c r="A70" s="557" t="str">
        <f>Poster!A75</f>
        <v>L2L3</v>
      </c>
      <c r="B70" s="557">
        <f>Poster!B75</f>
        <v>46200</v>
      </c>
      <c r="C70" s="558">
        <f>Poster!C75</f>
        <v>0.91666666666666663</v>
      </c>
      <c r="D70" s="577" t="str">
        <f>Poster!D75</f>
        <v>L</v>
      </c>
      <c r="E70" s="559" t="str">
        <f>Poster!E75</f>
        <v>Croatia</v>
      </c>
      <c r="F70" s="126"/>
      <c r="G70" s="126"/>
      <c r="H70" s="126"/>
      <c r="I70" s="560">
        <f t="shared" si="2"/>
        <v>0</v>
      </c>
      <c r="J70" s="561" t="str">
        <f>Poster!I75</f>
        <v>Ghana</v>
      </c>
      <c r="K70" s="126"/>
      <c r="L70" s="126"/>
      <c r="M70" s="126"/>
      <c r="N70" s="560">
        <f t="shared" si="3"/>
        <v>0</v>
      </c>
      <c r="O70" s="563"/>
    </row>
    <row r="71" spans="1:15" x14ac:dyDescent="0.25">
      <c r="A71" s="557" t="str">
        <f>Poster!A76</f>
        <v>K4K1</v>
      </c>
      <c r="B71" s="557">
        <f>Poster!B76</f>
        <v>46201</v>
      </c>
      <c r="C71" s="558">
        <f>Poster!C76</f>
        <v>2.0833333333333332E-2</v>
      </c>
      <c r="D71" s="577" t="str">
        <f>Poster!D76</f>
        <v>K</v>
      </c>
      <c r="E71" s="559" t="str">
        <f>Poster!E76</f>
        <v>Colombia</v>
      </c>
      <c r="F71" s="126"/>
      <c r="G71" s="126"/>
      <c r="H71" s="126"/>
      <c r="I71" s="560">
        <f t="shared" si="2"/>
        <v>0</v>
      </c>
      <c r="J71" s="561" t="str">
        <f>Poster!I76</f>
        <v>Portugal</v>
      </c>
      <c r="K71" s="126"/>
      <c r="L71" s="126"/>
      <c r="M71" s="126"/>
      <c r="N71" s="560">
        <f t="shared" si="3"/>
        <v>0</v>
      </c>
      <c r="O71" s="563"/>
    </row>
    <row r="72" spans="1:15" x14ac:dyDescent="0.25">
      <c r="A72" s="557" t="str">
        <f>Poster!A77</f>
        <v>K2K3</v>
      </c>
      <c r="B72" s="557">
        <f>Poster!B77</f>
        <v>46201</v>
      </c>
      <c r="C72" s="558">
        <f>Poster!C77</f>
        <v>2.0833333333333332E-2</v>
      </c>
      <c r="D72" s="577" t="str">
        <f>Poster!D77</f>
        <v>K</v>
      </c>
      <c r="E72" s="559" t="str">
        <f>Poster!E77</f>
        <v>Congo DR</v>
      </c>
      <c r="F72" s="126"/>
      <c r="G72" s="126"/>
      <c r="H72" s="126"/>
      <c r="I72" s="560">
        <f t="shared" si="2"/>
        <v>0</v>
      </c>
      <c r="J72" s="561" t="str">
        <f>Poster!I77</f>
        <v>Uzbekistan</v>
      </c>
      <c r="K72" s="126"/>
      <c r="L72" s="126"/>
      <c r="M72" s="126"/>
      <c r="N72" s="560">
        <f t="shared" si="3"/>
        <v>0</v>
      </c>
      <c r="O72" s="563"/>
    </row>
    <row r="73" spans="1:15" x14ac:dyDescent="0.25">
      <c r="A73" s="557" t="str">
        <f>Poster!A78</f>
        <v>J2J3</v>
      </c>
      <c r="B73" s="557">
        <f>Poster!B78</f>
        <v>46201</v>
      </c>
      <c r="C73" s="558">
        <f>Poster!C78</f>
        <v>0.125</v>
      </c>
      <c r="D73" s="577" t="str">
        <f>Poster!D78</f>
        <v>J</v>
      </c>
      <c r="E73" s="559" t="str">
        <f>Poster!E78</f>
        <v>Algeria</v>
      </c>
      <c r="F73" s="126"/>
      <c r="G73" s="126"/>
      <c r="H73" s="126"/>
      <c r="I73" s="560">
        <f>F73+G73*2+H73*4</f>
        <v>0</v>
      </c>
      <c r="J73" s="561" t="str">
        <f>Poster!I78</f>
        <v>Austria</v>
      </c>
      <c r="K73" s="126"/>
      <c r="L73" s="126"/>
      <c r="M73" s="126"/>
      <c r="N73" s="560">
        <f>K73+L73*2+M73*4</f>
        <v>0</v>
      </c>
      <c r="O73" s="563"/>
    </row>
    <row r="74" spans="1:15" x14ac:dyDescent="0.25">
      <c r="A74" s="557" t="str">
        <f>Poster!A79</f>
        <v>J4J1</v>
      </c>
      <c r="B74" s="557">
        <f>Poster!B79</f>
        <v>46201</v>
      </c>
      <c r="C74" s="558">
        <f>Poster!C79</f>
        <v>0.125</v>
      </c>
      <c r="D74" s="577" t="str">
        <f>Poster!D79</f>
        <v>J</v>
      </c>
      <c r="E74" s="559" t="str">
        <f>Poster!E79</f>
        <v>Jordan</v>
      </c>
      <c r="F74" s="126"/>
      <c r="G74" s="126"/>
      <c r="H74" s="126"/>
      <c r="I74" s="560">
        <f>F74+G74*2+H74*4</f>
        <v>0</v>
      </c>
      <c r="J74" s="561" t="str">
        <f>Poster!I79</f>
        <v>Argentina</v>
      </c>
      <c r="K74" s="126"/>
      <c r="L74" s="126"/>
      <c r="M74" s="126"/>
      <c r="N74" s="560">
        <f>K74+L74*2+M74*4</f>
        <v>0</v>
      </c>
      <c r="O74" s="563"/>
    </row>
    <row r="75" spans="1:15" x14ac:dyDescent="0.25">
      <c r="B75" s="564"/>
      <c r="C75" s="100"/>
      <c r="D75" s="100"/>
      <c r="E75" s="102"/>
      <c r="F75" s="98"/>
      <c r="G75" s="98"/>
      <c r="H75" s="98"/>
      <c r="I75" s="98"/>
      <c r="J75" s="97"/>
      <c r="K75" s="98"/>
      <c r="L75" s="98"/>
      <c r="M75" s="98"/>
      <c r="N75" s="98"/>
      <c r="O75" s="98"/>
    </row>
    <row r="76" spans="1:15" x14ac:dyDescent="0.25">
      <c r="B76" s="100"/>
      <c r="C76" s="100"/>
      <c r="D76" s="100"/>
      <c r="E76" s="97"/>
      <c r="F76" s="565" t="s">
        <v>411</v>
      </c>
      <c r="G76" s="566"/>
      <c r="H76" s="567"/>
      <c r="I76" s="98"/>
      <c r="J76" s="97"/>
      <c r="K76" s="98"/>
      <c r="L76" s="98"/>
      <c r="M76" s="98"/>
      <c r="N76" s="98"/>
      <c r="O76" s="98"/>
    </row>
    <row r="77" spans="1:15" x14ac:dyDescent="0.25">
      <c r="F77" s="568" t="s">
        <v>419</v>
      </c>
      <c r="G77" s="569"/>
      <c r="H77" s="570"/>
    </row>
    <row r="78" spans="1:15" x14ac:dyDescent="0.25">
      <c r="F78" s="568" t="s">
        <v>420</v>
      </c>
      <c r="G78" s="569"/>
      <c r="H78" s="570"/>
    </row>
    <row r="79" spans="1:15" x14ac:dyDescent="0.25">
      <c r="F79" s="571" t="s">
        <v>410</v>
      </c>
      <c r="G79" s="572"/>
      <c r="H79" s="573"/>
    </row>
  </sheetData>
  <sheetProtection sheet="1" objects="1" scenarios="1" selectLockedCells="1"/>
  <mergeCells count="1">
    <mergeCell ref="B1:D1"/>
  </mergeCells>
  <printOptions horizontalCentered="1"/>
  <pageMargins left="0.23622047244094491" right="0.23622047244094491" top="0.74803149606299213" bottom="0.74803149606299213" header="0.31496062992125984" footer="0.31496062992125984"/>
  <pageSetup paperSize="9" scale="60" orientation="landscape" verticalDpi="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46A3E-192D-4128-ADF6-A6883C740F41}">
  <sheetPr>
    <tabColor theme="4"/>
    <pageSetUpPr fitToPage="1"/>
  </sheetPr>
  <dimension ref="A1:F18"/>
  <sheetViews>
    <sheetView showGridLines="0" showRowColHeaders="0" workbookViewId="0">
      <pane ySplit="1" topLeftCell="A2" activePane="bottomLeft" state="frozen"/>
      <selection pane="bottomLeft" activeCell="G5" sqref="G5"/>
    </sheetView>
  </sheetViews>
  <sheetFormatPr defaultColWidth="18.140625" defaultRowHeight="150" customHeight="1" x14ac:dyDescent="0.25"/>
  <cols>
    <col min="1" max="1" width="13.7109375" style="10" customWidth="1"/>
    <col min="2" max="2" width="30.7109375" style="10" customWidth="1"/>
    <col min="3" max="3" width="17.7109375" style="10" customWidth="1"/>
    <col min="4" max="4" width="21.7109375" style="10" customWidth="1"/>
    <col min="5" max="6" width="15.7109375" style="18" customWidth="1"/>
    <col min="7" max="7" width="50.7109375" style="10" customWidth="1"/>
    <col min="8" max="16384" width="18.140625" style="10"/>
  </cols>
  <sheetData>
    <row r="1" spans="1:6" ht="30" customHeight="1" x14ac:dyDescent="0.25">
      <c r="A1" s="120" t="s">
        <v>526</v>
      </c>
      <c r="B1" s="120" t="s">
        <v>321</v>
      </c>
      <c r="C1" s="120" t="s">
        <v>491</v>
      </c>
      <c r="D1" s="120" t="s">
        <v>490</v>
      </c>
      <c r="E1" s="537" t="s">
        <v>400</v>
      </c>
      <c r="F1" s="537" t="s">
        <v>476</v>
      </c>
    </row>
    <row r="2" spans="1:6" ht="150" customHeight="1" x14ac:dyDescent="0.25">
      <c r="A2" s="538" t="s">
        <v>407</v>
      </c>
      <c r="B2" s="539" t="s">
        <v>485</v>
      </c>
      <c r="C2" s="540" t="s">
        <v>492</v>
      </c>
      <c r="D2" s="540" t="s">
        <v>399</v>
      </c>
      <c r="E2" s="541">
        <v>45000</v>
      </c>
      <c r="F2" s="542">
        <v>2007</v>
      </c>
    </row>
    <row r="3" spans="1:6" ht="150" customHeight="1" x14ac:dyDescent="0.25">
      <c r="A3" s="538" t="s">
        <v>408</v>
      </c>
      <c r="B3" s="539" t="s">
        <v>486</v>
      </c>
      <c r="C3" s="540" t="s">
        <v>493</v>
      </c>
      <c r="D3" s="540" t="s">
        <v>399</v>
      </c>
      <c r="E3" s="541">
        <v>54000</v>
      </c>
      <c r="F3" s="542">
        <v>1983</v>
      </c>
    </row>
    <row r="4" spans="1:6" ht="150" customHeight="1" x14ac:dyDescent="0.25">
      <c r="A4" s="538" t="s">
        <v>401</v>
      </c>
      <c r="B4" s="539" t="s">
        <v>474</v>
      </c>
      <c r="C4" s="540" t="s">
        <v>475</v>
      </c>
      <c r="D4" s="540" t="s">
        <v>293</v>
      </c>
      <c r="E4" s="541">
        <v>83000</v>
      </c>
      <c r="F4" s="542">
        <v>1966</v>
      </c>
    </row>
    <row r="5" spans="1:6" ht="150" customHeight="1" x14ac:dyDescent="0.25">
      <c r="A5" s="538" t="s">
        <v>402</v>
      </c>
      <c r="B5" s="539" t="s">
        <v>487</v>
      </c>
      <c r="C5" s="539" t="s">
        <v>494</v>
      </c>
      <c r="D5" s="539" t="s">
        <v>293</v>
      </c>
      <c r="E5" s="541">
        <v>48000</v>
      </c>
      <c r="F5" s="542">
        <v>2010</v>
      </c>
    </row>
    <row r="6" spans="1:6" ht="150" customHeight="1" x14ac:dyDescent="0.25">
      <c r="A6" s="538" t="s">
        <v>403</v>
      </c>
      <c r="B6" s="539" t="s">
        <v>488</v>
      </c>
      <c r="C6" s="540" t="s">
        <v>495</v>
      </c>
      <c r="D6" s="540" t="s">
        <v>293</v>
      </c>
      <c r="E6" s="541">
        <v>53000</v>
      </c>
      <c r="F6" s="542">
        <v>2015</v>
      </c>
    </row>
    <row r="7" spans="1:6" ht="150" customHeight="1" x14ac:dyDescent="0.25">
      <c r="A7" s="538" t="s">
        <v>404</v>
      </c>
      <c r="B7" s="539" t="s">
        <v>489</v>
      </c>
      <c r="C7" s="539" t="s">
        <v>496</v>
      </c>
      <c r="D7" s="539" t="s">
        <v>503</v>
      </c>
      <c r="E7" s="541">
        <v>75000</v>
      </c>
      <c r="F7" s="542">
        <v>2017</v>
      </c>
    </row>
    <row r="8" spans="1:6" ht="150" customHeight="1" x14ac:dyDescent="0.25">
      <c r="A8" s="538" t="s">
        <v>405</v>
      </c>
      <c r="B8" s="539" t="s">
        <v>497</v>
      </c>
      <c r="C8" s="539" t="s">
        <v>498</v>
      </c>
      <c r="D8" s="539" t="s">
        <v>502</v>
      </c>
      <c r="E8" s="541">
        <v>65000</v>
      </c>
      <c r="F8" s="542">
        <v>2002</v>
      </c>
    </row>
    <row r="9" spans="1:6" ht="150" customHeight="1" x14ac:dyDescent="0.25">
      <c r="A9" s="538" t="s">
        <v>406</v>
      </c>
      <c r="B9" s="539" t="s">
        <v>499</v>
      </c>
      <c r="C9" s="539" t="s">
        <v>500</v>
      </c>
      <c r="D9" s="539" t="s">
        <v>501</v>
      </c>
      <c r="E9" s="541">
        <v>94000</v>
      </c>
      <c r="F9" s="542">
        <v>2009</v>
      </c>
    </row>
    <row r="10" spans="1:6" ht="150" customHeight="1" x14ac:dyDescent="0.25">
      <c r="A10" s="538" t="s">
        <v>477</v>
      </c>
      <c r="B10" s="539" t="s">
        <v>504</v>
      </c>
      <c r="C10" s="539" t="s">
        <v>505</v>
      </c>
      <c r="D10" s="539" t="s">
        <v>501</v>
      </c>
      <c r="E10" s="541">
        <v>72000</v>
      </c>
      <c r="F10" s="542">
        <v>2002</v>
      </c>
    </row>
    <row r="11" spans="1:6" ht="150" customHeight="1" x14ac:dyDescent="0.25">
      <c r="A11" s="538" t="s">
        <v>478</v>
      </c>
      <c r="B11" s="539" t="s">
        <v>506</v>
      </c>
      <c r="C11" s="539" t="s">
        <v>507</v>
      </c>
      <c r="D11" s="539" t="s">
        <v>508</v>
      </c>
      <c r="E11" s="541">
        <v>73000</v>
      </c>
      <c r="F11" s="542">
        <v>1972</v>
      </c>
    </row>
    <row r="12" spans="1:6" ht="150" customHeight="1" x14ac:dyDescent="0.25">
      <c r="A12" s="538" t="s">
        <v>479</v>
      </c>
      <c r="B12" s="539" t="s">
        <v>509</v>
      </c>
      <c r="C12" s="539" t="s">
        <v>510</v>
      </c>
      <c r="D12" s="539" t="s">
        <v>511</v>
      </c>
      <c r="E12" s="541">
        <v>70000</v>
      </c>
      <c r="F12" s="542">
        <v>2020</v>
      </c>
    </row>
    <row r="13" spans="1:6" ht="150" customHeight="1" x14ac:dyDescent="0.25">
      <c r="A13" s="538" t="s">
        <v>480</v>
      </c>
      <c r="B13" s="539" t="s">
        <v>512</v>
      </c>
      <c r="C13" s="539" t="s">
        <v>513</v>
      </c>
      <c r="D13" s="539" t="s">
        <v>514</v>
      </c>
      <c r="E13" s="541">
        <v>65000</v>
      </c>
      <c r="F13" s="542">
        <v>1987</v>
      </c>
    </row>
    <row r="14" spans="1:6" ht="150" customHeight="1" x14ac:dyDescent="0.25">
      <c r="A14" s="538" t="s">
        <v>481</v>
      </c>
      <c r="B14" s="539" t="s">
        <v>517</v>
      </c>
      <c r="C14" s="539" t="s">
        <v>515</v>
      </c>
      <c r="D14" s="539" t="s">
        <v>516</v>
      </c>
      <c r="E14" s="541">
        <v>82500</v>
      </c>
      <c r="F14" s="542">
        <v>2010</v>
      </c>
    </row>
    <row r="15" spans="1:6" ht="150" customHeight="1" x14ac:dyDescent="0.25">
      <c r="A15" s="538" t="s">
        <v>482</v>
      </c>
      <c r="B15" s="539" t="s">
        <v>518</v>
      </c>
      <c r="C15" s="539" t="s">
        <v>520</v>
      </c>
      <c r="D15" s="539" t="s">
        <v>519</v>
      </c>
      <c r="E15" s="541">
        <v>69000</v>
      </c>
      <c r="F15" s="542">
        <v>2003</v>
      </c>
    </row>
    <row r="16" spans="1:6" ht="150" customHeight="1" x14ac:dyDescent="0.25">
      <c r="A16" s="538" t="s">
        <v>483</v>
      </c>
      <c r="B16" s="539" t="s">
        <v>521</v>
      </c>
      <c r="C16" s="539" t="s">
        <v>522</v>
      </c>
      <c r="D16" s="539" t="s">
        <v>511</v>
      </c>
      <c r="E16" s="541">
        <v>71000</v>
      </c>
      <c r="F16" s="542">
        <v>2014</v>
      </c>
    </row>
    <row r="17" spans="1:6" ht="150" customHeight="1" x14ac:dyDescent="0.25">
      <c r="A17" s="538" t="s">
        <v>484</v>
      </c>
      <c r="B17" s="539" t="s">
        <v>523</v>
      </c>
      <c r="C17" s="539" t="s">
        <v>524</v>
      </c>
      <c r="D17" s="539" t="s">
        <v>525</v>
      </c>
      <c r="E17" s="541">
        <v>69000</v>
      </c>
      <c r="F17" s="542">
        <v>2002</v>
      </c>
    </row>
    <row r="18" spans="1:6" ht="150" customHeight="1" x14ac:dyDescent="0.25">
      <c r="A18" s="543"/>
      <c r="B18" s="543"/>
      <c r="C18" s="543"/>
      <c r="D18" s="543"/>
      <c r="E18" s="136"/>
      <c r="F18" s="136"/>
    </row>
  </sheetData>
  <sheetProtection sheet="1" objects="1" scenarios="1"/>
  <phoneticPr fontId="30" type="noConversion"/>
  <printOptions horizontalCentered="1" verticalCentered="1"/>
  <pageMargins left="0.70866141732283472" right="0.70866141732283472" top="0.74803149606299213" bottom="0.74803149606299213" header="0.31496062992125984" footer="0.31496062992125984"/>
  <pageSetup paperSize="9" scale="61" orientation="portrait"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tint="0.39997558519241921"/>
  </sheetPr>
  <dimension ref="A1:AF85"/>
  <sheetViews>
    <sheetView showGridLines="0" topLeftCell="A47" workbookViewId="0">
      <selection activeCell="Q80" sqref="Q80"/>
    </sheetView>
  </sheetViews>
  <sheetFormatPr defaultRowHeight="15" customHeight="1" x14ac:dyDescent="0.2"/>
  <cols>
    <col min="1" max="1" width="9.140625" style="97" customWidth="1"/>
    <col min="2" max="2" width="9.140625" style="603" customWidth="1"/>
    <col min="3" max="3" width="28.7109375" style="97" customWidth="1"/>
    <col min="4" max="4" width="10.7109375" style="98" customWidth="1"/>
    <col min="5" max="8" width="10.7109375" style="97" customWidth="1"/>
    <col min="9" max="9" width="9.140625" style="98" customWidth="1"/>
    <col min="10" max="10" width="25.7109375" style="97" customWidth="1"/>
    <col min="11" max="11" width="9.140625" style="97" customWidth="1"/>
    <col min="12" max="13" width="9.140625" style="98" customWidth="1"/>
    <col min="14" max="14" width="9.140625" style="97" customWidth="1"/>
    <col min="15" max="21" width="9.140625" style="98" customWidth="1"/>
    <col min="22" max="22" width="22.7109375" style="101" customWidth="1"/>
    <col min="23" max="23" width="10.7109375" style="97" customWidth="1"/>
    <col min="24" max="31" width="5.7109375" style="97" customWidth="1"/>
    <col min="32" max="16384" width="9.140625" style="97"/>
  </cols>
  <sheetData>
    <row r="1" spans="1:32" ht="15" customHeight="1" x14ac:dyDescent="0.2">
      <c r="A1" s="742" t="s">
        <v>325</v>
      </c>
      <c r="B1" s="742" t="s">
        <v>320</v>
      </c>
      <c r="C1" s="742" t="s">
        <v>268</v>
      </c>
      <c r="D1" s="588" t="s">
        <v>391</v>
      </c>
      <c r="E1" s="588" t="s">
        <v>389</v>
      </c>
      <c r="F1" s="588" t="s">
        <v>270</v>
      </c>
      <c r="G1" s="588" t="s">
        <v>271</v>
      </c>
      <c r="I1" s="742" t="s">
        <v>320</v>
      </c>
      <c r="J1" s="742" t="s">
        <v>268</v>
      </c>
      <c r="K1" s="742" t="s">
        <v>325</v>
      </c>
      <c r="L1" s="588" t="s">
        <v>412</v>
      </c>
      <c r="M1" s="742" t="s">
        <v>320</v>
      </c>
      <c r="O1" s="589" t="s">
        <v>320</v>
      </c>
      <c r="P1" s="589"/>
      <c r="Q1" s="589" t="s">
        <v>1</v>
      </c>
      <c r="R1" s="589" t="s">
        <v>0</v>
      </c>
      <c r="S1" s="589" t="s">
        <v>412</v>
      </c>
      <c r="T1" s="589" t="s">
        <v>412</v>
      </c>
    </row>
    <row r="2" spans="1:32" ht="15" customHeight="1" x14ac:dyDescent="0.2">
      <c r="A2" s="744"/>
      <c r="B2" s="744"/>
      <c r="C2" s="744"/>
      <c r="D2" s="590" t="s">
        <v>309</v>
      </c>
      <c r="E2" s="590" t="s">
        <v>271</v>
      </c>
      <c r="F2" s="590" t="s">
        <v>672</v>
      </c>
      <c r="G2" s="591" t="s">
        <v>624</v>
      </c>
      <c r="H2" s="96"/>
      <c r="I2" s="744"/>
      <c r="J2" s="744"/>
      <c r="K2" s="744" t="s">
        <v>116</v>
      </c>
      <c r="L2" s="590" t="s">
        <v>413</v>
      </c>
      <c r="M2" s="743"/>
      <c r="O2" s="592" t="s">
        <v>16</v>
      </c>
      <c r="P2" s="592"/>
      <c r="Q2" s="592" t="s">
        <v>337</v>
      </c>
      <c r="R2" s="592" t="s">
        <v>337</v>
      </c>
      <c r="S2" s="592" t="s">
        <v>413</v>
      </c>
      <c r="T2" s="592" t="s">
        <v>413</v>
      </c>
      <c r="V2" s="593" t="str">
        <f>O$1&amp;" "&amp;O2</f>
        <v>Group A</v>
      </c>
      <c r="W2" s="594"/>
      <c r="X2" s="595" t="s">
        <v>311</v>
      </c>
      <c r="Y2" s="595" t="s">
        <v>305</v>
      </c>
      <c r="Z2" s="595" t="s">
        <v>15</v>
      </c>
      <c r="AA2" s="595" t="s">
        <v>306</v>
      </c>
      <c r="AB2" s="595" t="s">
        <v>307</v>
      </c>
      <c r="AC2" s="595" t="s">
        <v>16</v>
      </c>
      <c r="AD2" s="595" t="s">
        <v>308</v>
      </c>
      <c r="AE2" s="595" t="s">
        <v>566</v>
      </c>
      <c r="AF2" s="595" t="s">
        <v>616</v>
      </c>
    </row>
    <row r="3" spans="1:32" ht="15" customHeight="1" x14ac:dyDescent="0.2">
      <c r="A3" s="596">
        <f>_xlfn.RANK.EQ(G3,G$3:G$50)</f>
        <v>13</v>
      </c>
      <c r="B3" s="597" t="s">
        <v>352</v>
      </c>
      <c r="C3" s="121" t="s">
        <v>293</v>
      </c>
      <c r="D3" s="598">
        <f>AF3</f>
        <v>5</v>
      </c>
      <c r="E3" s="122">
        <v>1687</v>
      </c>
      <c r="F3" s="596">
        <v>1E-3</v>
      </c>
      <c r="G3" s="599">
        <f>E3+F3</f>
        <v>1687.001</v>
      </c>
      <c r="I3" s="597" t="str">
        <f t="shared" ref="I3:I34" si="0">VLOOKUP(K3,Lookup07,2,FALSE)</f>
        <v>J1</v>
      </c>
      <c r="J3" s="600" t="str">
        <f t="shared" ref="J3:J34" si="1">VLOOKUP(K3,Lookup07,3,FALSE)</f>
        <v>Argentina</v>
      </c>
      <c r="K3" s="599">
        <v>1</v>
      </c>
      <c r="L3" s="599">
        <f t="shared" ref="L3:L50" si="2">VLOOKUP(K3,Lookup07,4,FALSE)</f>
        <v>0</v>
      </c>
      <c r="M3" s="599" t="str">
        <f>LEFT(I3)</f>
        <v>J</v>
      </c>
      <c r="O3" s="596" t="s">
        <v>537</v>
      </c>
      <c r="P3" s="596" t="str">
        <f>O2&amp;LEFT(O3)&amp;O2&amp;RIGHT(O3)</f>
        <v>A1A2</v>
      </c>
      <c r="Q3" s="596">
        <f t="shared" ref="Q3:Q8" si="3">IFERROR(IF(VLOOKUP(P3,GroupStage,6,FALSE)="","",VLOOKUP(P3,GroupStage,6,FALSE)),"")</f>
        <v>2</v>
      </c>
      <c r="R3" s="596">
        <f t="shared" ref="R3:R8" si="4">IFERROR(IF(VLOOKUP(P3,GroupStage,8,FALSE)="","",VLOOKUP(P3,GroupStage,8,FALSE)),"")</f>
        <v>0</v>
      </c>
      <c r="S3" s="596">
        <f t="shared" ref="S3:S8" si="5">IFERROR(IF(VLOOKUP(P3,GroupStage,6,FALSE)="","",VLOOKUP(P3,Lookup09,9,FALSE)),"")</f>
        <v>5</v>
      </c>
      <c r="T3" s="596">
        <f t="shared" ref="T3:T8" si="6">IFERROR(IF(VLOOKUP(P3,GroupStage,8,FALSE)="","",VLOOKUP(P3,Lookup09,14,FALSE)),"")</f>
        <v>10</v>
      </c>
      <c r="V3" s="600" t="str">
        <f>VLOOKUP(O2&amp;"1",Lookup08,2,FALSE)</f>
        <v>Mexico</v>
      </c>
      <c r="W3" s="601" t="str">
        <f>"Team "&amp;O2&amp;"1"</f>
        <v>Team A1</v>
      </c>
      <c r="X3" s="596">
        <f>SUM(Y3:AA3)</f>
        <v>1</v>
      </c>
      <c r="Y3" s="596">
        <f>COUNTIF(Group_Winners,V3)</f>
        <v>1</v>
      </c>
      <c r="Z3" s="596">
        <f>COUNTIF(Group_Draws,"D"&amp;V3)</f>
        <v>0</v>
      </c>
      <c r="AA3" s="596">
        <f>COUNTIF(Group_Losers,V3)</f>
        <v>0</v>
      </c>
      <c r="AB3" s="596">
        <f>SUM(Q3,Q5,R8)</f>
        <v>2</v>
      </c>
      <c r="AC3" s="596">
        <f>SUM(R3,R5,Q8)</f>
        <v>0</v>
      </c>
      <c r="AD3" s="596">
        <f>AB3-AC3</f>
        <v>2</v>
      </c>
      <c r="AE3" s="596">
        <f>Y3*Wpts+Z3*Dpts+AA3*Lpts</f>
        <v>3</v>
      </c>
      <c r="AF3" s="596">
        <f>SUM(S3,S5,T8)</f>
        <v>5</v>
      </c>
    </row>
    <row r="4" spans="1:32" ht="15" customHeight="1" x14ac:dyDescent="0.2">
      <c r="A4" s="596">
        <f t="shared" ref="A4:A50" si="7">_xlfn.RANK.EQ(G4,G$3:G$50)</f>
        <v>40</v>
      </c>
      <c r="B4" s="597" t="s">
        <v>353</v>
      </c>
      <c r="C4" s="121" t="s">
        <v>443</v>
      </c>
      <c r="D4" s="598">
        <f>AF4</f>
        <v>10</v>
      </c>
      <c r="E4" s="122">
        <v>1428</v>
      </c>
      <c r="F4" s="596">
        <v>2E-3</v>
      </c>
      <c r="G4" s="599">
        <f t="shared" ref="G4:G50" si="8">E4+F4</f>
        <v>1428.002</v>
      </c>
      <c r="I4" s="597" t="str">
        <f t="shared" si="0"/>
        <v>H1</v>
      </c>
      <c r="J4" s="600" t="str">
        <f t="shared" si="1"/>
        <v>Spain</v>
      </c>
      <c r="K4" s="599">
        <v>2</v>
      </c>
      <c r="L4" s="599">
        <f t="shared" si="2"/>
        <v>1</v>
      </c>
      <c r="M4" s="599" t="str">
        <f t="shared" ref="M4:M50" si="9">LEFT(I4)</f>
        <v>H</v>
      </c>
      <c r="O4" s="596" t="s">
        <v>542</v>
      </c>
      <c r="P4" s="596" t="str">
        <f>O2&amp;LEFT(O4)&amp;O2&amp;RIGHT(O4)</f>
        <v>A3A4</v>
      </c>
      <c r="Q4" s="596">
        <f t="shared" si="3"/>
        <v>2</v>
      </c>
      <c r="R4" s="596">
        <f t="shared" si="4"/>
        <v>1</v>
      </c>
      <c r="S4" s="596">
        <f t="shared" si="5"/>
        <v>1</v>
      </c>
      <c r="T4" s="596">
        <f t="shared" si="6"/>
        <v>0</v>
      </c>
      <c r="V4" s="600" t="str">
        <f>VLOOKUP(O2&amp;"2",Lookup08,2,FALSE)</f>
        <v>South Africa</v>
      </c>
      <c r="W4" s="601" t="str">
        <f>"Team "&amp;O2&amp;"2"</f>
        <v>Team A2</v>
      </c>
      <c r="X4" s="596">
        <f>SUM(Y4:AA4)</f>
        <v>1</v>
      </c>
      <c r="Y4" s="596">
        <f>COUNTIF(Group_Winners,V4)</f>
        <v>0</v>
      </c>
      <c r="Z4" s="596">
        <f>COUNTIF(Group_Draws,"D"&amp;V4)</f>
        <v>0</v>
      </c>
      <c r="AA4" s="596">
        <f>COUNTIF(Group_Losers,V4)</f>
        <v>1</v>
      </c>
      <c r="AB4" s="596">
        <f>SUM(R3,R6,Q7)</f>
        <v>0</v>
      </c>
      <c r="AC4" s="596">
        <f>SUM(Q3,Q6,R7)</f>
        <v>2</v>
      </c>
      <c r="AD4" s="596">
        <f>AB4-AC4</f>
        <v>-2</v>
      </c>
      <c r="AE4" s="596">
        <f>Y4*Wpts+Z4*Dpts+AA4*Lpts</f>
        <v>0</v>
      </c>
      <c r="AF4" s="596">
        <f>SUM(T3,T6,S7)</f>
        <v>10</v>
      </c>
    </row>
    <row r="5" spans="1:32" ht="15" customHeight="1" x14ac:dyDescent="0.2">
      <c r="A5" s="596">
        <f t="shared" si="7"/>
        <v>23</v>
      </c>
      <c r="B5" s="597" t="s">
        <v>354</v>
      </c>
      <c r="C5" s="121" t="s">
        <v>451</v>
      </c>
      <c r="D5" s="598">
        <f>AF5</f>
        <v>1</v>
      </c>
      <c r="E5" s="122">
        <v>1592</v>
      </c>
      <c r="F5" s="596">
        <v>3.0000000000000001E-3</v>
      </c>
      <c r="G5" s="599">
        <f t="shared" si="8"/>
        <v>1592.0029999999999</v>
      </c>
      <c r="I5" s="597" t="str">
        <f t="shared" si="0"/>
        <v>I1</v>
      </c>
      <c r="J5" s="600" t="str">
        <f t="shared" si="1"/>
        <v>France</v>
      </c>
      <c r="K5" s="599">
        <v>3</v>
      </c>
      <c r="L5" s="599">
        <f t="shared" si="2"/>
        <v>0</v>
      </c>
      <c r="M5" s="599" t="str">
        <f t="shared" si="9"/>
        <v>I</v>
      </c>
      <c r="O5" s="596" t="s">
        <v>538</v>
      </c>
      <c r="P5" s="596" t="str">
        <f>O2&amp;LEFT(O5)&amp;O2&amp;RIGHT(O5)</f>
        <v>A1A3</v>
      </c>
      <c r="Q5" s="596" t="str">
        <f t="shared" si="3"/>
        <v/>
      </c>
      <c r="R5" s="596" t="str">
        <f t="shared" si="4"/>
        <v/>
      </c>
      <c r="S5" s="596" t="str">
        <f t="shared" si="5"/>
        <v/>
      </c>
      <c r="T5" s="596" t="str">
        <f t="shared" si="6"/>
        <v/>
      </c>
      <c r="V5" s="600" t="str">
        <f>VLOOKUP(O2&amp;"3",Lookup08,2,FALSE)</f>
        <v>Korea Republic</v>
      </c>
      <c r="W5" s="601" t="str">
        <f>"Team "&amp;O2&amp;"3"</f>
        <v>Team A3</v>
      </c>
      <c r="X5" s="596">
        <f>SUM(Y5:AA5)</f>
        <v>1</v>
      </c>
      <c r="Y5" s="596">
        <f>COUNTIF(Group_Winners,V5)</f>
        <v>1</v>
      </c>
      <c r="Z5" s="596">
        <f>COUNTIF(Group_Draws,"D"&amp;V5)</f>
        <v>0</v>
      </c>
      <c r="AA5" s="596">
        <f>COUNTIF(Group_Losers,V5)</f>
        <v>0</v>
      </c>
      <c r="AB5" s="596">
        <f>SUM(Q4,R5,R7)</f>
        <v>2</v>
      </c>
      <c r="AC5" s="596">
        <f>SUM(R4,Q5,Q7)</f>
        <v>1</v>
      </c>
      <c r="AD5" s="596">
        <f>AB5-AC5</f>
        <v>1</v>
      </c>
      <c r="AE5" s="596">
        <f>Y5*Wpts+Z5*Dpts+AA5*Lpts</f>
        <v>3</v>
      </c>
      <c r="AF5" s="596">
        <f>SUM(S4,T5,T7)</f>
        <v>1</v>
      </c>
    </row>
    <row r="6" spans="1:32" ht="15" customHeight="1" x14ac:dyDescent="0.2">
      <c r="A6" s="596">
        <f t="shared" si="7"/>
        <v>32</v>
      </c>
      <c r="B6" s="597" t="s">
        <v>355</v>
      </c>
      <c r="C6" s="121" t="s">
        <v>452</v>
      </c>
      <c r="D6" s="598">
        <f>AF6</f>
        <v>0</v>
      </c>
      <c r="E6" s="122">
        <v>1506</v>
      </c>
      <c r="F6" s="596">
        <v>4.0000000000000001E-3</v>
      </c>
      <c r="G6" s="599">
        <f t="shared" si="8"/>
        <v>1506.0039999999999</v>
      </c>
      <c r="I6" s="597" t="str">
        <f t="shared" si="0"/>
        <v>L1</v>
      </c>
      <c r="J6" s="600" t="str">
        <f t="shared" si="1"/>
        <v>England</v>
      </c>
      <c r="K6" s="599">
        <v>4</v>
      </c>
      <c r="L6" s="599">
        <f t="shared" si="2"/>
        <v>0</v>
      </c>
      <c r="M6" s="599" t="str">
        <f t="shared" si="9"/>
        <v>L</v>
      </c>
      <c r="O6" s="596" t="s">
        <v>541</v>
      </c>
      <c r="P6" s="596" t="str">
        <f>O2&amp;LEFT(O6)&amp;O2&amp;RIGHT(O6)</f>
        <v>A4A2</v>
      </c>
      <c r="Q6" s="596" t="str">
        <f t="shared" si="3"/>
        <v/>
      </c>
      <c r="R6" s="596" t="str">
        <f t="shared" si="4"/>
        <v/>
      </c>
      <c r="S6" s="596" t="str">
        <f t="shared" si="5"/>
        <v/>
      </c>
      <c r="T6" s="596" t="str">
        <f t="shared" si="6"/>
        <v/>
      </c>
      <c r="V6" s="600" t="str">
        <f>VLOOKUP(O2&amp;"4",Lookup08,2,FALSE)</f>
        <v>Czechia</v>
      </c>
      <c r="W6" s="601" t="str">
        <f>"Team "&amp;O2&amp;"4"</f>
        <v>Team A4</v>
      </c>
      <c r="X6" s="596">
        <f>SUM(Y6:AA6)</f>
        <v>1</v>
      </c>
      <c r="Y6" s="596">
        <f>COUNTIF(Group_Winners,V6)</f>
        <v>0</v>
      </c>
      <c r="Z6" s="596">
        <f>COUNTIF(Group_Draws,"D"&amp;V6)</f>
        <v>0</v>
      </c>
      <c r="AA6" s="596">
        <f>COUNTIF(Group_Losers,V6)</f>
        <v>1</v>
      </c>
      <c r="AB6" s="596">
        <f>SUM(R4,Q6,Q8)</f>
        <v>1</v>
      </c>
      <c r="AC6" s="596">
        <f>SUM(Q4,R6,R8)</f>
        <v>2</v>
      </c>
      <c r="AD6" s="596">
        <f>AB6-AC6</f>
        <v>-1</v>
      </c>
      <c r="AE6" s="596">
        <f>Y6*Wpts+Z6*Dpts+AA6*Lpts</f>
        <v>0</v>
      </c>
      <c r="AF6" s="596">
        <f>SUM(T4,S6,S8)</f>
        <v>0</v>
      </c>
    </row>
    <row r="7" spans="1:32" ht="15" customHeight="1" x14ac:dyDescent="0.2">
      <c r="A7" s="596">
        <f t="shared" si="7"/>
        <v>27</v>
      </c>
      <c r="B7" s="597" t="s">
        <v>356</v>
      </c>
      <c r="C7" s="121" t="s">
        <v>399</v>
      </c>
      <c r="D7" s="598">
        <f>AF10</f>
        <v>2</v>
      </c>
      <c r="E7" s="122">
        <v>1559</v>
      </c>
      <c r="F7" s="596">
        <v>5.0000000000000001E-3</v>
      </c>
      <c r="G7" s="599">
        <f t="shared" si="8"/>
        <v>1559.0050000000001</v>
      </c>
      <c r="I7" s="597" t="str">
        <f t="shared" si="0"/>
        <v>K1</v>
      </c>
      <c r="J7" s="600" t="str">
        <f t="shared" si="1"/>
        <v>Portugal</v>
      </c>
      <c r="K7" s="599">
        <v>5</v>
      </c>
      <c r="L7" s="599">
        <f t="shared" si="2"/>
        <v>0</v>
      </c>
      <c r="M7" s="599" t="str">
        <f t="shared" si="9"/>
        <v>K</v>
      </c>
      <c r="O7" s="596" t="s">
        <v>540</v>
      </c>
      <c r="P7" s="596" t="str">
        <f>O2&amp;LEFT(O7)&amp;O2&amp;RIGHT(O7)</f>
        <v>A2A3</v>
      </c>
      <c r="Q7" s="596" t="str">
        <f t="shared" si="3"/>
        <v/>
      </c>
      <c r="R7" s="596" t="str">
        <f t="shared" si="4"/>
        <v/>
      </c>
      <c r="S7" s="596" t="str">
        <f t="shared" si="5"/>
        <v/>
      </c>
      <c r="T7" s="596" t="str">
        <f t="shared" si="6"/>
        <v/>
      </c>
      <c r="AE7" s="98"/>
    </row>
    <row r="8" spans="1:32" ht="15" customHeight="1" x14ac:dyDescent="0.2">
      <c r="A8" s="596">
        <f t="shared" si="7"/>
        <v>43</v>
      </c>
      <c r="B8" s="597" t="s">
        <v>357</v>
      </c>
      <c r="C8" s="121" t="s">
        <v>453</v>
      </c>
      <c r="D8" s="598">
        <f>AF11</f>
        <v>3</v>
      </c>
      <c r="E8" s="122">
        <v>1387</v>
      </c>
      <c r="F8" s="596">
        <v>6.0000000000000001E-3</v>
      </c>
      <c r="G8" s="599">
        <f t="shared" si="8"/>
        <v>1387.0060000000001</v>
      </c>
      <c r="I8" s="597" t="str">
        <f t="shared" si="0"/>
        <v>C1</v>
      </c>
      <c r="J8" s="600" t="str">
        <f t="shared" si="1"/>
        <v>Brazil</v>
      </c>
      <c r="K8" s="599">
        <v>6</v>
      </c>
      <c r="L8" s="599">
        <f t="shared" si="2"/>
        <v>2</v>
      </c>
      <c r="M8" s="599" t="str">
        <f t="shared" si="9"/>
        <v>C</v>
      </c>
      <c r="O8" s="596" t="s">
        <v>539</v>
      </c>
      <c r="P8" s="596" t="str">
        <f>O2&amp;LEFT(O8)&amp;O2&amp;RIGHT(O8)</f>
        <v>A4A1</v>
      </c>
      <c r="Q8" s="596" t="str">
        <f t="shared" si="3"/>
        <v/>
      </c>
      <c r="R8" s="596" t="str">
        <f t="shared" si="4"/>
        <v/>
      </c>
      <c r="S8" s="596" t="str">
        <f t="shared" si="5"/>
        <v/>
      </c>
      <c r="T8" s="596" t="str">
        <f t="shared" si="6"/>
        <v/>
      </c>
      <c r="AE8" s="98"/>
    </row>
    <row r="9" spans="1:32" ht="15" customHeight="1" x14ac:dyDescent="0.2">
      <c r="A9" s="596">
        <f t="shared" si="7"/>
        <v>38</v>
      </c>
      <c r="B9" s="597" t="s">
        <v>358</v>
      </c>
      <c r="C9" s="121" t="s">
        <v>396</v>
      </c>
      <c r="D9" s="598">
        <f>AF12</f>
        <v>2</v>
      </c>
      <c r="E9" s="122">
        <v>1450</v>
      </c>
      <c r="F9" s="596">
        <v>7.0000000000000001E-3</v>
      </c>
      <c r="G9" s="599">
        <f t="shared" si="8"/>
        <v>1450.0070000000001</v>
      </c>
      <c r="I9" s="597" t="str">
        <f t="shared" si="0"/>
        <v>C2</v>
      </c>
      <c r="J9" s="600" t="str">
        <f t="shared" si="1"/>
        <v>Morocco</v>
      </c>
      <c r="K9" s="599">
        <v>7</v>
      </c>
      <c r="L9" s="599">
        <f t="shared" si="2"/>
        <v>0</v>
      </c>
      <c r="M9" s="599" t="str">
        <f t="shared" si="9"/>
        <v>C</v>
      </c>
      <c r="O9" s="592" t="s">
        <v>326</v>
      </c>
      <c r="P9" s="592"/>
      <c r="Q9" s="592" t="s">
        <v>337</v>
      </c>
      <c r="R9" s="592" t="s">
        <v>337</v>
      </c>
      <c r="S9" s="592" t="s">
        <v>413</v>
      </c>
      <c r="T9" s="592" t="s">
        <v>413</v>
      </c>
      <c r="V9" s="593" t="str">
        <f>O$1&amp;" "&amp;O9</f>
        <v>Group B</v>
      </c>
      <c r="W9" s="594"/>
      <c r="X9" s="595" t="s">
        <v>311</v>
      </c>
      <c r="Y9" s="595" t="s">
        <v>305</v>
      </c>
      <c r="Z9" s="595" t="s">
        <v>15</v>
      </c>
      <c r="AA9" s="595" t="s">
        <v>306</v>
      </c>
      <c r="AB9" s="595" t="s">
        <v>307</v>
      </c>
      <c r="AC9" s="595" t="s">
        <v>16</v>
      </c>
      <c r="AD9" s="595" t="s">
        <v>308</v>
      </c>
      <c r="AE9" s="595" t="s">
        <v>566</v>
      </c>
      <c r="AF9" s="595" t="s">
        <v>616</v>
      </c>
    </row>
    <row r="10" spans="1:32" ht="15" customHeight="1" x14ac:dyDescent="0.2">
      <c r="A10" s="596">
        <f t="shared" si="7"/>
        <v>18</v>
      </c>
      <c r="B10" s="597" t="s">
        <v>359</v>
      </c>
      <c r="C10" s="121" t="s">
        <v>289</v>
      </c>
      <c r="D10" s="598">
        <f>AF13</f>
        <v>1</v>
      </c>
      <c r="E10" s="122">
        <v>1650</v>
      </c>
      <c r="F10" s="596">
        <v>8.0000000000000002E-3</v>
      </c>
      <c r="G10" s="599">
        <f t="shared" si="8"/>
        <v>1650.008</v>
      </c>
      <c r="I10" s="597" t="str">
        <f t="shared" si="0"/>
        <v>F1</v>
      </c>
      <c r="J10" s="600" t="str">
        <f t="shared" si="1"/>
        <v>Netherlands</v>
      </c>
      <c r="K10" s="599">
        <v>8</v>
      </c>
      <c r="L10" s="599">
        <f t="shared" si="2"/>
        <v>3</v>
      </c>
      <c r="M10" s="599" t="str">
        <f t="shared" si="9"/>
        <v>F</v>
      </c>
      <c r="O10" s="596" t="s">
        <v>537</v>
      </c>
      <c r="P10" s="596" t="str">
        <f>O9&amp;LEFT(O10)&amp;O9&amp;RIGHT(O10)</f>
        <v>B1B2</v>
      </c>
      <c r="Q10" s="596">
        <f t="shared" ref="Q10:Q15" si="10">IFERROR(IF(VLOOKUP(P10,GroupStage,6,FALSE)="","",VLOOKUP(P10,GroupStage,6,FALSE)),"")</f>
        <v>1</v>
      </c>
      <c r="R10" s="596">
        <f t="shared" ref="R10:R15" si="11">IFERROR(IF(VLOOKUP(P10,GroupStage,8,FALSE)="","",VLOOKUP(P10,GroupStage,8,FALSE)),"")</f>
        <v>1</v>
      </c>
      <c r="S10" s="596">
        <f t="shared" ref="S10:S15" si="12">IFERROR(IF(VLOOKUP(P10,GroupStage,6,FALSE)="","",VLOOKUP(P10,Lookup09,9,FALSE)),"")</f>
        <v>2</v>
      </c>
      <c r="T10" s="596">
        <f t="shared" ref="T10:T15" si="13">IFERROR(IF(VLOOKUP(P10,GroupStage,8,FALSE)="","",VLOOKUP(P10,Lookup09,14,FALSE)),"")</f>
        <v>3</v>
      </c>
      <c r="V10" s="600" t="str">
        <f>VLOOKUP(O9&amp;"1",Lookup08,2,FALSE)</f>
        <v>Canada</v>
      </c>
      <c r="W10" s="601" t="str">
        <f>"Team "&amp;O9&amp;"1"</f>
        <v>Team B1</v>
      </c>
      <c r="X10" s="596">
        <f>SUM(Y10:AA10)</f>
        <v>1</v>
      </c>
      <c r="Y10" s="596">
        <f>COUNTIF(Group_Winners,V10)</f>
        <v>0</v>
      </c>
      <c r="Z10" s="596">
        <f>COUNTIF(Group_Draws,"D"&amp;V10)</f>
        <v>1</v>
      </c>
      <c r="AA10" s="596">
        <f>COUNTIF(Group_Losers,V10)</f>
        <v>0</v>
      </c>
      <c r="AB10" s="596">
        <f>SUM(Q10,Q12,R15)</f>
        <v>1</v>
      </c>
      <c r="AC10" s="596">
        <f>SUM(R10,R12,Q15)</f>
        <v>1</v>
      </c>
      <c r="AD10" s="596">
        <f>AB10-AC10</f>
        <v>0</v>
      </c>
      <c r="AE10" s="596">
        <f>Y10*Wpts+Z10*Dpts+AA10*Lpts</f>
        <v>1</v>
      </c>
      <c r="AF10" s="596">
        <f>SUM(S10,S12,T15)</f>
        <v>2</v>
      </c>
    </row>
    <row r="11" spans="1:32" ht="15" customHeight="1" x14ac:dyDescent="0.2">
      <c r="A11" s="596">
        <f t="shared" si="7"/>
        <v>6</v>
      </c>
      <c r="B11" s="597" t="s">
        <v>360</v>
      </c>
      <c r="C11" s="121" t="s">
        <v>275</v>
      </c>
      <c r="D11" s="598">
        <f>AF17</f>
        <v>2</v>
      </c>
      <c r="E11" s="122">
        <v>1766</v>
      </c>
      <c r="F11" s="596">
        <v>9.0000000000000011E-3</v>
      </c>
      <c r="G11" s="599">
        <f t="shared" si="8"/>
        <v>1766.009</v>
      </c>
      <c r="I11" s="597" t="str">
        <f t="shared" si="0"/>
        <v>G1</v>
      </c>
      <c r="J11" s="600" t="str">
        <f t="shared" si="1"/>
        <v>Belgium</v>
      </c>
      <c r="K11" s="599">
        <v>9</v>
      </c>
      <c r="L11" s="599">
        <f t="shared" si="2"/>
        <v>2</v>
      </c>
      <c r="M11" s="599" t="str">
        <f t="shared" si="9"/>
        <v>G</v>
      </c>
      <c r="O11" s="596" t="s">
        <v>542</v>
      </c>
      <c r="P11" s="596" t="str">
        <f>O9&amp;LEFT(O11)&amp;O9&amp;RIGHT(O11)</f>
        <v>B3B4</v>
      </c>
      <c r="Q11" s="596">
        <f t="shared" si="10"/>
        <v>1</v>
      </c>
      <c r="R11" s="596">
        <f t="shared" si="11"/>
        <v>1</v>
      </c>
      <c r="S11" s="596">
        <f t="shared" si="12"/>
        <v>2</v>
      </c>
      <c r="T11" s="596">
        <f t="shared" si="13"/>
        <v>1</v>
      </c>
      <c r="V11" s="600" t="str">
        <f>VLOOKUP(O9&amp;"2",Lookup08,2,FALSE)</f>
        <v>Bosnia-Herzegovina</v>
      </c>
      <c r="W11" s="601" t="str">
        <f>"Team "&amp;O9&amp;"2"</f>
        <v>Team B2</v>
      </c>
      <c r="X11" s="596">
        <f>SUM(Y11:AA11)</f>
        <v>1</v>
      </c>
      <c r="Y11" s="596">
        <f>COUNTIF(Group_Winners,V11)</f>
        <v>0</v>
      </c>
      <c r="Z11" s="596">
        <f>COUNTIF(Group_Draws,"D"&amp;V11)</f>
        <v>1</v>
      </c>
      <c r="AA11" s="596">
        <f>COUNTIF(Group_Losers,V11)</f>
        <v>0</v>
      </c>
      <c r="AB11" s="596">
        <f>SUM(R10,R13,Q14)</f>
        <v>1</v>
      </c>
      <c r="AC11" s="596">
        <f>SUM(Q10,Q13,R14)</f>
        <v>1</v>
      </c>
      <c r="AD11" s="596">
        <f>AB11-AC11</f>
        <v>0</v>
      </c>
      <c r="AE11" s="596">
        <f>Y11*Wpts+Z11*Dpts+AA11*Lpts</f>
        <v>1</v>
      </c>
      <c r="AF11" s="596">
        <f>SUM(T10,T13,S14)</f>
        <v>3</v>
      </c>
    </row>
    <row r="12" spans="1:32" ht="15" customHeight="1" x14ac:dyDescent="0.2">
      <c r="A12" s="596">
        <f t="shared" si="7"/>
        <v>7</v>
      </c>
      <c r="B12" s="597" t="s">
        <v>361</v>
      </c>
      <c r="C12" s="121" t="s">
        <v>285</v>
      </c>
      <c r="D12" s="598">
        <f>AF18</f>
        <v>0</v>
      </c>
      <c r="E12" s="122">
        <v>1755</v>
      </c>
      <c r="F12" s="596">
        <v>1.0000000000000002E-2</v>
      </c>
      <c r="G12" s="599">
        <f t="shared" si="8"/>
        <v>1755.01</v>
      </c>
      <c r="I12" s="597" t="str">
        <f t="shared" si="0"/>
        <v>E1</v>
      </c>
      <c r="J12" s="600" t="str">
        <f t="shared" si="1"/>
        <v>Germany</v>
      </c>
      <c r="K12" s="599">
        <v>10</v>
      </c>
      <c r="L12" s="599">
        <f t="shared" si="2"/>
        <v>0</v>
      </c>
      <c r="M12" s="599" t="str">
        <f t="shared" si="9"/>
        <v>E</v>
      </c>
      <c r="O12" s="596" t="s">
        <v>538</v>
      </c>
      <c r="P12" s="596" t="str">
        <f>O9&amp;LEFT(O12)&amp;O9&amp;RIGHT(O12)</f>
        <v>B1B3</v>
      </c>
      <c r="Q12" s="596" t="str">
        <f t="shared" si="10"/>
        <v/>
      </c>
      <c r="R12" s="596" t="str">
        <f t="shared" si="11"/>
        <v/>
      </c>
      <c r="S12" s="596" t="str">
        <f t="shared" si="12"/>
        <v/>
      </c>
      <c r="T12" s="596" t="str">
        <f t="shared" si="13"/>
        <v/>
      </c>
      <c r="V12" s="600" t="str">
        <f>VLOOKUP(O9&amp;"3",Lookup08,2,FALSE)</f>
        <v>Qatar</v>
      </c>
      <c r="W12" s="601" t="str">
        <f>"Team "&amp;O9&amp;"3"</f>
        <v>Team B3</v>
      </c>
      <c r="X12" s="596">
        <f>SUM(Y12:AA12)</f>
        <v>1</v>
      </c>
      <c r="Y12" s="596">
        <f>COUNTIF(Group_Winners,V12)</f>
        <v>0</v>
      </c>
      <c r="Z12" s="596">
        <f>COUNTIF(Group_Draws,"D"&amp;V12)</f>
        <v>1</v>
      </c>
      <c r="AA12" s="596">
        <f>COUNTIF(Group_Losers,V12)</f>
        <v>0</v>
      </c>
      <c r="AB12" s="596">
        <f>SUM(Q11,R12,R14)</f>
        <v>1</v>
      </c>
      <c r="AC12" s="596">
        <f>SUM(R11,Q12,Q14)</f>
        <v>1</v>
      </c>
      <c r="AD12" s="596">
        <f>AB12-AC12</f>
        <v>0</v>
      </c>
      <c r="AE12" s="596">
        <f>Y12*Wpts+Z12*Dpts+AA12*Lpts</f>
        <v>1</v>
      </c>
      <c r="AF12" s="596">
        <f>SUM(S11,T12,T14)</f>
        <v>2</v>
      </c>
    </row>
    <row r="13" spans="1:32" ht="15" customHeight="1" x14ac:dyDescent="0.2">
      <c r="A13" s="596">
        <f t="shared" si="7"/>
        <v>47</v>
      </c>
      <c r="B13" s="597" t="s">
        <v>362</v>
      </c>
      <c r="C13" s="121" t="s">
        <v>444</v>
      </c>
      <c r="D13" s="598">
        <f>AF19</f>
        <v>1</v>
      </c>
      <c r="E13" s="122">
        <v>1293</v>
      </c>
      <c r="F13" s="596">
        <v>1.1000000000000003E-2</v>
      </c>
      <c r="G13" s="599">
        <f t="shared" si="8"/>
        <v>1293.011</v>
      </c>
      <c r="I13" s="597" t="str">
        <f t="shared" si="0"/>
        <v>L2</v>
      </c>
      <c r="J13" s="600" t="str">
        <f t="shared" si="1"/>
        <v>Croatia</v>
      </c>
      <c r="K13" s="599">
        <v>11</v>
      </c>
      <c r="L13" s="599">
        <f t="shared" si="2"/>
        <v>0</v>
      </c>
      <c r="M13" s="599" t="str">
        <f t="shared" si="9"/>
        <v>L</v>
      </c>
      <c r="O13" s="596" t="s">
        <v>541</v>
      </c>
      <c r="P13" s="596" t="str">
        <f>O9&amp;LEFT(O13)&amp;O9&amp;RIGHT(O13)</f>
        <v>B4B2</v>
      </c>
      <c r="Q13" s="596" t="str">
        <f t="shared" si="10"/>
        <v/>
      </c>
      <c r="R13" s="596" t="str">
        <f t="shared" si="11"/>
        <v/>
      </c>
      <c r="S13" s="596" t="str">
        <f t="shared" si="12"/>
        <v/>
      </c>
      <c r="T13" s="596" t="str">
        <f t="shared" si="13"/>
        <v/>
      </c>
      <c r="V13" s="600" t="str">
        <f>VLOOKUP(O9&amp;"4",Lookup08,2,FALSE)</f>
        <v>Switzerland</v>
      </c>
      <c r="W13" s="601" t="str">
        <f>"Team "&amp;O9&amp;"4"</f>
        <v>Team B4</v>
      </c>
      <c r="X13" s="596">
        <f>SUM(Y13:AA13)</f>
        <v>1</v>
      </c>
      <c r="Y13" s="596">
        <f>COUNTIF(Group_Winners,V13)</f>
        <v>0</v>
      </c>
      <c r="Z13" s="596">
        <f>COUNTIF(Group_Draws,"D"&amp;V13)</f>
        <v>1</v>
      </c>
      <c r="AA13" s="596">
        <f>COUNTIF(Group_Losers,V13)</f>
        <v>0</v>
      </c>
      <c r="AB13" s="596">
        <f>SUM(R11,Q13,Q15)</f>
        <v>1</v>
      </c>
      <c r="AC13" s="596">
        <f>SUM(Q11,R13,R15)</f>
        <v>1</v>
      </c>
      <c r="AD13" s="596">
        <f>AB13-AC13</f>
        <v>0</v>
      </c>
      <c r="AE13" s="596">
        <f>Y13*Wpts+Z13*Dpts+AA13*Lpts</f>
        <v>1</v>
      </c>
      <c r="AF13" s="596">
        <f>SUM(T11,S13,S15)</f>
        <v>1</v>
      </c>
    </row>
    <row r="14" spans="1:32" ht="15" customHeight="1" x14ac:dyDescent="0.2">
      <c r="A14" s="596">
        <f t="shared" si="7"/>
        <v>34</v>
      </c>
      <c r="B14" s="597" t="s">
        <v>363</v>
      </c>
      <c r="C14" s="121" t="s">
        <v>445</v>
      </c>
      <c r="D14" s="598">
        <f>AF20</f>
        <v>3</v>
      </c>
      <c r="E14" s="122">
        <v>1503</v>
      </c>
      <c r="F14" s="596">
        <v>1.2000000000000004E-2</v>
      </c>
      <c r="G14" s="599">
        <f t="shared" si="8"/>
        <v>1503.0119999999999</v>
      </c>
      <c r="I14" s="597" t="str">
        <f t="shared" si="0"/>
        <v>K4</v>
      </c>
      <c r="J14" s="600" t="str">
        <f t="shared" si="1"/>
        <v>Colombia</v>
      </c>
      <c r="K14" s="599">
        <v>12</v>
      </c>
      <c r="L14" s="599">
        <f t="shared" si="2"/>
        <v>0</v>
      </c>
      <c r="M14" s="599" t="str">
        <f t="shared" si="9"/>
        <v>K</v>
      </c>
      <c r="O14" s="596" t="s">
        <v>540</v>
      </c>
      <c r="P14" s="596" t="str">
        <f>O9&amp;LEFT(O14)&amp;O9&amp;RIGHT(O14)</f>
        <v>B2B3</v>
      </c>
      <c r="Q14" s="596" t="str">
        <f t="shared" si="10"/>
        <v/>
      </c>
      <c r="R14" s="596" t="str">
        <f t="shared" si="11"/>
        <v/>
      </c>
      <c r="S14" s="596" t="str">
        <f t="shared" si="12"/>
        <v/>
      </c>
      <c r="T14" s="596" t="str">
        <f t="shared" si="13"/>
        <v/>
      </c>
      <c r="AE14" s="98"/>
    </row>
    <row r="15" spans="1:32" ht="15" customHeight="1" x14ac:dyDescent="0.2">
      <c r="A15" s="596">
        <f t="shared" si="7"/>
        <v>16</v>
      </c>
      <c r="B15" s="597" t="s">
        <v>364</v>
      </c>
      <c r="C15" s="121" t="s">
        <v>398</v>
      </c>
      <c r="D15" s="598">
        <f>AF24</f>
        <v>1</v>
      </c>
      <c r="E15" s="122">
        <v>1671</v>
      </c>
      <c r="F15" s="596">
        <v>1.3000000000000005E-2</v>
      </c>
      <c r="G15" s="599">
        <f t="shared" si="8"/>
        <v>1671.0129999999999</v>
      </c>
      <c r="I15" s="597" t="str">
        <f t="shared" si="0"/>
        <v>A1</v>
      </c>
      <c r="J15" s="600" t="str">
        <f t="shared" si="1"/>
        <v>Mexico</v>
      </c>
      <c r="K15" s="599">
        <v>13</v>
      </c>
      <c r="L15" s="599">
        <f t="shared" si="2"/>
        <v>5</v>
      </c>
      <c r="M15" s="599" t="str">
        <f t="shared" si="9"/>
        <v>A</v>
      </c>
      <c r="O15" s="596" t="s">
        <v>539</v>
      </c>
      <c r="P15" s="596" t="str">
        <f>O9&amp;LEFT(O15)&amp;O9&amp;RIGHT(O15)</f>
        <v>B4B1</v>
      </c>
      <c r="Q15" s="596" t="str">
        <f t="shared" si="10"/>
        <v/>
      </c>
      <c r="R15" s="596" t="str">
        <f t="shared" si="11"/>
        <v/>
      </c>
      <c r="S15" s="596" t="str">
        <f t="shared" si="12"/>
        <v/>
      </c>
      <c r="T15" s="596" t="str">
        <f t="shared" si="13"/>
        <v/>
      </c>
      <c r="AE15" s="98"/>
    </row>
    <row r="16" spans="1:32" ht="15" customHeight="1" x14ac:dyDescent="0.2">
      <c r="A16" s="596">
        <f t="shared" si="7"/>
        <v>33</v>
      </c>
      <c r="B16" s="597" t="s">
        <v>365</v>
      </c>
      <c r="C16" s="121" t="s">
        <v>446</v>
      </c>
      <c r="D16" s="598">
        <f>AF25</f>
        <v>5</v>
      </c>
      <c r="E16" s="122">
        <v>1505</v>
      </c>
      <c r="F16" s="596">
        <v>1.4000000000000005E-2</v>
      </c>
      <c r="G16" s="599">
        <f t="shared" si="8"/>
        <v>1505.0139999999999</v>
      </c>
      <c r="I16" s="597" t="str">
        <f t="shared" si="0"/>
        <v>I2</v>
      </c>
      <c r="J16" s="600" t="str">
        <f t="shared" si="1"/>
        <v>Senegal</v>
      </c>
      <c r="K16" s="599">
        <v>14</v>
      </c>
      <c r="L16" s="599">
        <f t="shared" si="2"/>
        <v>0</v>
      </c>
      <c r="M16" s="599" t="str">
        <f t="shared" si="9"/>
        <v>I</v>
      </c>
      <c r="O16" s="592" t="s">
        <v>328</v>
      </c>
      <c r="P16" s="592"/>
      <c r="Q16" s="592" t="s">
        <v>337</v>
      </c>
      <c r="R16" s="592" t="s">
        <v>337</v>
      </c>
      <c r="S16" s="592" t="s">
        <v>413</v>
      </c>
      <c r="T16" s="592" t="s">
        <v>413</v>
      </c>
      <c r="V16" s="593" t="str">
        <f>O$1&amp;" "&amp;O16</f>
        <v>Group C</v>
      </c>
      <c r="W16" s="594"/>
      <c r="X16" s="595" t="s">
        <v>311</v>
      </c>
      <c r="Y16" s="595" t="s">
        <v>305</v>
      </c>
      <c r="Z16" s="595" t="s">
        <v>15</v>
      </c>
      <c r="AA16" s="595" t="s">
        <v>306</v>
      </c>
      <c r="AB16" s="595" t="s">
        <v>307</v>
      </c>
      <c r="AC16" s="595" t="s">
        <v>16</v>
      </c>
      <c r="AD16" s="595" t="s">
        <v>308</v>
      </c>
      <c r="AE16" s="595" t="s">
        <v>566</v>
      </c>
      <c r="AF16" s="595" t="s">
        <v>616</v>
      </c>
    </row>
    <row r="17" spans="1:32" ht="15" customHeight="1" x14ac:dyDescent="0.2">
      <c r="A17" s="596">
        <f t="shared" si="7"/>
        <v>24</v>
      </c>
      <c r="B17" s="597" t="s">
        <v>366</v>
      </c>
      <c r="C17" s="121" t="s">
        <v>276</v>
      </c>
      <c r="D17" s="598">
        <f>AF26</f>
        <v>0</v>
      </c>
      <c r="E17" s="122">
        <v>1579</v>
      </c>
      <c r="F17" s="596">
        <v>1.5000000000000006E-2</v>
      </c>
      <c r="G17" s="599">
        <f t="shared" si="8"/>
        <v>1579.0150000000001</v>
      </c>
      <c r="I17" s="597" t="str">
        <f t="shared" si="0"/>
        <v>H4</v>
      </c>
      <c r="J17" s="600" t="str">
        <f t="shared" si="1"/>
        <v>Uruguay</v>
      </c>
      <c r="K17" s="599">
        <v>15</v>
      </c>
      <c r="L17" s="599">
        <f t="shared" si="2"/>
        <v>0</v>
      </c>
      <c r="M17" s="599" t="str">
        <f t="shared" si="9"/>
        <v>H</v>
      </c>
      <c r="O17" s="596" t="s">
        <v>537</v>
      </c>
      <c r="P17" s="596" t="str">
        <f>O16&amp;LEFT(O17)&amp;O16&amp;RIGHT(O17)</f>
        <v>C1C2</v>
      </c>
      <c r="Q17" s="596">
        <f t="shared" ref="Q17:Q22" si="14">IFERROR(IF(VLOOKUP(P17,GroupStage,6,FALSE)="","",VLOOKUP(P17,GroupStage,6,FALSE)),"")</f>
        <v>1</v>
      </c>
      <c r="R17" s="596">
        <f t="shared" ref="R17:R22" si="15">IFERROR(IF(VLOOKUP(P17,GroupStage,8,FALSE)="","",VLOOKUP(P17,GroupStage,8,FALSE)),"")</f>
        <v>1</v>
      </c>
      <c r="S17" s="596">
        <f t="shared" ref="S17:S22" si="16">IFERROR(IF(VLOOKUP(P17,GroupStage,6,FALSE)="","",VLOOKUP(P17,Lookup09,9,FALSE)),"")</f>
        <v>2</v>
      </c>
      <c r="T17" s="596">
        <f t="shared" ref="T17:T22" si="17">IFERROR(IF(VLOOKUP(P17,GroupStage,8,FALSE)="","",VLOOKUP(P17,Lookup09,14,FALSE)),"")</f>
        <v>0</v>
      </c>
      <c r="V17" s="600" t="str">
        <f>VLOOKUP(O16&amp;"1",Lookup08,2,FALSE)</f>
        <v>Brazil</v>
      </c>
      <c r="W17" s="601" t="str">
        <f>"Team "&amp;O16&amp;"1"</f>
        <v>Team C1</v>
      </c>
      <c r="X17" s="596">
        <f>SUM(Y17:AA17)</f>
        <v>1</v>
      </c>
      <c r="Y17" s="596">
        <f>COUNTIF(Group_Winners,V17)</f>
        <v>0</v>
      </c>
      <c r="Z17" s="596">
        <f>COUNTIF(Group_Draws,"D"&amp;V17)</f>
        <v>1</v>
      </c>
      <c r="AA17" s="596">
        <f>COUNTIF(Group_Losers,V17)</f>
        <v>0</v>
      </c>
      <c r="AB17" s="596">
        <f>SUM(Q17,Q19,R22)</f>
        <v>1</v>
      </c>
      <c r="AC17" s="596">
        <f>SUM(R17,R19,Q22)</f>
        <v>1</v>
      </c>
      <c r="AD17" s="596">
        <f>AB17-AC17</f>
        <v>0</v>
      </c>
      <c r="AE17" s="596">
        <f>Y17*Wpts+Z17*Dpts+AA17*Lpts</f>
        <v>1</v>
      </c>
      <c r="AF17" s="596">
        <f>SUM(S17,S19,T22)</f>
        <v>2</v>
      </c>
    </row>
    <row r="18" spans="1:32" ht="15" customHeight="1" x14ac:dyDescent="0.2">
      <c r="A18" s="596">
        <f t="shared" si="7"/>
        <v>20</v>
      </c>
      <c r="B18" s="597" t="s">
        <v>367</v>
      </c>
      <c r="C18" s="121" t="s">
        <v>454</v>
      </c>
      <c r="D18" s="598">
        <f>AF27</f>
        <v>1</v>
      </c>
      <c r="E18" s="122">
        <v>1606</v>
      </c>
      <c r="F18" s="596">
        <v>1.6000000000000007E-2</v>
      </c>
      <c r="G18" s="599">
        <f t="shared" si="8"/>
        <v>1606.0160000000001</v>
      </c>
      <c r="I18" s="597" t="str">
        <f t="shared" si="0"/>
        <v>D1</v>
      </c>
      <c r="J18" s="600" t="str">
        <f t="shared" si="1"/>
        <v>USA</v>
      </c>
      <c r="K18" s="599">
        <v>16</v>
      </c>
      <c r="L18" s="599">
        <f t="shared" si="2"/>
        <v>1</v>
      </c>
      <c r="M18" s="599" t="str">
        <f t="shared" si="9"/>
        <v>D</v>
      </c>
      <c r="O18" s="596" t="s">
        <v>542</v>
      </c>
      <c r="P18" s="596" t="str">
        <f>O16&amp;LEFT(O18)&amp;O16&amp;RIGHT(O18)</f>
        <v>C3C4</v>
      </c>
      <c r="Q18" s="596">
        <f t="shared" si="14"/>
        <v>0</v>
      </c>
      <c r="R18" s="596">
        <f t="shared" si="15"/>
        <v>1</v>
      </c>
      <c r="S18" s="596">
        <f t="shared" si="16"/>
        <v>1</v>
      </c>
      <c r="T18" s="596">
        <f t="shared" si="17"/>
        <v>3</v>
      </c>
      <c r="V18" s="600" t="str">
        <f>VLOOKUP(O16&amp;"2",Lookup08,2,FALSE)</f>
        <v>Morocco</v>
      </c>
      <c r="W18" s="601" t="str">
        <f>"Team "&amp;O16&amp;"2"</f>
        <v>Team C2</v>
      </c>
      <c r="X18" s="596">
        <f>SUM(Y18:AA18)</f>
        <v>1</v>
      </c>
      <c r="Y18" s="596">
        <f>COUNTIF(Group_Winners,V18)</f>
        <v>0</v>
      </c>
      <c r="Z18" s="596">
        <f>COUNTIF(Group_Draws,"D"&amp;V18)</f>
        <v>1</v>
      </c>
      <c r="AA18" s="596">
        <f>COUNTIF(Group_Losers,V18)</f>
        <v>0</v>
      </c>
      <c r="AB18" s="596">
        <f>SUM(R17,R20,Q21)</f>
        <v>1</v>
      </c>
      <c r="AC18" s="596">
        <f>SUM(Q17,Q20,R21)</f>
        <v>1</v>
      </c>
      <c r="AD18" s="596">
        <f>AB18-AC18</f>
        <v>0</v>
      </c>
      <c r="AE18" s="596">
        <f>Y18*Wpts+Z18*Dpts+AA18*Lpts</f>
        <v>1</v>
      </c>
      <c r="AF18" s="596">
        <f>SUM(T17,T20,S21)</f>
        <v>0</v>
      </c>
    </row>
    <row r="19" spans="1:32" ht="15" customHeight="1" x14ac:dyDescent="0.2">
      <c r="A19" s="596">
        <f t="shared" si="7"/>
        <v>10</v>
      </c>
      <c r="B19" s="597" t="s">
        <v>368</v>
      </c>
      <c r="C19" s="121" t="s">
        <v>272</v>
      </c>
      <c r="D19" s="598">
        <f>AF31</f>
        <v>0</v>
      </c>
      <c r="E19" s="122">
        <v>1736</v>
      </c>
      <c r="F19" s="596">
        <v>1.7000000000000008E-2</v>
      </c>
      <c r="G19" s="599">
        <f t="shared" si="8"/>
        <v>1736.0170000000001</v>
      </c>
      <c r="I19" s="597" t="str">
        <f t="shared" si="0"/>
        <v>F2</v>
      </c>
      <c r="J19" s="600" t="str">
        <f t="shared" si="1"/>
        <v>Japan</v>
      </c>
      <c r="K19" s="599">
        <v>17</v>
      </c>
      <c r="L19" s="599">
        <f t="shared" si="2"/>
        <v>0</v>
      </c>
      <c r="M19" s="599" t="str">
        <f t="shared" si="9"/>
        <v>F</v>
      </c>
      <c r="O19" s="596" t="s">
        <v>538</v>
      </c>
      <c r="P19" s="596" t="str">
        <f>O16&amp;LEFT(O19)&amp;O16&amp;RIGHT(O19)</f>
        <v>C1C3</v>
      </c>
      <c r="Q19" s="596" t="str">
        <f t="shared" si="14"/>
        <v/>
      </c>
      <c r="R19" s="596" t="str">
        <f t="shared" si="15"/>
        <v/>
      </c>
      <c r="S19" s="596" t="str">
        <f t="shared" si="16"/>
        <v/>
      </c>
      <c r="T19" s="596" t="str">
        <f t="shared" si="17"/>
        <v/>
      </c>
      <c r="V19" s="600" t="str">
        <f>VLOOKUP(O16&amp;"3",Lookup08,2,FALSE)</f>
        <v>Haiti</v>
      </c>
      <c r="W19" s="601" t="str">
        <f>"Team "&amp;O16&amp;"3"</f>
        <v>Team C3</v>
      </c>
      <c r="X19" s="596">
        <f>SUM(Y19:AA19)</f>
        <v>1</v>
      </c>
      <c r="Y19" s="596">
        <f>COUNTIF(Group_Winners,V19)</f>
        <v>0</v>
      </c>
      <c r="Z19" s="596">
        <f>COUNTIF(Group_Draws,"D"&amp;V19)</f>
        <v>0</v>
      </c>
      <c r="AA19" s="596">
        <f>COUNTIF(Group_Losers,V19)</f>
        <v>1</v>
      </c>
      <c r="AB19" s="596">
        <f>SUM(Q18,R19,R21)</f>
        <v>0</v>
      </c>
      <c r="AC19" s="596">
        <f>SUM(R18,Q19,Q21)</f>
        <v>1</v>
      </c>
      <c r="AD19" s="596">
        <f>AB19-AC19</f>
        <v>-1</v>
      </c>
      <c r="AE19" s="596">
        <f>Y19*Wpts+Z19*Dpts+AA19*Lpts</f>
        <v>0</v>
      </c>
      <c r="AF19" s="596">
        <f>SUM(S18,T19,T21)</f>
        <v>1</v>
      </c>
    </row>
    <row r="20" spans="1:32" ht="15" customHeight="1" x14ac:dyDescent="0.2">
      <c r="A20" s="596">
        <f t="shared" si="7"/>
        <v>46</v>
      </c>
      <c r="B20" s="597" t="s">
        <v>369</v>
      </c>
      <c r="C20" s="121" t="s">
        <v>620</v>
      </c>
      <c r="D20" s="598">
        <f>AF32</f>
        <v>0</v>
      </c>
      <c r="E20" s="122">
        <v>1295</v>
      </c>
      <c r="F20" s="596">
        <v>1.8000000000000009E-2</v>
      </c>
      <c r="G20" s="599">
        <f t="shared" si="8"/>
        <v>1295.018</v>
      </c>
      <c r="I20" s="597" t="str">
        <f t="shared" si="0"/>
        <v>B4</v>
      </c>
      <c r="J20" s="600" t="str">
        <f t="shared" si="1"/>
        <v>Switzerland</v>
      </c>
      <c r="K20" s="599">
        <v>18</v>
      </c>
      <c r="L20" s="599">
        <f t="shared" si="2"/>
        <v>1</v>
      </c>
      <c r="M20" s="599" t="str">
        <f t="shared" si="9"/>
        <v>B</v>
      </c>
      <c r="O20" s="596" t="s">
        <v>541</v>
      </c>
      <c r="P20" s="596" t="str">
        <f>O16&amp;LEFT(O20)&amp;O16&amp;RIGHT(O20)</f>
        <v>C4C2</v>
      </c>
      <c r="Q20" s="596" t="str">
        <f t="shared" si="14"/>
        <v/>
      </c>
      <c r="R20" s="596" t="str">
        <f t="shared" si="15"/>
        <v/>
      </c>
      <c r="S20" s="596" t="str">
        <f t="shared" si="16"/>
        <v/>
      </c>
      <c r="T20" s="596" t="str">
        <f t="shared" si="17"/>
        <v/>
      </c>
      <c r="V20" s="600" t="str">
        <f>VLOOKUP(O16&amp;"4",Lookup08,2,FALSE)</f>
        <v>Scotland</v>
      </c>
      <c r="W20" s="601" t="str">
        <f>"Team "&amp;O16&amp;"4"</f>
        <v>Team C4</v>
      </c>
      <c r="X20" s="596">
        <f>SUM(Y20:AA20)</f>
        <v>1</v>
      </c>
      <c r="Y20" s="596">
        <f>COUNTIF(Group_Winners,V20)</f>
        <v>1</v>
      </c>
      <c r="Z20" s="596">
        <f>COUNTIF(Group_Draws,"D"&amp;V20)</f>
        <v>0</v>
      </c>
      <c r="AA20" s="596">
        <f>COUNTIF(Group_Losers,V20)</f>
        <v>0</v>
      </c>
      <c r="AB20" s="596">
        <f>SUM(R18,Q20,Q22)</f>
        <v>1</v>
      </c>
      <c r="AC20" s="596">
        <f>SUM(Q18,R20,R22)</f>
        <v>0</v>
      </c>
      <c r="AD20" s="596">
        <f>AB20-AC20</f>
        <v>1</v>
      </c>
      <c r="AE20" s="596">
        <f>Y20*Wpts+Z20*Dpts+AA20*Lpts</f>
        <v>3</v>
      </c>
      <c r="AF20" s="596">
        <f>SUM(T18,S20,S22)</f>
        <v>3</v>
      </c>
    </row>
    <row r="21" spans="1:32" ht="15" customHeight="1" x14ac:dyDescent="0.2">
      <c r="A21" s="596">
        <f t="shared" si="7"/>
        <v>29</v>
      </c>
      <c r="B21" s="597" t="s">
        <v>370</v>
      </c>
      <c r="C21" s="121" t="s">
        <v>455</v>
      </c>
      <c r="D21" s="598">
        <f>AF33</f>
        <v>3</v>
      </c>
      <c r="E21" s="122">
        <v>1541</v>
      </c>
      <c r="F21" s="596">
        <v>1.900000000000001E-2</v>
      </c>
      <c r="G21" s="599">
        <f t="shared" si="8"/>
        <v>1541.019</v>
      </c>
      <c r="I21" s="597" t="str">
        <f t="shared" si="0"/>
        <v>G3</v>
      </c>
      <c r="J21" s="600" t="str">
        <f t="shared" si="1"/>
        <v>IR Iran</v>
      </c>
      <c r="K21" s="599">
        <v>19</v>
      </c>
      <c r="L21" s="599">
        <f t="shared" si="2"/>
        <v>1</v>
      </c>
      <c r="M21" s="599" t="str">
        <f t="shared" si="9"/>
        <v>G</v>
      </c>
      <c r="O21" s="596" t="s">
        <v>540</v>
      </c>
      <c r="P21" s="596" t="str">
        <f>O16&amp;LEFT(O21)&amp;O16&amp;RIGHT(O21)</f>
        <v>C2C3</v>
      </c>
      <c r="Q21" s="596" t="str">
        <f t="shared" si="14"/>
        <v/>
      </c>
      <c r="R21" s="596" t="str">
        <f t="shared" si="15"/>
        <v/>
      </c>
      <c r="S21" s="596" t="str">
        <f t="shared" si="16"/>
        <v/>
      </c>
      <c r="T21" s="596" t="str">
        <f t="shared" si="17"/>
        <v/>
      </c>
      <c r="AE21" s="98"/>
    </row>
    <row r="22" spans="1:32" ht="15" customHeight="1" x14ac:dyDescent="0.2">
      <c r="A22" s="596">
        <f t="shared" si="7"/>
        <v>21</v>
      </c>
      <c r="B22" s="597" t="s">
        <v>371</v>
      </c>
      <c r="C22" s="121" t="s">
        <v>617</v>
      </c>
      <c r="D22" s="598">
        <f>AF34</f>
        <v>1</v>
      </c>
      <c r="E22" s="122">
        <v>1599</v>
      </c>
      <c r="F22" s="596">
        <v>2.0000000000000011E-2</v>
      </c>
      <c r="G22" s="599">
        <f t="shared" si="8"/>
        <v>1599.02</v>
      </c>
      <c r="I22" s="597" t="str">
        <f t="shared" si="0"/>
        <v>D4</v>
      </c>
      <c r="J22" s="600" t="str">
        <f t="shared" si="1"/>
        <v>Turkiye</v>
      </c>
      <c r="K22" s="599">
        <v>20</v>
      </c>
      <c r="L22" s="599">
        <f t="shared" si="2"/>
        <v>1</v>
      </c>
      <c r="M22" s="599" t="str">
        <f t="shared" si="9"/>
        <v>D</v>
      </c>
      <c r="O22" s="596" t="s">
        <v>539</v>
      </c>
      <c r="P22" s="596" t="str">
        <f>O16&amp;LEFT(O22)&amp;O16&amp;RIGHT(O22)</f>
        <v>C4C1</v>
      </c>
      <c r="Q22" s="596" t="str">
        <f t="shared" si="14"/>
        <v/>
      </c>
      <c r="R22" s="596" t="str">
        <f t="shared" si="15"/>
        <v/>
      </c>
      <c r="S22" s="596" t="str">
        <f t="shared" si="16"/>
        <v/>
      </c>
      <c r="T22" s="596" t="str">
        <f t="shared" si="17"/>
        <v/>
      </c>
      <c r="AE22" s="98"/>
    </row>
    <row r="23" spans="1:32" ht="15" customHeight="1" x14ac:dyDescent="0.2">
      <c r="A23" s="596">
        <f t="shared" si="7"/>
        <v>8</v>
      </c>
      <c r="B23" s="597" t="s">
        <v>372</v>
      </c>
      <c r="C23" s="121" t="s">
        <v>397</v>
      </c>
      <c r="D23" s="598">
        <f>AF38</f>
        <v>3</v>
      </c>
      <c r="E23" s="122">
        <v>1754</v>
      </c>
      <c r="F23" s="596">
        <v>2.1000000000000012E-2</v>
      </c>
      <c r="G23" s="599">
        <f t="shared" si="8"/>
        <v>1754.021</v>
      </c>
      <c r="I23" s="597" t="str">
        <f t="shared" si="0"/>
        <v>E4</v>
      </c>
      <c r="J23" s="600" t="str">
        <f t="shared" si="1"/>
        <v>Ecuador</v>
      </c>
      <c r="K23" s="599">
        <v>21</v>
      </c>
      <c r="L23" s="599">
        <f t="shared" si="2"/>
        <v>1</v>
      </c>
      <c r="M23" s="599" t="str">
        <f t="shared" si="9"/>
        <v>E</v>
      </c>
      <c r="O23" s="592" t="s">
        <v>15</v>
      </c>
      <c r="P23" s="592"/>
      <c r="Q23" s="592" t="s">
        <v>337</v>
      </c>
      <c r="R23" s="592" t="s">
        <v>337</v>
      </c>
      <c r="S23" s="592" t="s">
        <v>413</v>
      </c>
      <c r="T23" s="592" t="s">
        <v>413</v>
      </c>
      <c r="V23" s="593" t="str">
        <f>O$1&amp;" "&amp;O23</f>
        <v>Group D</v>
      </c>
      <c r="W23" s="594"/>
      <c r="X23" s="595" t="s">
        <v>311</v>
      </c>
      <c r="Y23" s="595" t="s">
        <v>305</v>
      </c>
      <c r="Z23" s="595" t="s">
        <v>15</v>
      </c>
      <c r="AA23" s="595" t="s">
        <v>306</v>
      </c>
      <c r="AB23" s="595" t="s">
        <v>307</v>
      </c>
      <c r="AC23" s="595" t="s">
        <v>16</v>
      </c>
      <c r="AD23" s="595" t="s">
        <v>308</v>
      </c>
      <c r="AE23" s="595" t="s">
        <v>566</v>
      </c>
      <c r="AF23" s="595" t="s">
        <v>616</v>
      </c>
    </row>
    <row r="24" spans="1:32" ht="15" customHeight="1" x14ac:dyDescent="0.2">
      <c r="A24" s="596">
        <f t="shared" si="7"/>
        <v>17</v>
      </c>
      <c r="B24" s="597" t="s">
        <v>373</v>
      </c>
      <c r="C24" s="121" t="s">
        <v>296</v>
      </c>
      <c r="D24" s="598">
        <f>AF39</f>
        <v>0</v>
      </c>
      <c r="E24" s="122">
        <v>1662</v>
      </c>
      <c r="F24" s="596">
        <v>2.2000000000000013E-2</v>
      </c>
      <c r="G24" s="599">
        <f t="shared" si="8"/>
        <v>1662.0219999999999</v>
      </c>
      <c r="I24" s="597" t="str">
        <f t="shared" si="0"/>
        <v>J3</v>
      </c>
      <c r="J24" s="600" t="str">
        <f t="shared" si="1"/>
        <v>Austria</v>
      </c>
      <c r="K24" s="599">
        <v>22</v>
      </c>
      <c r="L24" s="599">
        <f t="shared" si="2"/>
        <v>0</v>
      </c>
      <c r="M24" s="599" t="str">
        <f t="shared" si="9"/>
        <v>J</v>
      </c>
      <c r="O24" s="596" t="s">
        <v>537</v>
      </c>
      <c r="P24" s="596" t="str">
        <f>O23&amp;LEFT(O24)&amp;O23&amp;RIGHT(O24)</f>
        <v>D1D2</v>
      </c>
      <c r="Q24" s="596">
        <f t="shared" ref="Q24:Q29" si="18">IFERROR(IF(VLOOKUP(P24,GroupStage,6,FALSE)="","",VLOOKUP(P24,GroupStage,6,FALSE)),"")</f>
        <v>4</v>
      </c>
      <c r="R24" s="596">
        <f t="shared" ref="R24:R29" si="19">IFERROR(IF(VLOOKUP(P24,GroupStage,8,FALSE)="","",VLOOKUP(P24,GroupStage,8,FALSE)),"")</f>
        <v>1</v>
      </c>
      <c r="S24" s="596">
        <f t="shared" ref="S24:S29" si="20">IFERROR(IF(VLOOKUP(P24,GroupStage,6,FALSE)="","",VLOOKUP(P24,Lookup09,9,FALSE)),"")</f>
        <v>1</v>
      </c>
      <c r="T24" s="596">
        <f t="shared" ref="T24:T29" si="21">IFERROR(IF(VLOOKUP(P24,GroupStage,8,FALSE)="","",VLOOKUP(P24,Lookup09,14,FALSE)),"")</f>
        <v>5</v>
      </c>
      <c r="V24" s="600" t="str">
        <f>VLOOKUP(O23&amp;"1",Lookup08,2,FALSE)</f>
        <v>USA</v>
      </c>
      <c r="W24" s="601" t="str">
        <f>"Team "&amp;O23&amp;"1"</f>
        <v>Team D1</v>
      </c>
      <c r="X24" s="596">
        <f>SUM(Y24:AA24)</f>
        <v>1</v>
      </c>
      <c r="Y24" s="596">
        <f>COUNTIF(Group_Winners,V24)</f>
        <v>1</v>
      </c>
      <c r="Z24" s="596">
        <f>COUNTIF(Group_Draws,"D"&amp;V24)</f>
        <v>0</v>
      </c>
      <c r="AA24" s="596">
        <f>COUNTIF(Group_Losers,V24)</f>
        <v>0</v>
      </c>
      <c r="AB24" s="596">
        <f>SUM(Q24,Q26,R29)</f>
        <v>4</v>
      </c>
      <c r="AC24" s="596">
        <f>SUM(R24,R26,Q29)</f>
        <v>1</v>
      </c>
      <c r="AD24" s="596">
        <f>AB24-AC24</f>
        <v>3</v>
      </c>
      <c r="AE24" s="596">
        <f>Y24*Wpts+Z24*Dpts+AA24*Lpts</f>
        <v>3</v>
      </c>
      <c r="AF24" s="596">
        <f>SUM(S24,S26,T29)</f>
        <v>1</v>
      </c>
    </row>
    <row r="25" spans="1:32" ht="15" customHeight="1" x14ac:dyDescent="0.2">
      <c r="A25" s="596">
        <f t="shared" si="7"/>
        <v>31</v>
      </c>
      <c r="B25" s="597" t="s">
        <v>374</v>
      </c>
      <c r="C25" s="121" t="s">
        <v>456</v>
      </c>
      <c r="D25" s="598">
        <f>AF40</f>
        <v>0</v>
      </c>
      <c r="E25" s="122">
        <v>1510</v>
      </c>
      <c r="F25" s="596">
        <v>2.3000000000000013E-2</v>
      </c>
      <c r="G25" s="599">
        <f t="shared" si="8"/>
        <v>1510.0229999999999</v>
      </c>
      <c r="I25" s="597" t="str">
        <f t="shared" si="0"/>
        <v>A3</v>
      </c>
      <c r="J25" s="600" t="str">
        <f t="shared" si="1"/>
        <v>Korea Republic</v>
      </c>
      <c r="K25" s="599">
        <v>23</v>
      </c>
      <c r="L25" s="599">
        <f t="shared" si="2"/>
        <v>1</v>
      </c>
      <c r="M25" s="599" t="str">
        <f t="shared" si="9"/>
        <v>A</v>
      </c>
      <c r="O25" s="596" t="s">
        <v>542</v>
      </c>
      <c r="P25" s="596" t="str">
        <f>O23&amp;LEFT(O25)&amp;O23&amp;RIGHT(O25)</f>
        <v>D3D4</v>
      </c>
      <c r="Q25" s="596">
        <f t="shared" si="18"/>
        <v>2</v>
      </c>
      <c r="R25" s="596">
        <f t="shared" si="19"/>
        <v>0</v>
      </c>
      <c r="S25" s="596">
        <f t="shared" si="20"/>
        <v>0</v>
      </c>
      <c r="T25" s="596">
        <f t="shared" si="21"/>
        <v>1</v>
      </c>
      <c r="V25" s="600" t="str">
        <f>VLOOKUP(O23&amp;"2",Lookup08,2,FALSE)</f>
        <v>Paraguay</v>
      </c>
      <c r="W25" s="601" t="str">
        <f>"Team "&amp;O23&amp;"2"</f>
        <v>Team D2</v>
      </c>
      <c r="X25" s="596">
        <f>SUM(Y25:AA25)</f>
        <v>1</v>
      </c>
      <c r="Y25" s="596">
        <f>COUNTIF(Group_Winners,V25)</f>
        <v>0</v>
      </c>
      <c r="Z25" s="596">
        <f>COUNTIF(Group_Draws,"D"&amp;V25)</f>
        <v>0</v>
      </c>
      <c r="AA25" s="596">
        <f>COUNTIF(Group_Losers,V25)</f>
        <v>1</v>
      </c>
      <c r="AB25" s="596">
        <f>SUM(R24,R27,Q28)</f>
        <v>1</v>
      </c>
      <c r="AC25" s="596">
        <f>SUM(Q24,Q27,R28)</f>
        <v>4</v>
      </c>
      <c r="AD25" s="596">
        <f>AB25-AC25</f>
        <v>-3</v>
      </c>
      <c r="AE25" s="596">
        <f>Y25*Wpts+Z25*Dpts+AA25*Lpts</f>
        <v>0</v>
      </c>
      <c r="AF25" s="596">
        <f>SUM(T24,T27,S28)</f>
        <v>5</v>
      </c>
    </row>
    <row r="26" spans="1:32" ht="15" customHeight="1" x14ac:dyDescent="0.2">
      <c r="A26" s="596">
        <f t="shared" si="7"/>
        <v>35</v>
      </c>
      <c r="B26" s="597" t="s">
        <v>375</v>
      </c>
      <c r="C26" s="121" t="s">
        <v>297</v>
      </c>
      <c r="D26" s="598">
        <f>AF41</f>
        <v>1</v>
      </c>
      <c r="E26" s="122">
        <v>1476</v>
      </c>
      <c r="F26" s="596">
        <v>2.4000000000000014E-2</v>
      </c>
      <c r="G26" s="599">
        <f t="shared" si="8"/>
        <v>1476.0239999999999</v>
      </c>
      <c r="I26" s="597" t="str">
        <f t="shared" si="0"/>
        <v>D3</v>
      </c>
      <c r="J26" s="600" t="str">
        <f t="shared" si="1"/>
        <v>Australia</v>
      </c>
      <c r="K26" s="599">
        <v>24</v>
      </c>
      <c r="L26" s="599">
        <f t="shared" si="2"/>
        <v>0</v>
      </c>
      <c r="M26" s="599" t="str">
        <f t="shared" si="9"/>
        <v>D</v>
      </c>
      <c r="O26" s="596" t="s">
        <v>538</v>
      </c>
      <c r="P26" s="596" t="str">
        <f>O23&amp;LEFT(O26)&amp;O23&amp;RIGHT(O26)</f>
        <v>D1D3</v>
      </c>
      <c r="Q26" s="596" t="str">
        <f t="shared" si="18"/>
        <v/>
      </c>
      <c r="R26" s="596" t="str">
        <f t="shared" si="19"/>
        <v/>
      </c>
      <c r="S26" s="596" t="str">
        <f t="shared" si="20"/>
        <v/>
      </c>
      <c r="T26" s="596" t="str">
        <f t="shared" si="21"/>
        <v/>
      </c>
      <c r="V26" s="600" t="str">
        <f>VLOOKUP(O23&amp;"3",Lookup08,2,FALSE)</f>
        <v>Australia</v>
      </c>
      <c r="W26" s="601" t="str">
        <f>"Team "&amp;O23&amp;"3"</f>
        <v>Team D3</v>
      </c>
      <c r="X26" s="596">
        <f>SUM(Y26:AA26)</f>
        <v>1</v>
      </c>
      <c r="Y26" s="596">
        <f>COUNTIF(Group_Winners,V26)</f>
        <v>1</v>
      </c>
      <c r="Z26" s="596">
        <f>COUNTIF(Group_Draws,"D"&amp;V26)</f>
        <v>0</v>
      </c>
      <c r="AA26" s="596">
        <f>COUNTIF(Group_Losers,V26)</f>
        <v>0</v>
      </c>
      <c r="AB26" s="596">
        <f>SUM(Q25,R26,R28)</f>
        <v>2</v>
      </c>
      <c r="AC26" s="596">
        <f>SUM(R25,Q26,Q28)</f>
        <v>0</v>
      </c>
      <c r="AD26" s="596">
        <f>AB26-AC26</f>
        <v>2</v>
      </c>
      <c r="AE26" s="596">
        <f>Y26*Wpts+Z26*Dpts+AA26*Lpts</f>
        <v>3</v>
      </c>
      <c r="AF26" s="596">
        <f>SUM(S25,T26,T28)</f>
        <v>0</v>
      </c>
    </row>
    <row r="27" spans="1:32" ht="15" customHeight="1" x14ac:dyDescent="0.2">
      <c r="A27" s="596">
        <f t="shared" si="7"/>
        <v>9</v>
      </c>
      <c r="B27" s="597" t="s">
        <v>376</v>
      </c>
      <c r="C27" s="121" t="s">
        <v>278</v>
      </c>
      <c r="D27" s="598">
        <f>AF45</f>
        <v>2</v>
      </c>
      <c r="E27" s="122">
        <v>1742</v>
      </c>
      <c r="F27" s="596">
        <v>2.5000000000000015E-2</v>
      </c>
      <c r="G27" s="599">
        <f t="shared" si="8"/>
        <v>1742.0250000000001</v>
      </c>
      <c r="I27" s="597" t="str">
        <f t="shared" si="0"/>
        <v>J2</v>
      </c>
      <c r="J27" s="600" t="str">
        <f t="shared" si="1"/>
        <v>Algeria</v>
      </c>
      <c r="K27" s="599">
        <v>25</v>
      </c>
      <c r="L27" s="599">
        <f t="shared" si="2"/>
        <v>0</v>
      </c>
      <c r="M27" s="599" t="str">
        <f t="shared" si="9"/>
        <v>J</v>
      </c>
      <c r="O27" s="596" t="s">
        <v>541</v>
      </c>
      <c r="P27" s="596" t="str">
        <f>O23&amp;LEFT(O27)&amp;O23&amp;RIGHT(O27)</f>
        <v>D4D2</v>
      </c>
      <c r="Q27" s="596" t="str">
        <f t="shared" si="18"/>
        <v/>
      </c>
      <c r="R27" s="596" t="str">
        <f t="shared" si="19"/>
        <v/>
      </c>
      <c r="S27" s="596" t="str">
        <f t="shared" si="20"/>
        <v/>
      </c>
      <c r="T27" s="596" t="str">
        <f t="shared" si="21"/>
        <v/>
      </c>
      <c r="V27" s="600" t="str">
        <f>VLOOKUP(O23&amp;"4",Lookup08,2,FALSE)</f>
        <v>Turkiye</v>
      </c>
      <c r="W27" s="601" t="str">
        <f>"Team "&amp;O23&amp;"4"</f>
        <v>Team D4</v>
      </c>
      <c r="X27" s="596">
        <f>SUM(Y27:AA27)</f>
        <v>1</v>
      </c>
      <c r="Y27" s="596">
        <f>COUNTIF(Group_Winners,V27)</f>
        <v>0</v>
      </c>
      <c r="Z27" s="596">
        <f>COUNTIF(Group_Draws,"D"&amp;V27)</f>
        <v>0</v>
      </c>
      <c r="AA27" s="596">
        <f>COUNTIF(Group_Losers,V27)</f>
        <v>1</v>
      </c>
      <c r="AB27" s="596">
        <f>SUM(R25,Q27,Q29)</f>
        <v>0</v>
      </c>
      <c r="AC27" s="596">
        <f>SUM(Q25,R27,R29)</f>
        <v>2</v>
      </c>
      <c r="AD27" s="596">
        <f>AB27-AC27</f>
        <v>-2</v>
      </c>
      <c r="AE27" s="596">
        <f>Y27*Wpts+Z27*Dpts+AA27*Lpts</f>
        <v>0</v>
      </c>
      <c r="AF27" s="596">
        <f>SUM(T25,S27,S29)</f>
        <v>1</v>
      </c>
    </row>
    <row r="28" spans="1:32" ht="15" customHeight="1" x14ac:dyDescent="0.2">
      <c r="A28" s="596">
        <f t="shared" si="7"/>
        <v>26</v>
      </c>
      <c r="B28" s="597" t="s">
        <v>377</v>
      </c>
      <c r="C28" s="121" t="s">
        <v>447</v>
      </c>
      <c r="D28" s="598">
        <f>AF46</f>
        <v>2</v>
      </c>
      <c r="E28" s="122">
        <v>1562</v>
      </c>
      <c r="F28" s="596">
        <v>2.6000000000000016E-2</v>
      </c>
      <c r="G28" s="599">
        <f t="shared" si="8"/>
        <v>1562.0260000000001</v>
      </c>
      <c r="I28" s="597" t="str">
        <f t="shared" si="0"/>
        <v>G2</v>
      </c>
      <c r="J28" s="600" t="str">
        <f t="shared" si="1"/>
        <v>Egypt</v>
      </c>
      <c r="K28" s="599">
        <v>26</v>
      </c>
      <c r="L28" s="599">
        <f t="shared" si="2"/>
        <v>2</v>
      </c>
      <c r="M28" s="599" t="str">
        <f t="shared" si="9"/>
        <v>G</v>
      </c>
      <c r="O28" s="596" t="s">
        <v>540</v>
      </c>
      <c r="P28" s="596" t="str">
        <f>O23&amp;LEFT(O28)&amp;O23&amp;RIGHT(O28)</f>
        <v>D2D3</v>
      </c>
      <c r="Q28" s="596" t="str">
        <f t="shared" si="18"/>
        <v/>
      </c>
      <c r="R28" s="596" t="str">
        <f t="shared" si="19"/>
        <v/>
      </c>
      <c r="S28" s="596" t="str">
        <f t="shared" si="20"/>
        <v/>
      </c>
      <c r="T28" s="596" t="str">
        <f t="shared" si="21"/>
        <v/>
      </c>
      <c r="AE28" s="98"/>
    </row>
    <row r="29" spans="1:32" ht="15" customHeight="1" x14ac:dyDescent="0.2">
      <c r="A29" s="596">
        <f t="shared" si="7"/>
        <v>19</v>
      </c>
      <c r="B29" s="597" t="s">
        <v>378</v>
      </c>
      <c r="C29" s="121" t="s">
        <v>457</v>
      </c>
      <c r="D29" s="598">
        <f>AF47</f>
        <v>1</v>
      </c>
      <c r="E29" s="122">
        <v>1620</v>
      </c>
      <c r="F29" s="596">
        <v>2.7000000000000017E-2</v>
      </c>
      <c r="G29" s="599">
        <f t="shared" si="8"/>
        <v>1620.027</v>
      </c>
      <c r="I29" s="597" t="str">
        <f t="shared" si="0"/>
        <v>B1</v>
      </c>
      <c r="J29" s="600" t="str">
        <f t="shared" si="1"/>
        <v>Canada</v>
      </c>
      <c r="K29" s="599">
        <v>27</v>
      </c>
      <c r="L29" s="599">
        <f t="shared" si="2"/>
        <v>2</v>
      </c>
      <c r="M29" s="599" t="str">
        <f t="shared" si="9"/>
        <v>B</v>
      </c>
      <c r="O29" s="596" t="s">
        <v>539</v>
      </c>
      <c r="P29" s="596" t="str">
        <f>O23&amp;LEFT(O29)&amp;O23&amp;RIGHT(O29)</f>
        <v>D4D1</v>
      </c>
      <c r="Q29" s="596" t="str">
        <f t="shared" si="18"/>
        <v/>
      </c>
      <c r="R29" s="596" t="str">
        <f t="shared" si="19"/>
        <v/>
      </c>
      <c r="S29" s="596" t="str">
        <f t="shared" si="20"/>
        <v/>
      </c>
      <c r="T29" s="596" t="str">
        <f t="shared" si="21"/>
        <v/>
      </c>
      <c r="AE29" s="98"/>
    </row>
    <row r="30" spans="1:32" ht="15" customHeight="1" x14ac:dyDescent="0.2">
      <c r="A30" s="596">
        <f t="shared" si="7"/>
        <v>48</v>
      </c>
      <c r="B30" s="597" t="s">
        <v>379</v>
      </c>
      <c r="C30" s="121" t="s">
        <v>448</v>
      </c>
      <c r="D30" s="598">
        <f>AF48</f>
        <v>0</v>
      </c>
      <c r="E30" s="122">
        <v>1276</v>
      </c>
      <c r="F30" s="596">
        <v>2.8000000000000018E-2</v>
      </c>
      <c r="G30" s="599">
        <f t="shared" si="8"/>
        <v>1276.028</v>
      </c>
      <c r="I30" s="597" t="str">
        <f t="shared" si="0"/>
        <v>I4</v>
      </c>
      <c r="J30" s="600" t="str">
        <f t="shared" si="1"/>
        <v>Norway</v>
      </c>
      <c r="K30" s="599">
        <v>28</v>
      </c>
      <c r="L30" s="599">
        <f t="shared" si="2"/>
        <v>0</v>
      </c>
      <c r="M30" s="599" t="str">
        <f t="shared" si="9"/>
        <v>I</v>
      </c>
      <c r="O30" s="592" t="s">
        <v>329</v>
      </c>
      <c r="P30" s="592"/>
      <c r="Q30" s="592" t="s">
        <v>337</v>
      </c>
      <c r="R30" s="592" t="s">
        <v>337</v>
      </c>
      <c r="S30" s="592" t="s">
        <v>413</v>
      </c>
      <c r="T30" s="592" t="s">
        <v>413</v>
      </c>
      <c r="V30" s="593" t="str">
        <f>O$1&amp;" "&amp;O30</f>
        <v>Group E</v>
      </c>
      <c r="W30" s="594"/>
      <c r="X30" s="595" t="s">
        <v>311</v>
      </c>
      <c r="Y30" s="595" t="s">
        <v>305</v>
      </c>
      <c r="Z30" s="595" t="s">
        <v>15</v>
      </c>
      <c r="AA30" s="595" t="s">
        <v>306</v>
      </c>
      <c r="AB30" s="595" t="s">
        <v>307</v>
      </c>
      <c r="AC30" s="595" t="s">
        <v>16</v>
      </c>
      <c r="AD30" s="595" t="s">
        <v>308</v>
      </c>
      <c r="AE30" s="595" t="s">
        <v>566</v>
      </c>
      <c r="AF30" s="595" t="s">
        <v>616</v>
      </c>
    </row>
    <row r="31" spans="1:32" ht="15" customHeight="1" x14ac:dyDescent="0.2">
      <c r="A31" s="596">
        <f t="shared" si="7"/>
        <v>2</v>
      </c>
      <c r="B31" s="597" t="s">
        <v>380</v>
      </c>
      <c r="C31" s="121" t="s">
        <v>283</v>
      </c>
      <c r="D31" s="598">
        <f>AF52</f>
        <v>1</v>
      </c>
      <c r="E31" s="122">
        <v>1875</v>
      </c>
      <c r="F31" s="596">
        <v>2.9000000000000019E-2</v>
      </c>
      <c r="G31" s="599">
        <f t="shared" si="8"/>
        <v>1875.029</v>
      </c>
      <c r="I31" s="597" t="str">
        <f t="shared" si="0"/>
        <v>E3</v>
      </c>
      <c r="J31" s="600" t="str">
        <f t="shared" si="1"/>
        <v>Cote d'Ivorie</v>
      </c>
      <c r="K31" s="599">
        <v>29</v>
      </c>
      <c r="L31" s="599">
        <f t="shared" si="2"/>
        <v>3</v>
      </c>
      <c r="M31" s="599" t="str">
        <f t="shared" si="9"/>
        <v>E</v>
      </c>
      <c r="O31" s="596" t="s">
        <v>537</v>
      </c>
      <c r="P31" s="596" t="str">
        <f>O30&amp;LEFT(O31)&amp;O30&amp;RIGHT(O31)</f>
        <v>E1E2</v>
      </c>
      <c r="Q31" s="596">
        <f t="shared" ref="Q31:Q36" si="22">IFERROR(IF(VLOOKUP(P31,GroupStage,6,FALSE)="","",VLOOKUP(P31,GroupStage,6,FALSE)),"")</f>
        <v>7</v>
      </c>
      <c r="R31" s="596">
        <f t="shared" ref="R31:R36" si="23">IFERROR(IF(VLOOKUP(P31,GroupStage,8,FALSE)="","",VLOOKUP(P31,GroupStage,8,FALSE)),"")</f>
        <v>1</v>
      </c>
      <c r="S31" s="596">
        <f t="shared" ref="S31:S36" si="24">IFERROR(IF(VLOOKUP(P31,GroupStage,6,FALSE)="","",VLOOKUP(P31,Lookup09,9,FALSE)),"")</f>
        <v>0</v>
      </c>
      <c r="T31" s="596">
        <f t="shared" ref="T31:T36" si="25">IFERROR(IF(VLOOKUP(P31,GroupStage,8,FALSE)="","",VLOOKUP(P31,Lookup09,14,FALSE)),"")</f>
        <v>0</v>
      </c>
      <c r="V31" s="600" t="str">
        <f>VLOOKUP(O30&amp;"1",Lookup08,2,FALSE)</f>
        <v>Germany</v>
      </c>
      <c r="W31" s="601" t="str">
        <f>"Team "&amp;O30&amp;"1"</f>
        <v>Team E1</v>
      </c>
      <c r="X31" s="596">
        <f>SUM(Y31:AA31)</f>
        <v>1</v>
      </c>
      <c r="Y31" s="596">
        <f>COUNTIF(Group_Winners,V31)</f>
        <v>1</v>
      </c>
      <c r="Z31" s="596">
        <f>COUNTIF(Group_Draws,"D"&amp;V31)</f>
        <v>0</v>
      </c>
      <c r="AA31" s="596">
        <f>COUNTIF(Group_Losers,V31)</f>
        <v>0</v>
      </c>
      <c r="AB31" s="596">
        <f>SUM(Q31,Q33,R36)</f>
        <v>7</v>
      </c>
      <c r="AC31" s="596">
        <f>SUM(R31,R33,Q36)</f>
        <v>1</v>
      </c>
      <c r="AD31" s="596">
        <f>AB31-AC31</f>
        <v>6</v>
      </c>
      <c r="AE31" s="596">
        <f>Y31*Wpts+Z31*Dpts+AA31*Lpts</f>
        <v>3</v>
      </c>
      <c r="AF31" s="596">
        <f>SUM(S31,S33,T36)</f>
        <v>0</v>
      </c>
    </row>
    <row r="32" spans="1:32" ht="15" customHeight="1" x14ac:dyDescent="0.2">
      <c r="A32" s="596">
        <f t="shared" si="7"/>
        <v>44</v>
      </c>
      <c r="B32" s="597" t="s">
        <v>381</v>
      </c>
      <c r="C32" s="121" t="s">
        <v>449</v>
      </c>
      <c r="D32" s="598">
        <f>AF53</f>
        <v>1</v>
      </c>
      <c r="E32" s="122">
        <v>1371</v>
      </c>
      <c r="F32" s="596">
        <v>3.000000000000002E-2</v>
      </c>
      <c r="G32" s="599">
        <f t="shared" si="8"/>
        <v>1371.03</v>
      </c>
      <c r="I32" s="597" t="str">
        <f t="shared" si="0"/>
        <v>L4</v>
      </c>
      <c r="J32" s="600" t="str">
        <f t="shared" si="1"/>
        <v>Panama</v>
      </c>
      <c r="K32" s="599">
        <v>30</v>
      </c>
      <c r="L32" s="599">
        <f t="shared" si="2"/>
        <v>0</v>
      </c>
      <c r="M32" s="599" t="str">
        <f t="shared" si="9"/>
        <v>L</v>
      </c>
      <c r="O32" s="596" t="s">
        <v>542</v>
      </c>
      <c r="P32" s="596" t="str">
        <f>O30&amp;LEFT(O32)&amp;O30&amp;RIGHT(O32)</f>
        <v>E3E4</v>
      </c>
      <c r="Q32" s="596">
        <f t="shared" si="22"/>
        <v>1</v>
      </c>
      <c r="R32" s="596">
        <f t="shared" si="23"/>
        <v>0</v>
      </c>
      <c r="S32" s="596">
        <f t="shared" si="24"/>
        <v>3</v>
      </c>
      <c r="T32" s="596">
        <f t="shared" si="25"/>
        <v>1</v>
      </c>
      <c r="V32" s="600" t="str">
        <f>VLOOKUP(O30&amp;"2",Lookup08,2,FALSE)</f>
        <v>Curaçao</v>
      </c>
      <c r="W32" s="601" t="str">
        <f>"Team "&amp;O30&amp;"2"</f>
        <v>Team E2</v>
      </c>
      <c r="X32" s="596">
        <f>SUM(Y32:AA32)</f>
        <v>1</v>
      </c>
      <c r="Y32" s="596">
        <f>COUNTIF(Group_Winners,V32)</f>
        <v>0</v>
      </c>
      <c r="Z32" s="596">
        <f>COUNTIF(Group_Draws,"D"&amp;V32)</f>
        <v>0</v>
      </c>
      <c r="AA32" s="596">
        <f>COUNTIF(Group_Losers,V32)</f>
        <v>1</v>
      </c>
      <c r="AB32" s="596">
        <f>SUM(R31,R34,Q35)</f>
        <v>1</v>
      </c>
      <c r="AC32" s="596">
        <f>SUM(Q31,Q34,R35)</f>
        <v>7</v>
      </c>
      <c r="AD32" s="596">
        <f>AB32-AC32</f>
        <v>-6</v>
      </c>
      <c r="AE32" s="596">
        <f>Y32*Wpts+Z32*Dpts+AA32*Lpts</f>
        <v>0</v>
      </c>
      <c r="AF32" s="596">
        <f>SUM(T31,T34,S35)</f>
        <v>0</v>
      </c>
    </row>
    <row r="33" spans="1:32" ht="15" customHeight="1" x14ac:dyDescent="0.2">
      <c r="A33" s="596">
        <f t="shared" si="7"/>
        <v>41</v>
      </c>
      <c r="B33" s="597" t="s">
        <v>382</v>
      </c>
      <c r="C33" s="121" t="s">
        <v>274</v>
      </c>
      <c r="D33" s="598">
        <f>AF54</f>
        <v>1</v>
      </c>
      <c r="E33" s="122">
        <v>1424</v>
      </c>
      <c r="F33" s="596">
        <v>3.1000000000000021E-2</v>
      </c>
      <c r="G33" s="599">
        <f t="shared" si="8"/>
        <v>1424.0309999999999</v>
      </c>
      <c r="I33" s="597" t="str">
        <f t="shared" si="0"/>
        <v>F3</v>
      </c>
      <c r="J33" s="600" t="str">
        <f t="shared" si="1"/>
        <v>Sweden</v>
      </c>
      <c r="K33" s="599">
        <v>31</v>
      </c>
      <c r="L33" s="599">
        <f t="shared" si="2"/>
        <v>0</v>
      </c>
      <c r="M33" s="599" t="str">
        <f t="shared" si="9"/>
        <v>F</v>
      </c>
      <c r="O33" s="596" t="s">
        <v>538</v>
      </c>
      <c r="P33" s="596" t="str">
        <f>O30&amp;LEFT(O33)&amp;O30&amp;RIGHT(O33)</f>
        <v>E1E3</v>
      </c>
      <c r="Q33" s="596" t="str">
        <f t="shared" si="22"/>
        <v/>
      </c>
      <c r="R33" s="596" t="str">
        <f t="shared" si="23"/>
        <v/>
      </c>
      <c r="S33" s="596" t="str">
        <f t="shared" si="24"/>
        <v/>
      </c>
      <c r="T33" s="596" t="str">
        <f t="shared" si="25"/>
        <v/>
      </c>
      <c r="V33" s="600" t="str">
        <f>VLOOKUP(O30&amp;"3",Lookup08,2,FALSE)</f>
        <v>Cote d'Ivorie</v>
      </c>
      <c r="W33" s="601" t="str">
        <f>"Team "&amp;O30&amp;"3"</f>
        <v>Team E3</v>
      </c>
      <c r="X33" s="596">
        <f>SUM(Y33:AA33)</f>
        <v>1</v>
      </c>
      <c r="Y33" s="596">
        <f>COUNTIF(Group_Winners,V33)</f>
        <v>1</v>
      </c>
      <c r="Z33" s="596">
        <f>COUNTIF(Group_Draws,"D"&amp;V33)</f>
        <v>0</v>
      </c>
      <c r="AA33" s="596">
        <f>COUNTIF(Group_Losers,V33)</f>
        <v>0</v>
      </c>
      <c r="AB33" s="596">
        <f>SUM(Q32,R33,R35)</f>
        <v>1</v>
      </c>
      <c r="AC33" s="596">
        <f>SUM(R32,Q33,Q35)</f>
        <v>0</v>
      </c>
      <c r="AD33" s="596">
        <f>AB33-AC33</f>
        <v>1</v>
      </c>
      <c r="AE33" s="596">
        <f>Y33*Wpts+Z33*Dpts+AA33*Lpts</f>
        <v>3</v>
      </c>
      <c r="AF33" s="596">
        <f>SUM(S32,T33,T35)</f>
        <v>3</v>
      </c>
    </row>
    <row r="34" spans="1:32" ht="15" customHeight="1" x14ac:dyDescent="0.2">
      <c r="A34" s="596">
        <f t="shared" si="7"/>
        <v>15</v>
      </c>
      <c r="B34" s="597" t="s">
        <v>383</v>
      </c>
      <c r="C34" s="121" t="s">
        <v>280</v>
      </c>
      <c r="D34" s="598">
        <f>AF55</f>
        <v>0</v>
      </c>
      <c r="E34" s="122">
        <v>1673</v>
      </c>
      <c r="F34" s="596">
        <v>3.2000000000000021E-2</v>
      </c>
      <c r="G34" s="599">
        <f t="shared" si="8"/>
        <v>1673.0319999999999</v>
      </c>
      <c r="I34" s="597" t="str">
        <f t="shared" si="0"/>
        <v>A4</v>
      </c>
      <c r="J34" s="600" t="str">
        <f t="shared" si="1"/>
        <v>Czechia</v>
      </c>
      <c r="K34" s="599">
        <v>32</v>
      </c>
      <c r="L34" s="599">
        <f t="shared" si="2"/>
        <v>0</v>
      </c>
      <c r="M34" s="599" t="str">
        <f t="shared" si="9"/>
        <v>A</v>
      </c>
      <c r="O34" s="596" t="s">
        <v>541</v>
      </c>
      <c r="P34" s="596" t="str">
        <f>O30&amp;LEFT(O34)&amp;O30&amp;RIGHT(O34)</f>
        <v>E4E2</v>
      </c>
      <c r="Q34" s="596" t="str">
        <f t="shared" si="22"/>
        <v/>
      </c>
      <c r="R34" s="596" t="str">
        <f t="shared" si="23"/>
        <v/>
      </c>
      <c r="S34" s="596" t="str">
        <f t="shared" si="24"/>
        <v/>
      </c>
      <c r="T34" s="596" t="str">
        <f t="shared" si="25"/>
        <v/>
      </c>
      <c r="V34" s="600" t="str">
        <f>VLOOKUP(O30&amp;"4",Lookup08,2,FALSE)</f>
        <v>Ecuador</v>
      </c>
      <c r="W34" s="601" t="str">
        <f>"Team "&amp;O30&amp;"4"</f>
        <v>Team E4</v>
      </c>
      <c r="X34" s="596">
        <f>SUM(Y34:AA34)</f>
        <v>1</v>
      </c>
      <c r="Y34" s="596">
        <f>COUNTIF(Group_Winners,V34)</f>
        <v>0</v>
      </c>
      <c r="Z34" s="596">
        <f>COUNTIF(Group_Draws,"D"&amp;V34)</f>
        <v>0</v>
      </c>
      <c r="AA34" s="596">
        <f>COUNTIF(Group_Losers,V34)</f>
        <v>1</v>
      </c>
      <c r="AB34" s="596">
        <f>SUM(R32,Q34,Q36)</f>
        <v>0</v>
      </c>
      <c r="AC34" s="596">
        <f>SUM(Q32,R34,R36)</f>
        <v>1</v>
      </c>
      <c r="AD34" s="596">
        <f>AB34-AC34</f>
        <v>-1</v>
      </c>
      <c r="AE34" s="596">
        <f>Y34*Wpts+Z34*Dpts+AA34*Lpts</f>
        <v>0</v>
      </c>
      <c r="AF34" s="596">
        <f>SUM(T32,S34,S36)</f>
        <v>1</v>
      </c>
    </row>
    <row r="35" spans="1:32" ht="15" customHeight="1" x14ac:dyDescent="0.2">
      <c r="A35" s="596">
        <f t="shared" si="7"/>
        <v>3</v>
      </c>
      <c r="B35" s="597" t="s">
        <v>427</v>
      </c>
      <c r="C35" s="121" t="s">
        <v>458</v>
      </c>
      <c r="D35" s="598">
        <f>AF59</f>
        <v>0</v>
      </c>
      <c r="E35" s="122">
        <v>1871</v>
      </c>
      <c r="F35" s="596">
        <v>3.3000000000000022E-2</v>
      </c>
      <c r="G35" s="599">
        <f t="shared" si="8"/>
        <v>1871.0329999999999</v>
      </c>
      <c r="I35" s="597" t="str">
        <f t="shared" ref="I35:I50" si="26">VLOOKUP(K35,Lookup07,2,FALSE)</f>
        <v>D2</v>
      </c>
      <c r="J35" s="600" t="str">
        <f t="shared" ref="J35:J50" si="27">VLOOKUP(K35,Lookup07,3,FALSE)</f>
        <v>Paraguay</v>
      </c>
      <c r="K35" s="599">
        <v>33</v>
      </c>
      <c r="L35" s="599">
        <f t="shared" si="2"/>
        <v>5</v>
      </c>
      <c r="M35" s="599" t="str">
        <f t="shared" si="9"/>
        <v>D</v>
      </c>
      <c r="O35" s="596" t="s">
        <v>540</v>
      </c>
      <c r="P35" s="596" t="str">
        <f>O30&amp;LEFT(O35)&amp;O30&amp;RIGHT(O35)</f>
        <v>E2E3</v>
      </c>
      <c r="Q35" s="596" t="str">
        <f t="shared" si="22"/>
        <v/>
      </c>
      <c r="R35" s="596" t="str">
        <f t="shared" si="23"/>
        <v/>
      </c>
      <c r="S35" s="596" t="str">
        <f t="shared" si="24"/>
        <v/>
      </c>
      <c r="T35" s="596" t="str">
        <f t="shared" si="25"/>
        <v/>
      </c>
      <c r="AE35" s="98"/>
    </row>
    <row r="36" spans="1:32" ht="15" customHeight="1" x14ac:dyDescent="0.2">
      <c r="A36" s="596">
        <f t="shared" si="7"/>
        <v>14</v>
      </c>
      <c r="B36" s="597" t="s">
        <v>428</v>
      </c>
      <c r="C36" s="121" t="s">
        <v>459</v>
      </c>
      <c r="D36" s="598">
        <f>AF60</f>
        <v>0</v>
      </c>
      <c r="E36" s="122">
        <v>1684</v>
      </c>
      <c r="F36" s="596">
        <v>3.4000000000000023E-2</v>
      </c>
      <c r="G36" s="599">
        <f t="shared" si="8"/>
        <v>1684.0340000000001</v>
      </c>
      <c r="I36" s="597" t="str">
        <f t="shared" si="26"/>
        <v>C4</v>
      </c>
      <c r="J36" s="600" t="str">
        <f t="shared" si="27"/>
        <v>Scotland</v>
      </c>
      <c r="K36" s="599">
        <v>34</v>
      </c>
      <c r="L36" s="599">
        <f t="shared" si="2"/>
        <v>3</v>
      </c>
      <c r="M36" s="599" t="str">
        <f t="shared" si="9"/>
        <v>C</v>
      </c>
      <c r="O36" s="596" t="s">
        <v>539</v>
      </c>
      <c r="P36" s="596" t="str">
        <f>O30&amp;LEFT(O36)&amp;O30&amp;RIGHT(O36)</f>
        <v>E4E1</v>
      </c>
      <c r="Q36" s="596" t="str">
        <f t="shared" si="22"/>
        <v/>
      </c>
      <c r="R36" s="596" t="str">
        <f t="shared" si="23"/>
        <v/>
      </c>
      <c r="S36" s="596" t="str">
        <f t="shared" si="24"/>
        <v/>
      </c>
      <c r="T36" s="596" t="str">
        <f t="shared" si="25"/>
        <v/>
      </c>
      <c r="AE36" s="98"/>
    </row>
    <row r="37" spans="1:32" ht="15" customHeight="1" x14ac:dyDescent="0.2">
      <c r="A37" s="596">
        <f t="shared" si="7"/>
        <v>39</v>
      </c>
      <c r="B37" s="597" t="s">
        <v>429</v>
      </c>
      <c r="C37" s="121" t="s">
        <v>460</v>
      </c>
      <c r="D37" s="598">
        <f>AF61</f>
        <v>0</v>
      </c>
      <c r="E37" s="122">
        <v>1446</v>
      </c>
      <c r="F37" s="596">
        <v>3.5000000000000024E-2</v>
      </c>
      <c r="G37" s="599">
        <f t="shared" si="8"/>
        <v>1446.0350000000001</v>
      </c>
      <c r="I37" s="597" t="str">
        <f t="shared" si="26"/>
        <v>F4</v>
      </c>
      <c r="J37" s="600" t="str">
        <f t="shared" si="27"/>
        <v>Tunisia</v>
      </c>
      <c r="K37" s="599">
        <v>35</v>
      </c>
      <c r="L37" s="599">
        <f t="shared" si="2"/>
        <v>1</v>
      </c>
      <c r="M37" s="599" t="str">
        <f t="shared" si="9"/>
        <v>F</v>
      </c>
      <c r="O37" s="592" t="s">
        <v>307</v>
      </c>
      <c r="P37" s="592"/>
      <c r="Q37" s="592" t="s">
        <v>337</v>
      </c>
      <c r="R37" s="592" t="s">
        <v>337</v>
      </c>
      <c r="S37" s="592" t="s">
        <v>413</v>
      </c>
      <c r="T37" s="592" t="s">
        <v>413</v>
      </c>
      <c r="V37" s="593" t="str">
        <f>O$1&amp;" "&amp;O37</f>
        <v>Group F</v>
      </c>
      <c r="W37" s="594"/>
      <c r="X37" s="595" t="s">
        <v>311</v>
      </c>
      <c r="Y37" s="595" t="s">
        <v>305</v>
      </c>
      <c r="Z37" s="595" t="s">
        <v>15</v>
      </c>
      <c r="AA37" s="595" t="s">
        <v>306</v>
      </c>
      <c r="AB37" s="595" t="s">
        <v>307</v>
      </c>
      <c r="AC37" s="595" t="s">
        <v>16</v>
      </c>
      <c r="AD37" s="595" t="s">
        <v>308</v>
      </c>
      <c r="AE37" s="595" t="s">
        <v>566</v>
      </c>
      <c r="AF37" s="595" t="s">
        <v>616</v>
      </c>
    </row>
    <row r="38" spans="1:32" ht="15" customHeight="1" x14ac:dyDescent="0.2">
      <c r="A38" s="596">
        <f t="shared" si="7"/>
        <v>28</v>
      </c>
      <c r="B38" s="597" t="s">
        <v>430</v>
      </c>
      <c r="C38" s="121" t="s">
        <v>461</v>
      </c>
      <c r="D38" s="598">
        <f>AF62</f>
        <v>0</v>
      </c>
      <c r="E38" s="122">
        <v>1557</v>
      </c>
      <c r="F38" s="596">
        <v>3.6000000000000025E-2</v>
      </c>
      <c r="G38" s="599">
        <f t="shared" si="8"/>
        <v>1557.0360000000001</v>
      </c>
      <c r="I38" s="597" t="str">
        <f t="shared" si="26"/>
        <v>K2</v>
      </c>
      <c r="J38" s="600" t="str">
        <f t="shared" si="27"/>
        <v>Congo DR</v>
      </c>
      <c r="K38" s="599">
        <v>36</v>
      </c>
      <c r="L38" s="599">
        <f t="shared" si="2"/>
        <v>0</v>
      </c>
      <c r="M38" s="599" t="str">
        <f t="shared" si="9"/>
        <v>K</v>
      </c>
      <c r="O38" s="596" t="s">
        <v>537</v>
      </c>
      <c r="P38" s="596" t="str">
        <f>O37&amp;LEFT(O38)&amp;O37&amp;RIGHT(O38)</f>
        <v>F1F2</v>
      </c>
      <c r="Q38" s="596">
        <f t="shared" ref="Q38:Q43" si="28">IFERROR(IF(VLOOKUP(P38,GroupStage,6,FALSE)="","",VLOOKUP(P38,GroupStage,6,FALSE)),"")</f>
        <v>2</v>
      </c>
      <c r="R38" s="596">
        <f t="shared" ref="R38:R43" si="29">IFERROR(IF(VLOOKUP(P38,GroupStage,8,FALSE)="","",VLOOKUP(P38,GroupStage,8,FALSE)),"")</f>
        <v>2</v>
      </c>
      <c r="S38" s="596">
        <f t="shared" ref="S38:S43" si="30">IFERROR(IF(VLOOKUP(P38,GroupStage,6,FALSE)="","",VLOOKUP(P38,Lookup09,9,FALSE)),"")</f>
        <v>3</v>
      </c>
      <c r="T38" s="596">
        <f t="shared" ref="T38:T43" si="31">IFERROR(IF(VLOOKUP(P38,GroupStage,8,FALSE)="","",VLOOKUP(P38,Lookup09,14,FALSE)),"")</f>
        <v>0</v>
      </c>
      <c r="V38" s="600" t="str">
        <f>VLOOKUP(O37&amp;"1",Lookup08,2,FALSE)</f>
        <v>Netherlands</v>
      </c>
      <c r="W38" s="601" t="str">
        <f>"Team "&amp;O37&amp;"1"</f>
        <v>Team F1</v>
      </c>
      <c r="X38" s="596">
        <f>SUM(Y38:AA38)</f>
        <v>1</v>
      </c>
      <c r="Y38" s="596">
        <f>COUNTIF(Group_Winners,V38)</f>
        <v>0</v>
      </c>
      <c r="Z38" s="596">
        <f>COUNTIF(Group_Draws,"D"&amp;V38)</f>
        <v>1</v>
      </c>
      <c r="AA38" s="596">
        <f>COUNTIF(Group_Losers,V38)</f>
        <v>0</v>
      </c>
      <c r="AB38" s="596">
        <f>SUM(Q38,Q40,R43)</f>
        <v>2</v>
      </c>
      <c r="AC38" s="596">
        <f>SUM(R38,R40,Q43)</f>
        <v>2</v>
      </c>
      <c r="AD38" s="596">
        <f>AB38-AC38</f>
        <v>0</v>
      </c>
      <c r="AE38" s="596">
        <f>Y38*Wpts+Z38*Dpts+AA38*Lpts</f>
        <v>1</v>
      </c>
      <c r="AF38" s="596">
        <f>SUM(S38,S40,T43)</f>
        <v>3</v>
      </c>
    </row>
    <row r="39" spans="1:32" ht="15" customHeight="1" x14ac:dyDescent="0.2">
      <c r="A39" s="596">
        <f t="shared" si="7"/>
        <v>1</v>
      </c>
      <c r="B39" s="597" t="s">
        <v>431</v>
      </c>
      <c r="C39" s="121" t="s">
        <v>462</v>
      </c>
      <c r="D39" s="598">
        <f>AF66</f>
        <v>0</v>
      </c>
      <c r="E39" s="122">
        <v>1877</v>
      </c>
      <c r="F39" s="596">
        <v>3.7000000000000026E-2</v>
      </c>
      <c r="G39" s="599">
        <f t="shared" si="8"/>
        <v>1877.037</v>
      </c>
      <c r="I39" s="597" t="str">
        <f t="shared" si="26"/>
        <v>K3</v>
      </c>
      <c r="J39" s="600" t="str">
        <f t="shared" si="27"/>
        <v>Uzbekistan</v>
      </c>
      <c r="K39" s="599">
        <v>37</v>
      </c>
      <c r="L39" s="599">
        <f t="shared" si="2"/>
        <v>0</v>
      </c>
      <c r="M39" s="599" t="str">
        <f t="shared" si="9"/>
        <v>K</v>
      </c>
      <c r="O39" s="596" t="s">
        <v>542</v>
      </c>
      <c r="P39" s="596" t="str">
        <f>O37&amp;LEFT(O39)&amp;O37&amp;RIGHT(O39)</f>
        <v>F3F4</v>
      </c>
      <c r="Q39" s="596">
        <f t="shared" si="28"/>
        <v>5</v>
      </c>
      <c r="R39" s="596">
        <f t="shared" si="29"/>
        <v>1</v>
      </c>
      <c r="S39" s="596">
        <f t="shared" si="30"/>
        <v>0</v>
      </c>
      <c r="T39" s="596">
        <f t="shared" si="31"/>
        <v>1</v>
      </c>
      <c r="V39" s="600" t="str">
        <f>VLOOKUP(O37&amp;"2",Lookup08,2,FALSE)</f>
        <v>Japan</v>
      </c>
      <c r="W39" s="601" t="str">
        <f>"Team "&amp;O37&amp;"2"</f>
        <v>Team F2</v>
      </c>
      <c r="X39" s="596">
        <f>SUM(Y39:AA39)</f>
        <v>1</v>
      </c>
      <c r="Y39" s="596">
        <f>COUNTIF(Group_Winners,V39)</f>
        <v>0</v>
      </c>
      <c r="Z39" s="596">
        <f>COUNTIF(Group_Draws,"D"&amp;V39)</f>
        <v>1</v>
      </c>
      <c r="AA39" s="596">
        <f>COUNTIF(Group_Losers,V39)</f>
        <v>0</v>
      </c>
      <c r="AB39" s="596">
        <f>SUM(R38,R41,Q42)</f>
        <v>2</v>
      </c>
      <c r="AC39" s="596">
        <f>SUM(Q38,Q41,R42)</f>
        <v>2</v>
      </c>
      <c r="AD39" s="596">
        <f>AB39-AC39</f>
        <v>0</v>
      </c>
      <c r="AE39" s="596">
        <f>Y39*Wpts+Z39*Dpts+AA39*Lpts</f>
        <v>1</v>
      </c>
      <c r="AF39" s="596">
        <f>SUM(T38,T41,S42)</f>
        <v>0</v>
      </c>
    </row>
    <row r="40" spans="1:32" ht="15" customHeight="1" x14ac:dyDescent="0.2">
      <c r="A40" s="596">
        <f t="shared" si="7"/>
        <v>25</v>
      </c>
      <c r="B40" s="597" t="s">
        <v>432</v>
      </c>
      <c r="C40" s="121" t="s">
        <v>463</v>
      </c>
      <c r="D40" s="598">
        <f>AF67</f>
        <v>0</v>
      </c>
      <c r="E40" s="122">
        <v>1571</v>
      </c>
      <c r="F40" s="596">
        <v>3.8000000000000027E-2</v>
      </c>
      <c r="G40" s="599">
        <f t="shared" si="8"/>
        <v>1571.038</v>
      </c>
      <c r="I40" s="597" t="str">
        <f t="shared" si="26"/>
        <v>B3</v>
      </c>
      <c r="J40" s="600" t="str">
        <f t="shared" si="27"/>
        <v>Qatar</v>
      </c>
      <c r="K40" s="599">
        <v>38</v>
      </c>
      <c r="L40" s="599">
        <f t="shared" si="2"/>
        <v>2</v>
      </c>
      <c r="M40" s="599" t="str">
        <f t="shared" si="9"/>
        <v>B</v>
      </c>
      <c r="O40" s="596" t="s">
        <v>538</v>
      </c>
      <c r="P40" s="596" t="str">
        <f>O37&amp;LEFT(O40)&amp;O37&amp;RIGHT(O40)</f>
        <v>F1F3</v>
      </c>
      <c r="Q40" s="596" t="str">
        <f t="shared" si="28"/>
        <v/>
      </c>
      <c r="R40" s="596" t="str">
        <f t="shared" si="29"/>
        <v/>
      </c>
      <c r="S40" s="596" t="str">
        <f t="shared" si="30"/>
        <v/>
      </c>
      <c r="T40" s="596" t="str">
        <f t="shared" si="31"/>
        <v/>
      </c>
      <c r="V40" s="600" t="str">
        <f>VLOOKUP(O37&amp;"3",Lookup08,2,FALSE)</f>
        <v>Sweden</v>
      </c>
      <c r="W40" s="601" t="str">
        <f>"Team "&amp;O37&amp;"3"</f>
        <v>Team F3</v>
      </c>
      <c r="X40" s="596">
        <f>SUM(Y40:AA40)</f>
        <v>1</v>
      </c>
      <c r="Y40" s="596">
        <f>COUNTIF(Group_Winners,V40)</f>
        <v>1</v>
      </c>
      <c r="Z40" s="596">
        <f>COUNTIF(Group_Draws,"D"&amp;V40)</f>
        <v>0</v>
      </c>
      <c r="AA40" s="596">
        <f>COUNTIF(Group_Losers,V40)</f>
        <v>0</v>
      </c>
      <c r="AB40" s="596">
        <f>SUM(Q39,R40,R42)</f>
        <v>5</v>
      </c>
      <c r="AC40" s="596">
        <f>SUM(R39,Q40,Q42)</f>
        <v>1</v>
      </c>
      <c r="AD40" s="596">
        <f>AB40-AC40</f>
        <v>4</v>
      </c>
      <c r="AE40" s="596">
        <f>Y40*Wpts+Z40*Dpts+AA40*Lpts</f>
        <v>3</v>
      </c>
      <c r="AF40" s="596">
        <f>SUM(S39,T40,T42)</f>
        <v>0</v>
      </c>
    </row>
    <row r="41" spans="1:32" ht="15" customHeight="1" x14ac:dyDescent="0.2">
      <c r="A41" s="596">
        <f t="shared" si="7"/>
        <v>22</v>
      </c>
      <c r="B41" s="597" t="s">
        <v>433</v>
      </c>
      <c r="C41" s="121" t="s">
        <v>464</v>
      </c>
      <c r="D41" s="598">
        <f>AF68</f>
        <v>0</v>
      </c>
      <c r="E41" s="122">
        <v>1597</v>
      </c>
      <c r="F41" s="596">
        <v>3.9000000000000028E-2</v>
      </c>
      <c r="G41" s="599">
        <f t="shared" si="8"/>
        <v>1597.039</v>
      </c>
      <c r="I41" s="597" t="str">
        <f t="shared" si="26"/>
        <v>I3</v>
      </c>
      <c r="J41" s="600" t="str">
        <f t="shared" si="27"/>
        <v>Iraq</v>
      </c>
      <c r="K41" s="599">
        <v>39</v>
      </c>
      <c r="L41" s="599">
        <f t="shared" si="2"/>
        <v>0</v>
      </c>
      <c r="M41" s="599" t="str">
        <f t="shared" si="9"/>
        <v>I</v>
      </c>
      <c r="O41" s="596" t="s">
        <v>541</v>
      </c>
      <c r="P41" s="596" t="str">
        <f>O37&amp;LEFT(O41)&amp;O37&amp;RIGHT(O41)</f>
        <v>F4F2</v>
      </c>
      <c r="Q41" s="596" t="str">
        <f t="shared" si="28"/>
        <v/>
      </c>
      <c r="R41" s="596" t="str">
        <f t="shared" si="29"/>
        <v/>
      </c>
      <c r="S41" s="596" t="str">
        <f t="shared" si="30"/>
        <v/>
      </c>
      <c r="T41" s="596" t="str">
        <f t="shared" si="31"/>
        <v/>
      </c>
      <c r="V41" s="600" t="str">
        <f>VLOOKUP(O37&amp;"4",Lookup08,2,FALSE)</f>
        <v>Tunisia</v>
      </c>
      <c r="W41" s="601" t="str">
        <f>"Team "&amp;O37&amp;"4"</f>
        <v>Team F4</v>
      </c>
      <c r="X41" s="596">
        <f>SUM(Y41:AA41)</f>
        <v>1</v>
      </c>
      <c r="Y41" s="596">
        <f>COUNTIF(Group_Winners,V41)</f>
        <v>0</v>
      </c>
      <c r="Z41" s="596">
        <f>COUNTIF(Group_Draws,"D"&amp;V41)</f>
        <v>0</v>
      </c>
      <c r="AA41" s="596">
        <f>COUNTIF(Group_Losers,V41)</f>
        <v>1</v>
      </c>
      <c r="AB41" s="596">
        <f>SUM(R39,Q41,Q43)</f>
        <v>1</v>
      </c>
      <c r="AC41" s="596">
        <f>SUM(Q39,R41,R43)</f>
        <v>5</v>
      </c>
      <c r="AD41" s="596">
        <f>AB41-AC41</f>
        <v>-4</v>
      </c>
      <c r="AE41" s="596">
        <f>Y41*Wpts+Z41*Dpts+AA41*Lpts</f>
        <v>0</v>
      </c>
      <c r="AF41" s="596">
        <f>SUM(T39,S41,S43)</f>
        <v>1</v>
      </c>
    </row>
    <row r="42" spans="1:32" ht="15" customHeight="1" x14ac:dyDescent="0.2">
      <c r="A42" s="596">
        <f t="shared" si="7"/>
        <v>42</v>
      </c>
      <c r="B42" s="597" t="s">
        <v>434</v>
      </c>
      <c r="C42" s="121" t="s">
        <v>465</v>
      </c>
      <c r="D42" s="598">
        <f>AF69</f>
        <v>0</v>
      </c>
      <c r="E42" s="122">
        <v>1388</v>
      </c>
      <c r="F42" s="596">
        <v>4.0000000000000029E-2</v>
      </c>
      <c r="G42" s="599">
        <f t="shared" si="8"/>
        <v>1388.04</v>
      </c>
      <c r="I42" s="597" t="str">
        <f t="shared" si="26"/>
        <v>A2</v>
      </c>
      <c r="J42" s="600" t="str">
        <f t="shared" si="27"/>
        <v>South Africa</v>
      </c>
      <c r="K42" s="599">
        <v>40</v>
      </c>
      <c r="L42" s="599">
        <f t="shared" si="2"/>
        <v>10</v>
      </c>
      <c r="M42" s="599" t="str">
        <f t="shared" si="9"/>
        <v>A</v>
      </c>
      <c r="O42" s="596" t="s">
        <v>540</v>
      </c>
      <c r="P42" s="596" t="str">
        <f>O37&amp;LEFT(O42)&amp;O37&amp;RIGHT(O42)</f>
        <v>F2F3</v>
      </c>
      <c r="Q42" s="596" t="str">
        <f t="shared" si="28"/>
        <v/>
      </c>
      <c r="R42" s="596" t="str">
        <f t="shared" si="29"/>
        <v/>
      </c>
      <c r="S42" s="596" t="str">
        <f t="shared" si="30"/>
        <v/>
      </c>
      <c r="T42" s="596" t="str">
        <f t="shared" si="31"/>
        <v/>
      </c>
      <c r="AE42" s="98"/>
    </row>
    <row r="43" spans="1:32" ht="15" customHeight="1" x14ac:dyDescent="0.2">
      <c r="A43" s="596">
        <f t="shared" si="7"/>
        <v>5</v>
      </c>
      <c r="B43" s="597" t="s">
        <v>435</v>
      </c>
      <c r="C43" s="121" t="s">
        <v>466</v>
      </c>
      <c r="D43" s="598">
        <f>AF73</f>
        <v>0</v>
      </c>
      <c r="E43" s="122">
        <v>1768</v>
      </c>
      <c r="F43" s="596">
        <v>4.1000000000000029E-2</v>
      </c>
      <c r="G43" s="599">
        <f t="shared" si="8"/>
        <v>1768.0409999999999</v>
      </c>
      <c r="I43" s="597" t="str">
        <f t="shared" si="26"/>
        <v>H3</v>
      </c>
      <c r="J43" s="600" t="str">
        <f t="shared" si="27"/>
        <v>Saudi Arabia</v>
      </c>
      <c r="K43" s="599">
        <v>41</v>
      </c>
      <c r="L43" s="599">
        <f t="shared" si="2"/>
        <v>1</v>
      </c>
      <c r="M43" s="599" t="str">
        <f t="shared" si="9"/>
        <v>H</v>
      </c>
      <c r="O43" s="596" t="s">
        <v>539</v>
      </c>
      <c r="P43" s="596" t="str">
        <f>O37&amp;LEFT(O43)&amp;O37&amp;RIGHT(O43)</f>
        <v>F4F1</v>
      </c>
      <c r="Q43" s="596" t="str">
        <f t="shared" si="28"/>
        <v/>
      </c>
      <c r="R43" s="596" t="str">
        <f t="shared" si="29"/>
        <v/>
      </c>
      <c r="S43" s="596" t="str">
        <f t="shared" si="30"/>
        <v/>
      </c>
      <c r="T43" s="596" t="str">
        <f t="shared" si="31"/>
        <v/>
      </c>
      <c r="AE43" s="98"/>
    </row>
    <row r="44" spans="1:32" ht="15" customHeight="1" x14ac:dyDescent="0.2">
      <c r="A44" s="596">
        <f t="shared" si="7"/>
        <v>36</v>
      </c>
      <c r="B44" s="597" t="s">
        <v>436</v>
      </c>
      <c r="C44" s="121" t="s">
        <v>467</v>
      </c>
      <c r="D44" s="598">
        <f>AF74</f>
        <v>0</v>
      </c>
      <c r="E44" s="122">
        <v>1474</v>
      </c>
      <c r="F44" s="596">
        <v>4.200000000000003E-2</v>
      </c>
      <c r="G44" s="599">
        <f t="shared" si="8"/>
        <v>1474.0419999999999</v>
      </c>
      <c r="I44" s="597" t="str">
        <f t="shared" si="26"/>
        <v>J4</v>
      </c>
      <c r="J44" s="600" t="str">
        <f t="shared" si="27"/>
        <v>Jordan</v>
      </c>
      <c r="K44" s="599">
        <v>42</v>
      </c>
      <c r="L44" s="599">
        <f t="shared" si="2"/>
        <v>0</v>
      </c>
      <c r="M44" s="599" t="str">
        <f t="shared" si="9"/>
        <v>J</v>
      </c>
      <c r="O44" s="602" t="s">
        <v>330</v>
      </c>
      <c r="P44" s="592"/>
      <c r="Q44" s="592" t="s">
        <v>337</v>
      </c>
      <c r="R44" s="592" t="s">
        <v>337</v>
      </c>
      <c r="S44" s="592" t="s">
        <v>413</v>
      </c>
      <c r="T44" s="592" t="s">
        <v>413</v>
      </c>
      <c r="V44" s="593" t="str">
        <f>O$1&amp;" "&amp;O44</f>
        <v>Group G</v>
      </c>
      <c r="W44" s="594"/>
      <c r="X44" s="595" t="s">
        <v>311</v>
      </c>
      <c r="Y44" s="595" t="s">
        <v>305</v>
      </c>
      <c r="Z44" s="595" t="s">
        <v>15</v>
      </c>
      <c r="AA44" s="595" t="s">
        <v>306</v>
      </c>
      <c r="AB44" s="595" t="s">
        <v>307</v>
      </c>
      <c r="AC44" s="595" t="s">
        <v>16</v>
      </c>
      <c r="AD44" s="595" t="s">
        <v>308</v>
      </c>
      <c r="AE44" s="595" t="s">
        <v>566</v>
      </c>
      <c r="AF44" s="595" t="s">
        <v>616</v>
      </c>
    </row>
    <row r="45" spans="1:32" ht="15" customHeight="1" x14ac:dyDescent="0.2">
      <c r="A45" s="596">
        <f t="shared" si="7"/>
        <v>37</v>
      </c>
      <c r="B45" s="597" t="s">
        <v>437</v>
      </c>
      <c r="C45" s="121" t="s">
        <v>468</v>
      </c>
      <c r="D45" s="598">
        <f>AF75</f>
        <v>0</v>
      </c>
      <c r="E45" s="122">
        <v>1459</v>
      </c>
      <c r="F45" s="596">
        <v>4.3000000000000031E-2</v>
      </c>
      <c r="G45" s="599">
        <f t="shared" si="8"/>
        <v>1459.0429999999999</v>
      </c>
      <c r="I45" s="597" t="str">
        <f t="shared" si="26"/>
        <v>B2</v>
      </c>
      <c r="J45" s="600" t="str">
        <f t="shared" si="27"/>
        <v>Bosnia-Herzegovina</v>
      </c>
      <c r="K45" s="599">
        <v>43</v>
      </c>
      <c r="L45" s="599">
        <f t="shared" si="2"/>
        <v>3</v>
      </c>
      <c r="M45" s="599" t="str">
        <f t="shared" si="9"/>
        <v>B</v>
      </c>
      <c r="O45" s="596" t="s">
        <v>537</v>
      </c>
      <c r="P45" s="596" t="str">
        <f>O44&amp;LEFT(O45)&amp;O44&amp;RIGHT(O45)</f>
        <v>G1G2</v>
      </c>
      <c r="Q45" s="596">
        <f t="shared" ref="Q45:Q50" si="32">IFERROR(IF(VLOOKUP(P45,GroupStage,6,FALSE)="","",VLOOKUP(P45,GroupStage,6,FALSE)),"")</f>
        <v>1</v>
      </c>
      <c r="R45" s="596">
        <f t="shared" ref="R45:R50" si="33">IFERROR(IF(VLOOKUP(P45,GroupStage,8,FALSE)="","",VLOOKUP(P45,GroupStage,8,FALSE)),"")</f>
        <v>1</v>
      </c>
      <c r="S45" s="596">
        <f t="shared" ref="S45:S50" si="34">IFERROR(IF(VLOOKUP(P45,GroupStage,6,FALSE)="","",VLOOKUP(P45,Lookup09,9,FALSE)),"")</f>
        <v>2</v>
      </c>
      <c r="T45" s="596">
        <f t="shared" ref="T45:T50" si="35">IFERROR(IF(VLOOKUP(P45,GroupStage,8,FALSE)="","",VLOOKUP(P45,Lookup09,14,FALSE)),"")</f>
        <v>2</v>
      </c>
      <c r="V45" s="600" t="str">
        <f>VLOOKUP(O44&amp;"1",Lookup08,2,FALSE)</f>
        <v>Belgium</v>
      </c>
      <c r="W45" s="601" t="str">
        <f>"Team "&amp;O44&amp;"1"</f>
        <v>Team G1</v>
      </c>
      <c r="X45" s="596">
        <f>SUM(Y45:AA45)</f>
        <v>1</v>
      </c>
      <c r="Y45" s="596">
        <f>COUNTIF(Group_Winners,V45)</f>
        <v>0</v>
      </c>
      <c r="Z45" s="596">
        <f>COUNTIF(Group_Draws,"D"&amp;V45)</f>
        <v>1</v>
      </c>
      <c r="AA45" s="596">
        <f>COUNTIF(Group_Losers,V45)</f>
        <v>0</v>
      </c>
      <c r="AB45" s="596">
        <f>SUM(Q45,Q47,R50)</f>
        <v>1</v>
      </c>
      <c r="AC45" s="596">
        <f>SUM(R45,R47,Q50)</f>
        <v>1</v>
      </c>
      <c r="AD45" s="596">
        <f>AB45-AC45</f>
        <v>0</v>
      </c>
      <c r="AE45" s="596">
        <f>Y45*Wpts+Z45*Dpts+AA45*Lpts</f>
        <v>1</v>
      </c>
      <c r="AF45" s="596">
        <f>SUM(S45,S47,T50)</f>
        <v>2</v>
      </c>
    </row>
    <row r="46" spans="1:32" ht="15" customHeight="1" x14ac:dyDescent="0.2">
      <c r="A46" s="596">
        <f t="shared" si="7"/>
        <v>12</v>
      </c>
      <c r="B46" s="597" t="s">
        <v>438</v>
      </c>
      <c r="C46" s="121" t="s">
        <v>469</v>
      </c>
      <c r="D46" s="598">
        <f>AF76</f>
        <v>0</v>
      </c>
      <c r="E46" s="122">
        <v>1698</v>
      </c>
      <c r="F46" s="596">
        <v>4.4000000000000032E-2</v>
      </c>
      <c r="G46" s="599">
        <f t="shared" si="8"/>
        <v>1698.0440000000001</v>
      </c>
      <c r="I46" s="597" t="str">
        <f t="shared" si="26"/>
        <v>H2</v>
      </c>
      <c r="J46" s="600" t="str">
        <f t="shared" si="27"/>
        <v>Cabo Verde</v>
      </c>
      <c r="K46" s="599">
        <v>44</v>
      </c>
      <c r="L46" s="599">
        <f t="shared" si="2"/>
        <v>1</v>
      </c>
      <c r="M46" s="599" t="str">
        <f t="shared" si="9"/>
        <v>H</v>
      </c>
      <c r="O46" s="596" t="s">
        <v>542</v>
      </c>
      <c r="P46" s="596" t="str">
        <f>O44&amp;LEFT(O46)&amp;O44&amp;RIGHT(O46)</f>
        <v>G3G4</v>
      </c>
      <c r="Q46" s="596">
        <f t="shared" si="32"/>
        <v>2</v>
      </c>
      <c r="R46" s="596">
        <f t="shared" si="33"/>
        <v>2</v>
      </c>
      <c r="S46" s="596">
        <f t="shared" si="34"/>
        <v>1</v>
      </c>
      <c r="T46" s="596">
        <f t="shared" si="35"/>
        <v>0</v>
      </c>
      <c r="V46" s="600" t="str">
        <f>VLOOKUP(O44&amp;"2",Lookup08,2,FALSE)</f>
        <v>Egypt</v>
      </c>
      <c r="W46" s="601" t="str">
        <f>"Team "&amp;O44&amp;"2"</f>
        <v>Team G2</v>
      </c>
      <c r="X46" s="596">
        <f>SUM(Y46:AA46)</f>
        <v>1</v>
      </c>
      <c r="Y46" s="596">
        <f>COUNTIF(Group_Winners,V46)</f>
        <v>0</v>
      </c>
      <c r="Z46" s="596">
        <f>COUNTIF(Group_Draws,"D"&amp;V46)</f>
        <v>1</v>
      </c>
      <c r="AA46" s="596">
        <f>COUNTIF(Group_Losers,V46)</f>
        <v>0</v>
      </c>
      <c r="AB46" s="596">
        <f>SUM(R45,R48,Q49)</f>
        <v>1</v>
      </c>
      <c r="AC46" s="596">
        <f>SUM(Q45,Q48,R49)</f>
        <v>1</v>
      </c>
      <c r="AD46" s="596">
        <f>AB46-AC46</f>
        <v>0</v>
      </c>
      <c r="AE46" s="596">
        <f>Y46*Wpts+Z46*Dpts+AA46*Lpts</f>
        <v>1</v>
      </c>
      <c r="AF46" s="596">
        <f>SUM(T45,T48,S49)</f>
        <v>2</v>
      </c>
    </row>
    <row r="47" spans="1:32" ht="15" customHeight="1" x14ac:dyDescent="0.2">
      <c r="A47" s="596">
        <f t="shared" si="7"/>
        <v>4</v>
      </c>
      <c r="B47" s="597" t="s">
        <v>439</v>
      </c>
      <c r="C47" s="121" t="s">
        <v>470</v>
      </c>
      <c r="D47" s="598">
        <f>AF80</f>
        <v>0</v>
      </c>
      <c r="E47" s="122">
        <v>1828</v>
      </c>
      <c r="F47" s="596">
        <v>4.5000000000000033E-2</v>
      </c>
      <c r="G47" s="599">
        <f t="shared" si="8"/>
        <v>1828.0450000000001</v>
      </c>
      <c r="I47" s="597" t="str">
        <f t="shared" si="26"/>
        <v>L3</v>
      </c>
      <c r="J47" s="600" t="str">
        <f t="shared" si="27"/>
        <v>Ghana</v>
      </c>
      <c r="K47" s="599">
        <v>45</v>
      </c>
      <c r="L47" s="599">
        <f t="shared" si="2"/>
        <v>0</v>
      </c>
      <c r="M47" s="599" t="str">
        <f t="shared" si="9"/>
        <v>L</v>
      </c>
      <c r="O47" s="596" t="s">
        <v>538</v>
      </c>
      <c r="P47" s="596" t="str">
        <f>O44&amp;LEFT(O47)&amp;O44&amp;RIGHT(O47)</f>
        <v>G1G3</v>
      </c>
      <c r="Q47" s="596" t="str">
        <f t="shared" si="32"/>
        <v/>
      </c>
      <c r="R47" s="596" t="str">
        <f t="shared" si="33"/>
        <v/>
      </c>
      <c r="S47" s="596" t="str">
        <f t="shared" si="34"/>
        <v/>
      </c>
      <c r="T47" s="596" t="str">
        <f t="shared" si="35"/>
        <v/>
      </c>
      <c r="V47" s="600" t="str">
        <f>VLOOKUP(O44&amp;"3",Lookup08,2,FALSE)</f>
        <v>IR Iran</v>
      </c>
      <c r="W47" s="601" t="str">
        <f>"Team "&amp;O44&amp;"3"</f>
        <v>Team G3</v>
      </c>
      <c r="X47" s="596">
        <f>SUM(Y47:AA47)</f>
        <v>1</v>
      </c>
      <c r="Y47" s="596">
        <f>COUNTIF(Group_Winners,V47)</f>
        <v>0</v>
      </c>
      <c r="Z47" s="596">
        <f>COUNTIF(Group_Draws,"D"&amp;V47)</f>
        <v>1</v>
      </c>
      <c r="AA47" s="596">
        <f>COUNTIF(Group_Losers,V47)</f>
        <v>0</v>
      </c>
      <c r="AB47" s="596">
        <f>SUM(Q46,R47,R49)</f>
        <v>2</v>
      </c>
      <c r="AC47" s="596">
        <f>SUM(R46,Q47,Q49)</f>
        <v>2</v>
      </c>
      <c r="AD47" s="596">
        <f>AB47-AC47</f>
        <v>0</v>
      </c>
      <c r="AE47" s="596">
        <f>Y47*Wpts+Z47*Dpts+AA47*Lpts</f>
        <v>1</v>
      </c>
      <c r="AF47" s="596">
        <f>SUM(S46,T47,T49)</f>
        <v>1</v>
      </c>
    </row>
    <row r="48" spans="1:32" ht="15" customHeight="1" x14ac:dyDescent="0.2">
      <c r="A48" s="596">
        <f t="shared" si="7"/>
        <v>11</v>
      </c>
      <c r="B48" s="597" t="s">
        <v>440</v>
      </c>
      <c r="C48" s="121" t="s">
        <v>471</v>
      </c>
      <c r="D48" s="598">
        <f>AF81</f>
        <v>0</v>
      </c>
      <c r="E48" s="122">
        <v>1715</v>
      </c>
      <c r="F48" s="596">
        <v>4.6000000000000034E-2</v>
      </c>
      <c r="G48" s="599">
        <f t="shared" si="8"/>
        <v>1715.046</v>
      </c>
      <c r="I48" s="597" t="str">
        <f t="shared" si="26"/>
        <v>E2</v>
      </c>
      <c r="J48" s="600" t="str">
        <f t="shared" si="27"/>
        <v>Curaçao</v>
      </c>
      <c r="K48" s="599">
        <v>46</v>
      </c>
      <c r="L48" s="599">
        <f t="shared" si="2"/>
        <v>0</v>
      </c>
      <c r="M48" s="599" t="str">
        <f t="shared" si="9"/>
        <v>E</v>
      </c>
      <c r="O48" s="596" t="s">
        <v>541</v>
      </c>
      <c r="P48" s="596" t="str">
        <f>O44&amp;LEFT(O48)&amp;O44&amp;RIGHT(O48)</f>
        <v>G4G2</v>
      </c>
      <c r="Q48" s="596" t="str">
        <f t="shared" si="32"/>
        <v/>
      </c>
      <c r="R48" s="596" t="str">
        <f t="shared" si="33"/>
        <v/>
      </c>
      <c r="S48" s="596" t="str">
        <f t="shared" si="34"/>
        <v/>
      </c>
      <c r="T48" s="596" t="str">
        <f t="shared" si="35"/>
        <v/>
      </c>
      <c r="V48" s="600" t="str">
        <f>VLOOKUP(O44&amp;"4",Lookup08,2,FALSE)</f>
        <v>New Zealand</v>
      </c>
      <c r="W48" s="601" t="str">
        <f>"Team "&amp;O44&amp;"4"</f>
        <v>Team G4</v>
      </c>
      <c r="X48" s="596">
        <f>SUM(Y48:AA48)</f>
        <v>1</v>
      </c>
      <c r="Y48" s="596">
        <f>COUNTIF(Group_Winners,V48)</f>
        <v>0</v>
      </c>
      <c r="Z48" s="596">
        <f>COUNTIF(Group_Draws,"D"&amp;V48)</f>
        <v>1</v>
      </c>
      <c r="AA48" s="596">
        <f>COUNTIF(Group_Losers,V48)</f>
        <v>0</v>
      </c>
      <c r="AB48" s="596">
        <f>SUM(R46,Q48,Q50)</f>
        <v>2</v>
      </c>
      <c r="AC48" s="596">
        <f>SUM(Q46,R48,R50)</f>
        <v>2</v>
      </c>
      <c r="AD48" s="596">
        <f>AB48-AC48</f>
        <v>0</v>
      </c>
      <c r="AE48" s="596">
        <f>Y48*Wpts+Z48*Dpts+AA48*Lpts</f>
        <v>1</v>
      </c>
      <c r="AF48" s="596">
        <f>SUM(T46,S48,S50)</f>
        <v>0</v>
      </c>
    </row>
    <row r="49" spans="1:32" ht="15" customHeight="1" x14ac:dyDescent="0.2">
      <c r="A49" s="596">
        <f t="shared" si="7"/>
        <v>45</v>
      </c>
      <c r="B49" s="597" t="s">
        <v>441</v>
      </c>
      <c r="C49" s="121" t="s">
        <v>472</v>
      </c>
      <c r="D49" s="598">
        <f>AF82</f>
        <v>0</v>
      </c>
      <c r="E49" s="122">
        <v>1347</v>
      </c>
      <c r="F49" s="596">
        <v>4.7000000000000035E-2</v>
      </c>
      <c r="G49" s="599">
        <f t="shared" si="8"/>
        <v>1347.047</v>
      </c>
      <c r="I49" s="597" t="str">
        <f t="shared" si="26"/>
        <v>C3</v>
      </c>
      <c r="J49" s="600" t="str">
        <f t="shared" si="27"/>
        <v>Haiti</v>
      </c>
      <c r="K49" s="599">
        <v>47</v>
      </c>
      <c r="L49" s="599">
        <f t="shared" si="2"/>
        <v>1</v>
      </c>
      <c r="M49" s="599" t="str">
        <f t="shared" si="9"/>
        <v>C</v>
      </c>
      <c r="O49" s="596" t="s">
        <v>540</v>
      </c>
      <c r="P49" s="596" t="str">
        <f>O44&amp;LEFT(O49)&amp;O44&amp;RIGHT(O49)</f>
        <v>G2G3</v>
      </c>
      <c r="Q49" s="596" t="str">
        <f t="shared" si="32"/>
        <v/>
      </c>
      <c r="R49" s="596" t="str">
        <f t="shared" si="33"/>
        <v/>
      </c>
      <c r="S49" s="596" t="str">
        <f t="shared" si="34"/>
        <v/>
      </c>
      <c r="T49" s="596" t="str">
        <f t="shared" si="35"/>
        <v/>
      </c>
      <c r="AE49" s="98"/>
    </row>
    <row r="50" spans="1:32" ht="15" customHeight="1" x14ac:dyDescent="0.2">
      <c r="A50" s="596">
        <f t="shared" si="7"/>
        <v>30</v>
      </c>
      <c r="B50" s="597" t="s">
        <v>442</v>
      </c>
      <c r="C50" s="121" t="s">
        <v>473</v>
      </c>
      <c r="D50" s="598">
        <f>AF83</f>
        <v>0</v>
      </c>
      <c r="E50" s="122">
        <v>1539</v>
      </c>
      <c r="F50" s="596">
        <v>4.8000000000000036E-2</v>
      </c>
      <c r="G50" s="599">
        <f t="shared" si="8"/>
        <v>1539.048</v>
      </c>
      <c r="I50" s="597" t="str">
        <f t="shared" si="26"/>
        <v>G4</v>
      </c>
      <c r="J50" s="600" t="str">
        <f t="shared" si="27"/>
        <v>New Zealand</v>
      </c>
      <c r="K50" s="599">
        <v>48</v>
      </c>
      <c r="L50" s="599">
        <f t="shared" si="2"/>
        <v>0</v>
      </c>
      <c r="M50" s="599" t="str">
        <f t="shared" si="9"/>
        <v>G</v>
      </c>
      <c r="O50" s="596" t="s">
        <v>539</v>
      </c>
      <c r="P50" s="596" t="str">
        <f>O44&amp;LEFT(O50)&amp;O44&amp;RIGHT(O50)</f>
        <v>G4G1</v>
      </c>
      <c r="Q50" s="596" t="str">
        <f t="shared" si="32"/>
        <v/>
      </c>
      <c r="R50" s="596" t="str">
        <f t="shared" si="33"/>
        <v/>
      </c>
      <c r="S50" s="596" t="str">
        <f t="shared" si="34"/>
        <v/>
      </c>
      <c r="T50" s="596" t="str">
        <f t="shared" si="35"/>
        <v/>
      </c>
      <c r="AE50" s="98"/>
    </row>
    <row r="51" spans="1:32" ht="15" customHeight="1" x14ac:dyDescent="0.2">
      <c r="O51" s="592" t="s">
        <v>14</v>
      </c>
      <c r="P51" s="592"/>
      <c r="Q51" s="592" t="s">
        <v>337</v>
      </c>
      <c r="R51" s="592" t="s">
        <v>337</v>
      </c>
      <c r="S51" s="592" t="s">
        <v>413</v>
      </c>
      <c r="T51" s="592" t="s">
        <v>413</v>
      </c>
      <c r="V51" s="593" t="str">
        <f>O$1&amp;" "&amp;O51</f>
        <v>Group H</v>
      </c>
      <c r="W51" s="594"/>
      <c r="X51" s="595" t="s">
        <v>311</v>
      </c>
      <c r="Y51" s="595" t="s">
        <v>305</v>
      </c>
      <c r="Z51" s="595" t="s">
        <v>15</v>
      </c>
      <c r="AA51" s="595" t="s">
        <v>306</v>
      </c>
      <c r="AB51" s="595" t="s">
        <v>307</v>
      </c>
      <c r="AC51" s="595" t="s">
        <v>16</v>
      </c>
      <c r="AD51" s="595" t="s">
        <v>308</v>
      </c>
      <c r="AE51" s="595" t="s">
        <v>566</v>
      </c>
      <c r="AF51" s="595" t="s">
        <v>616</v>
      </c>
    </row>
    <row r="52" spans="1:32" ht="15" customHeight="1" x14ac:dyDescent="0.2">
      <c r="C52" s="604" t="s">
        <v>619</v>
      </c>
      <c r="D52" s="605"/>
      <c r="E52" s="605"/>
      <c r="F52" s="606"/>
      <c r="I52" s="97"/>
      <c r="O52" s="596" t="s">
        <v>537</v>
      </c>
      <c r="P52" s="596" t="str">
        <f>O51&amp;LEFT(O52)&amp;O51&amp;RIGHT(O52)</f>
        <v>H1H2</v>
      </c>
      <c r="Q52" s="596">
        <f t="shared" ref="Q52:Q57" si="36">IFERROR(IF(VLOOKUP(P52,GroupStage,6,FALSE)="","",VLOOKUP(P52,GroupStage,6,FALSE)),"")</f>
        <v>0</v>
      </c>
      <c r="R52" s="596">
        <f t="shared" ref="R52:R57" si="37">IFERROR(IF(VLOOKUP(P52,GroupStage,8,FALSE)="","",VLOOKUP(P52,GroupStage,8,FALSE)),"")</f>
        <v>0</v>
      </c>
      <c r="S52" s="596">
        <f t="shared" ref="S52:S57" si="38">IFERROR(IF(VLOOKUP(P52,GroupStage,6,FALSE)="","",VLOOKUP(P52,Lookup09,9,FALSE)),"")</f>
        <v>1</v>
      </c>
      <c r="T52" s="596">
        <f t="shared" ref="T52:T57" si="39">IFERROR(IF(VLOOKUP(P52,GroupStage,8,FALSE)="","",VLOOKUP(P52,Lookup09,14,FALSE)),"")</f>
        <v>1</v>
      </c>
      <c r="V52" s="600" t="str">
        <f>VLOOKUP(O51&amp;"1",Lookup08,2,FALSE)</f>
        <v>Spain</v>
      </c>
      <c r="W52" s="601" t="str">
        <f>"Team "&amp;O51&amp;"1"</f>
        <v>Team H1</v>
      </c>
      <c r="X52" s="596">
        <f>SUM(Y52:AA52)</f>
        <v>1</v>
      </c>
      <c r="Y52" s="596">
        <f>COUNTIF(Group_Winners,V52)</f>
        <v>0</v>
      </c>
      <c r="Z52" s="596">
        <f>COUNTIF(Group_Draws,"D"&amp;V52)</f>
        <v>1</v>
      </c>
      <c r="AA52" s="596">
        <f>COUNTIF(Group_Losers,V52)</f>
        <v>0</v>
      </c>
      <c r="AB52" s="596">
        <f>SUM(Q52,Q54,R57)</f>
        <v>0</v>
      </c>
      <c r="AC52" s="596">
        <f>SUM(R52,R54,Q57)</f>
        <v>0</v>
      </c>
      <c r="AD52" s="596">
        <f>AB52-AC52</f>
        <v>0</v>
      </c>
      <c r="AE52" s="596">
        <f>Y52*Wpts+Z52*Dpts+AA52*Lpts</f>
        <v>1</v>
      </c>
      <c r="AF52" s="596">
        <f>SUM(S52,S54,T57)</f>
        <v>1</v>
      </c>
    </row>
    <row r="53" spans="1:32" ht="15" customHeight="1" x14ac:dyDescent="0.2">
      <c r="C53" s="607" t="s">
        <v>273</v>
      </c>
      <c r="D53" s="608" t="s">
        <v>1</v>
      </c>
      <c r="E53" s="608" t="s">
        <v>25</v>
      </c>
      <c r="F53" s="608" t="s">
        <v>0</v>
      </c>
      <c r="I53" s="97"/>
      <c r="O53" s="596" t="s">
        <v>542</v>
      </c>
      <c r="P53" s="596" t="str">
        <f>O51&amp;LEFT(O53)&amp;O51&amp;RIGHT(O53)</f>
        <v>H3H4</v>
      </c>
      <c r="Q53" s="596">
        <f t="shared" si="36"/>
        <v>1</v>
      </c>
      <c r="R53" s="596">
        <f t="shared" si="37"/>
        <v>1</v>
      </c>
      <c r="S53" s="596">
        <f t="shared" si="38"/>
        <v>1</v>
      </c>
      <c r="T53" s="596">
        <f t="shared" si="39"/>
        <v>0</v>
      </c>
      <c r="V53" s="600" t="str">
        <f>VLOOKUP(O51&amp;"2",Lookup08,2,FALSE)</f>
        <v>Cabo Verde</v>
      </c>
      <c r="W53" s="601" t="str">
        <f>"Team "&amp;O51&amp;"2"</f>
        <v>Team H2</v>
      </c>
      <c r="X53" s="596">
        <f>SUM(Y53:AA53)</f>
        <v>1</v>
      </c>
      <c r="Y53" s="596">
        <f>COUNTIF(Group_Winners,V53)</f>
        <v>0</v>
      </c>
      <c r="Z53" s="596">
        <f>COUNTIF(Group_Draws,"D"&amp;V53)</f>
        <v>1</v>
      </c>
      <c r="AA53" s="596">
        <f>COUNTIF(Group_Losers,V53)</f>
        <v>0</v>
      </c>
      <c r="AB53" s="596">
        <f>SUM(R52,R55,Q56)</f>
        <v>0</v>
      </c>
      <c r="AC53" s="596">
        <f>SUM(Q52,Q55,R56)</f>
        <v>0</v>
      </c>
      <c r="AD53" s="596">
        <f>AB53-AC53</f>
        <v>0</v>
      </c>
      <c r="AE53" s="596">
        <f>Y53*Wpts+Z53*Dpts+AA53*Lpts</f>
        <v>1</v>
      </c>
      <c r="AF53" s="596">
        <f>SUM(T52,T55,S56)</f>
        <v>1</v>
      </c>
    </row>
    <row r="54" spans="1:32" ht="15" customHeight="1" thickBot="1" x14ac:dyDescent="0.25">
      <c r="C54" s="609" t="s">
        <v>450</v>
      </c>
      <c r="D54" s="610">
        <f>Results!AD107</f>
        <v>7</v>
      </c>
      <c r="E54" s="611">
        <f>Results!AE107</f>
        <v>8</v>
      </c>
      <c r="F54" s="612">
        <f>Results!AF107</f>
        <v>1</v>
      </c>
      <c r="I54" s="97"/>
      <c r="O54" s="596" t="s">
        <v>538</v>
      </c>
      <c r="P54" s="596" t="str">
        <f>O51&amp;LEFT(O54)&amp;O51&amp;RIGHT(O54)</f>
        <v>H1H3</v>
      </c>
      <c r="Q54" s="596" t="str">
        <f t="shared" si="36"/>
        <v/>
      </c>
      <c r="R54" s="596" t="str">
        <f t="shared" si="37"/>
        <v/>
      </c>
      <c r="S54" s="596" t="str">
        <f t="shared" si="38"/>
        <v/>
      </c>
      <c r="T54" s="596" t="str">
        <f t="shared" si="39"/>
        <v/>
      </c>
      <c r="V54" s="600" t="str">
        <f>VLOOKUP(O51&amp;"3",Lookup08,2,FALSE)</f>
        <v>Saudi Arabia</v>
      </c>
      <c r="W54" s="601" t="str">
        <f>"Team "&amp;O51&amp;"3"</f>
        <v>Team H3</v>
      </c>
      <c r="X54" s="596">
        <f>SUM(Y54:AA54)</f>
        <v>1</v>
      </c>
      <c r="Y54" s="596">
        <f>COUNTIF(Group_Winners,V54)</f>
        <v>0</v>
      </c>
      <c r="Z54" s="596">
        <f>COUNTIF(Group_Draws,"D"&amp;V54)</f>
        <v>1</v>
      </c>
      <c r="AA54" s="596">
        <f>COUNTIF(Group_Losers,V54)</f>
        <v>0</v>
      </c>
      <c r="AB54" s="596">
        <f>SUM(Q53,R54,R56)</f>
        <v>1</v>
      </c>
      <c r="AC54" s="596">
        <f>SUM(R53,Q54,Q56)</f>
        <v>1</v>
      </c>
      <c r="AD54" s="596">
        <f>AB54-AC54</f>
        <v>0</v>
      </c>
      <c r="AE54" s="596">
        <f>Y54*Wpts+Z54*Dpts+AA54*Lpts</f>
        <v>1</v>
      </c>
      <c r="AF54" s="596">
        <f>SUM(S53,T54,T56)</f>
        <v>1</v>
      </c>
    </row>
    <row r="55" spans="1:32" ht="15" customHeight="1" thickTop="1" thickBot="1" x14ac:dyDescent="0.25">
      <c r="C55" s="613" t="s">
        <v>279</v>
      </c>
      <c r="D55" s="614">
        <f>IFERROR(D54/(D54+E54+F54),0)</f>
        <v>0.4375</v>
      </c>
      <c r="E55" s="615">
        <f>IFERROR(E54/(D54+E54+F54),0)</f>
        <v>0.5</v>
      </c>
      <c r="F55" s="616">
        <f>IFERROR(F54/(D54+E54+F54),0)</f>
        <v>6.25E-2</v>
      </c>
      <c r="I55" s="97"/>
      <c r="O55" s="596" t="s">
        <v>541</v>
      </c>
      <c r="P55" s="596" t="str">
        <f>O51&amp;LEFT(O55)&amp;O51&amp;RIGHT(O55)</f>
        <v>H4H2</v>
      </c>
      <c r="Q55" s="596" t="str">
        <f t="shared" si="36"/>
        <v/>
      </c>
      <c r="R55" s="596" t="str">
        <f t="shared" si="37"/>
        <v/>
      </c>
      <c r="S55" s="596" t="str">
        <f t="shared" si="38"/>
        <v/>
      </c>
      <c r="T55" s="596" t="str">
        <f t="shared" si="39"/>
        <v/>
      </c>
      <c r="V55" s="600" t="str">
        <f>VLOOKUP(O51&amp;"4",Lookup08,2,FALSE)</f>
        <v>Uruguay</v>
      </c>
      <c r="W55" s="601" t="str">
        <f>"Team "&amp;O51&amp;"4"</f>
        <v>Team H4</v>
      </c>
      <c r="X55" s="596">
        <f>SUM(Y55:AA55)</f>
        <v>1</v>
      </c>
      <c r="Y55" s="596">
        <f>COUNTIF(Group_Winners,V55)</f>
        <v>0</v>
      </c>
      <c r="Z55" s="596">
        <f>COUNTIF(Group_Draws,"D"&amp;V55)</f>
        <v>1</v>
      </c>
      <c r="AA55" s="596">
        <f>COUNTIF(Group_Losers,V55)</f>
        <v>0</v>
      </c>
      <c r="AB55" s="596">
        <f>SUM(R53,Q55,Q57)</f>
        <v>1</v>
      </c>
      <c r="AC55" s="596">
        <f>SUM(Q53,R55,R57)</f>
        <v>1</v>
      </c>
      <c r="AD55" s="596">
        <f>AB55-AC55</f>
        <v>0</v>
      </c>
      <c r="AE55" s="596">
        <f>Y55*Wpts+Z55*Dpts+AA55*Lpts</f>
        <v>1</v>
      </c>
      <c r="AF55" s="596">
        <f>SUM(T53,S55,S57)</f>
        <v>0</v>
      </c>
    </row>
    <row r="56" spans="1:32" ht="15" customHeight="1" thickTop="1" thickBot="1" x14ac:dyDescent="0.25">
      <c r="C56" s="609" t="s">
        <v>101</v>
      </c>
      <c r="D56" s="610">
        <f ca="1">COUNTIF(FResults!$Z$3:$Z$106,1)</f>
        <v>45</v>
      </c>
      <c r="E56" s="611">
        <f ca="1">COUNTIF(FResults!$Z$3:$Z$106,2)</f>
        <v>14</v>
      </c>
      <c r="F56" s="612">
        <f ca="1">COUNTIF(FResults!$Z$3:$Z$106,3)</f>
        <v>45</v>
      </c>
      <c r="I56" s="97"/>
      <c r="O56" s="596" t="s">
        <v>540</v>
      </c>
      <c r="P56" s="596" t="str">
        <f>O51&amp;LEFT(O56)&amp;O51&amp;RIGHT(O56)</f>
        <v>H2H3</v>
      </c>
      <c r="Q56" s="596" t="str">
        <f t="shared" si="36"/>
        <v/>
      </c>
      <c r="R56" s="596" t="str">
        <f t="shared" si="37"/>
        <v/>
      </c>
      <c r="S56" s="596" t="str">
        <f t="shared" si="38"/>
        <v/>
      </c>
      <c r="T56" s="596" t="str">
        <f t="shared" si="39"/>
        <v/>
      </c>
      <c r="AE56" s="98"/>
    </row>
    <row r="57" spans="1:32" ht="15" customHeight="1" thickTop="1" thickBot="1" x14ac:dyDescent="0.25">
      <c r="C57" s="609" t="s">
        <v>281</v>
      </c>
      <c r="D57" s="614">
        <f ca="1">COUNTIF(FResults!$Z$3:$Z$106,1)/104</f>
        <v>0.43269230769230771</v>
      </c>
      <c r="E57" s="615">
        <f ca="1">COUNTIF(FResults!$Z$3:$Z$106,2)/104</f>
        <v>0.13461538461538461</v>
      </c>
      <c r="F57" s="616">
        <f ca="1">COUNTIF(FResults!$Z$3:$Z$106,3)/104</f>
        <v>0.43269230769230771</v>
      </c>
      <c r="I57" s="97"/>
      <c r="O57" s="596" t="s">
        <v>539</v>
      </c>
      <c r="P57" s="596" t="str">
        <f>O51&amp;LEFT(O57)&amp;O51&amp;RIGHT(O57)</f>
        <v>H4H1</v>
      </c>
      <c r="Q57" s="596" t="str">
        <f t="shared" si="36"/>
        <v/>
      </c>
      <c r="R57" s="596" t="str">
        <f t="shared" si="37"/>
        <v/>
      </c>
      <c r="S57" s="596" t="str">
        <f t="shared" si="38"/>
        <v/>
      </c>
      <c r="T57" s="596" t="str">
        <f t="shared" si="39"/>
        <v/>
      </c>
      <c r="AE57" s="98"/>
    </row>
    <row r="58" spans="1:32" ht="15" customHeight="1" thickTop="1" x14ac:dyDescent="0.2">
      <c r="C58" s="617" t="s">
        <v>409</v>
      </c>
      <c r="D58" s="626">
        <v>28</v>
      </c>
      <c r="E58" s="627">
        <v>15</v>
      </c>
      <c r="F58" s="628">
        <v>21</v>
      </c>
      <c r="I58" s="97"/>
      <c r="O58" s="592" t="s">
        <v>621</v>
      </c>
      <c r="P58" s="592"/>
      <c r="Q58" s="592" t="s">
        <v>337</v>
      </c>
      <c r="R58" s="592" t="s">
        <v>337</v>
      </c>
      <c r="S58" s="592" t="s">
        <v>413</v>
      </c>
      <c r="T58" s="592" t="s">
        <v>413</v>
      </c>
      <c r="V58" s="593" t="str">
        <f>O$1&amp;" "&amp;O58</f>
        <v>Group I</v>
      </c>
      <c r="W58" s="594"/>
      <c r="X58" s="595" t="s">
        <v>311</v>
      </c>
      <c r="Y58" s="595" t="s">
        <v>305</v>
      </c>
      <c r="Z58" s="595" t="s">
        <v>15</v>
      </c>
      <c r="AA58" s="595" t="s">
        <v>306</v>
      </c>
      <c r="AB58" s="595" t="s">
        <v>307</v>
      </c>
      <c r="AC58" s="595" t="s">
        <v>16</v>
      </c>
      <c r="AD58" s="595" t="s">
        <v>308</v>
      </c>
      <c r="AE58" s="595" t="s">
        <v>566</v>
      </c>
      <c r="AF58" s="595" t="s">
        <v>616</v>
      </c>
    </row>
    <row r="59" spans="1:32" ht="15" customHeight="1" x14ac:dyDescent="0.2">
      <c r="C59" s="617" t="s">
        <v>277</v>
      </c>
      <c r="D59" s="626">
        <v>25</v>
      </c>
      <c r="E59" s="627">
        <v>14</v>
      </c>
      <c r="F59" s="628">
        <v>25</v>
      </c>
      <c r="I59" s="97"/>
      <c r="O59" s="596" t="s">
        <v>537</v>
      </c>
      <c r="P59" s="596" t="str">
        <f>O58&amp;LEFT(O59)&amp;O58&amp;RIGHT(O59)</f>
        <v>I1I2</v>
      </c>
      <c r="Q59" s="596" t="str">
        <f t="shared" ref="Q59:Q64" si="40">IFERROR(IF(VLOOKUP(P59,GroupStage,6,FALSE)="","",VLOOKUP(P59,GroupStage,6,FALSE)),"")</f>
        <v/>
      </c>
      <c r="R59" s="596" t="str">
        <f t="shared" ref="R59:R64" si="41">IFERROR(IF(VLOOKUP(P59,GroupStage,8,FALSE)="","",VLOOKUP(P59,GroupStage,8,FALSE)),"")</f>
        <v/>
      </c>
      <c r="S59" s="596" t="str">
        <f t="shared" ref="S59:S64" si="42">IFERROR(IF(VLOOKUP(P59,GroupStage,6,FALSE)="","",VLOOKUP(P59,Lookup09,9,FALSE)),"")</f>
        <v/>
      </c>
      <c r="T59" s="596" t="str">
        <f t="shared" ref="T59:T64" si="43">IFERROR(IF(VLOOKUP(P59,GroupStage,8,FALSE)="","",VLOOKUP(P59,Lookup09,14,FALSE)),"")</f>
        <v/>
      </c>
      <c r="V59" s="600" t="str">
        <f>VLOOKUP(O58&amp;"1",Lookup08,2,FALSE)</f>
        <v>France</v>
      </c>
      <c r="W59" s="601" t="str">
        <f>"Team "&amp;O58&amp;"1"</f>
        <v>Team I1</v>
      </c>
      <c r="X59" s="596">
        <f>SUM(Y59:AA59)</f>
        <v>0</v>
      </c>
      <c r="Y59" s="596">
        <f>COUNTIF(Group_Winners,V59)</f>
        <v>0</v>
      </c>
      <c r="Z59" s="596">
        <f>COUNTIF(Group_Draws,"D"&amp;V59)</f>
        <v>0</v>
      </c>
      <c r="AA59" s="596">
        <f>COUNTIF(Group_Losers,V59)</f>
        <v>0</v>
      </c>
      <c r="AB59" s="596">
        <f>SUM(Q59,Q61,R64)</f>
        <v>0</v>
      </c>
      <c r="AC59" s="596">
        <f>SUM(R59,R61,Q64)</f>
        <v>0</v>
      </c>
      <c r="AD59" s="596">
        <f>AB59-AC59</f>
        <v>0</v>
      </c>
      <c r="AE59" s="596">
        <f>Y59*Wpts+Z59*Dpts+AA59*Lpts</f>
        <v>0</v>
      </c>
      <c r="AF59" s="596">
        <f>SUM(S59,S61,T64)</f>
        <v>0</v>
      </c>
    </row>
    <row r="60" spans="1:32" ht="15" customHeight="1" x14ac:dyDescent="0.2">
      <c r="C60" s="617" t="s">
        <v>282</v>
      </c>
      <c r="D60" s="626">
        <v>25</v>
      </c>
      <c r="E60" s="627">
        <v>17</v>
      </c>
      <c r="F60" s="628">
        <v>22</v>
      </c>
      <c r="I60" s="97"/>
      <c r="O60" s="596" t="s">
        <v>542</v>
      </c>
      <c r="P60" s="596" t="str">
        <f>O58&amp;LEFT(O60)&amp;O58&amp;RIGHT(O60)</f>
        <v>I3I4</v>
      </c>
      <c r="Q60" s="596" t="str">
        <f t="shared" si="40"/>
        <v/>
      </c>
      <c r="R60" s="596" t="str">
        <f t="shared" si="41"/>
        <v/>
      </c>
      <c r="S60" s="596" t="str">
        <f t="shared" si="42"/>
        <v/>
      </c>
      <c r="T60" s="596" t="str">
        <f t="shared" si="43"/>
        <v/>
      </c>
      <c r="V60" s="600" t="str">
        <f>VLOOKUP(O58&amp;"2",Lookup08,2,FALSE)</f>
        <v>Senegal</v>
      </c>
      <c r="W60" s="601" t="str">
        <f>"Team "&amp;O58&amp;"2"</f>
        <v>Team I2</v>
      </c>
      <c r="X60" s="596">
        <f>SUM(Y60:AA60)</f>
        <v>0</v>
      </c>
      <c r="Y60" s="596">
        <f>COUNTIF(Group_Winners,V60)</f>
        <v>0</v>
      </c>
      <c r="Z60" s="596">
        <f>COUNTIF(Group_Draws,"D"&amp;V60)</f>
        <v>0</v>
      </c>
      <c r="AA60" s="596">
        <f>COUNTIF(Group_Losers,V60)</f>
        <v>0</v>
      </c>
      <c r="AB60" s="596">
        <f>SUM(R59,R62,Q63)</f>
        <v>0</v>
      </c>
      <c r="AC60" s="596">
        <f>SUM(Q59,Q62,R63)</f>
        <v>0</v>
      </c>
      <c r="AD60" s="596">
        <f>AB60-AC60</f>
        <v>0</v>
      </c>
      <c r="AE60" s="596">
        <f>Y60*Wpts+Z60*Dpts+AA60*Lpts</f>
        <v>0</v>
      </c>
      <c r="AF60" s="596">
        <f>SUM(T59,T62,S63)</f>
        <v>0</v>
      </c>
    </row>
    <row r="61" spans="1:32" ht="15" customHeight="1" x14ac:dyDescent="0.2">
      <c r="C61" s="617" t="s">
        <v>284</v>
      </c>
      <c r="D61" s="626">
        <v>25</v>
      </c>
      <c r="E61" s="627">
        <v>14</v>
      </c>
      <c r="F61" s="628">
        <v>25</v>
      </c>
      <c r="I61" s="97"/>
      <c r="O61" s="596" t="s">
        <v>538</v>
      </c>
      <c r="P61" s="596" t="str">
        <f>O58&amp;LEFT(O61)&amp;O58&amp;RIGHT(O61)</f>
        <v>I1I3</v>
      </c>
      <c r="Q61" s="596" t="str">
        <f t="shared" si="40"/>
        <v/>
      </c>
      <c r="R61" s="596" t="str">
        <f t="shared" si="41"/>
        <v/>
      </c>
      <c r="S61" s="596" t="str">
        <f t="shared" si="42"/>
        <v/>
      </c>
      <c r="T61" s="596" t="str">
        <f t="shared" si="43"/>
        <v/>
      </c>
      <c r="V61" s="600" t="str">
        <f>VLOOKUP(O58&amp;"3",Lookup08,2,FALSE)</f>
        <v>Iraq</v>
      </c>
      <c r="W61" s="601" t="str">
        <f>"Team "&amp;O58&amp;"3"</f>
        <v>Team I3</v>
      </c>
      <c r="X61" s="596">
        <f>SUM(Y61:AA61)</f>
        <v>0</v>
      </c>
      <c r="Y61" s="596">
        <f>COUNTIF(Group_Winners,V61)</f>
        <v>0</v>
      </c>
      <c r="Z61" s="596">
        <f>COUNTIF(Group_Draws,"D"&amp;V61)</f>
        <v>0</v>
      </c>
      <c r="AA61" s="596">
        <f>COUNTIF(Group_Losers,V61)</f>
        <v>0</v>
      </c>
      <c r="AB61" s="596">
        <f>SUM(Q60,R61,R63)</f>
        <v>0</v>
      </c>
      <c r="AC61" s="596">
        <f>SUM(R60,Q61,Q63)</f>
        <v>0</v>
      </c>
      <c r="AD61" s="596">
        <f>AB61-AC61</f>
        <v>0</v>
      </c>
      <c r="AE61" s="596">
        <f>Y61*Wpts+Z61*Dpts+AA61*Lpts</f>
        <v>0</v>
      </c>
      <c r="AF61" s="596">
        <f>SUM(S60,T61,T63)</f>
        <v>0</v>
      </c>
    </row>
    <row r="62" spans="1:32" ht="15" customHeight="1" x14ac:dyDescent="0.2">
      <c r="C62" s="617" t="s">
        <v>286</v>
      </c>
      <c r="D62" s="626">
        <v>25</v>
      </c>
      <c r="E62" s="627">
        <v>15</v>
      </c>
      <c r="F62" s="628">
        <v>24</v>
      </c>
      <c r="I62" s="97"/>
      <c r="O62" s="596" t="s">
        <v>541</v>
      </c>
      <c r="P62" s="596" t="str">
        <f>O58&amp;LEFT(O62)&amp;O58&amp;RIGHT(O62)</f>
        <v>I4I2</v>
      </c>
      <c r="Q62" s="596" t="str">
        <f t="shared" si="40"/>
        <v/>
      </c>
      <c r="R62" s="596" t="str">
        <f t="shared" si="41"/>
        <v/>
      </c>
      <c r="S62" s="596" t="str">
        <f t="shared" si="42"/>
        <v/>
      </c>
      <c r="T62" s="596" t="str">
        <f t="shared" si="43"/>
        <v/>
      </c>
      <c r="V62" s="600" t="str">
        <f>VLOOKUP(O58&amp;"4",Lookup08,2,FALSE)</f>
        <v>Norway</v>
      </c>
      <c r="W62" s="601" t="str">
        <f>"Team "&amp;O58&amp;"4"</f>
        <v>Team I4</v>
      </c>
      <c r="X62" s="596">
        <f>SUM(Y62:AA62)</f>
        <v>0</v>
      </c>
      <c r="Y62" s="596">
        <f>COUNTIF(Group_Winners,V62)</f>
        <v>0</v>
      </c>
      <c r="Z62" s="596">
        <f>COUNTIF(Group_Draws,"D"&amp;V62)</f>
        <v>0</v>
      </c>
      <c r="AA62" s="596">
        <f>COUNTIF(Group_Losers,V62)</f>
        <v>0</v>
      </c>
      <c r="AB62" s="596">
        <f>SUM(R60,Q62,Q64)</f>
        <v>0</v>
      </c>
      <c r="AC62" s="596">
        <f>SUM(Q60,R62,R64)</f>
        <v>0</v>
      </c>
      <c r="AD62" s="596">
        <f>AB62-AC62</f>
        <v>0</v>
      </c>
      <c r="AE62" s="596">
        <f>Y62*Wpts+Z62*Dpts+AA62*Lpts</f>
        <v>0</v>
      </c>
      <c r="AF62" s="596">
        <f>SUM(T60,S62,S64)</f>
        <v>0</v>
      </c>
    </row>
    <row r="63" spans="1:32" ht="15" customHeight="1" x14ac:dyDescent="0.2">
      <c r="C63" s="617" t="s">
        <v>287</v>
      </c>
      <c r="D63" s="626"/>
      <c r="E63" s="627"/>
      <c r="F63" s="628"/>
      <c r="I63" s="97"/>
      <c r="O63" s="596" t="s">
        <v>540</v>
      </c>
      <c r="P63" s="596" t="str">
        <f>O58&amp;LEFT(O63)&amp;O58&amp;RIGHT(O63)</f>
        <v>I2I3</v>
      </c>
      <c r="Q63" s="596" t="str">
        <f t="shared" si="40"/>
        <v/>
      </c>
      <c r="R63" s="596" t="str">
        <f t="shared" si="41"/>
        <v/>
      </c>
      <c r="S63" s="596" t="str">
        <f t="shared" si="42"/>
        <v/>
      </c>
      <c r="T63" s="596" t="str">
        <f t="shared" si="43"/>
        <v/>
      </c>
      <c r="AE63" s="98"/>
    </row>
    <row r="64" spans="1:32" ht="15" customHeight="1" x14ac:dyDescent="0.2">
      <c r="C64" s="617" t="s">
        <v>288</v>
      </c>
      <c r="D64" s="626"/>
      <c r="E64" s="627"/>
      <c r="F64" s="628"/>
      <c r="I64" s="97"/>
      <c r="O64" s="596" t="s">
        <v>539</v>
      </c>
      <c r="P64" s="596" t="str">
        <f>O58&amp;LEFT(O64)&amp;O58&amp;RIGHT(O64)</f>
        <v>I4I1</v>
      </c>
      <c r="Q64" s="596" t="str">
        <f t="shared" si="40"/>
        <v/>
      </c>
      <c r="R64" s="596" t="str">
        <f t="shared" si="41"/>
        <v/>
      </c>
      <c r="S64" s="596" t="str">
        <f t="shared" si="42"/>
        <v/>
      </c>
      <c r="T64" s="596" t="str">
        <f t="shared" si="43"/>
        <v/>
      </c>
      <c r="AE64" s="98"/>
    </row>
    <row r="65" spans="3:32" ht="15" customHeight="1" x14ac:dyDescent="0.2">
      <c r="C65" s="617" t="s">
        <v>290</v>
      </c>
      <c r="D65" s="626"/>
      <c r="E65" s="627"/>
      <c r="F65" s="628"/>
      <c r="I65" s="97"/>
      <c r="O65" s="592" t="s">
        <v>622</v>
      </c>
      <c r="P65" s="592"/>
      <c r="Q65" s="592" t="s">
        <v>337</v>
      </c>
      <c r="R65" s="592" t="s">
        <v>337</v>
      </c>
      <c r="S65" s="592" t="s">
        <v>413</v>
      </c>
      <c r="T65" s="592" t="s">
        <v>413</v>
      </c>
      <c r="V65" s="593" t="str">
        <f>O$1&amp;" "&amp;O65</f>
        <v>Group J</v>
      </c>
      <c r="W65" s="594"/>
      <c r="X65" s="595" t="s">
        <v>311</v>
      </c>
      <c r="Y65" s="595" t="s">
        <v>305</v>
      </c>
      <c r="Z65" s="595" t="s">
        <v>15</v>
      </c>
      <c r="AA65" s="595" t="s">
        <v>306</v>
      </c>
      <c r="AB65" s="595" t="s">
        <v>307</v>
      </c>
      <c r="AC65" s="595" t="s">
        <v>16</v>
      </c>
      <c r="AD65" s="595" t="s">
        <v>308</v>
      </c>
      <c r="AE65" s="595" t="s">
        <v>566</v>
      </c>
      <c r="AF65" s="595" t="s">
        <v>616</v>
      </c>
    </row>
    <row r="66" spans="3:32" ht="15" customHeight="1" x14ac:dyDescent="0.2">
      <c r="C66" s="617" t="s">
        <v>291</v>
      </c>
      <c r="D66" s="626"/>
      <c r="E66" s="627"/>
      <c r="F66" s="628"/>
      <c r="I66" s="97"/>
      <c r="O66" s="596" t="s">
        <v>537</v>
      </c>
      <c r="P66" s="596" t="str">
        <f>O65&amp;LEFT(O66)&amp;O65&amp;RIGHT(O66)</f>
        <v>J1J2</v>
      </c>
      <c r="Q66" s="596" t="str">
        <f t="shared" ref="Q66:Q71" si="44">IFERROR(IF(VLOOKUP(P66,GroupStage,6,FALSE)="","",VLOOKUP(P66,GroupStage,6,FALSE)),"")</f>
        <v/>
      </c>
      <c r="R66" s="596" t="str">
        <f t="shared" ref="R66:R71" si="45">IFERROR(IF(VLOOKUP(P66,GroupStage,8,FALSE)="","",VLOOKUP(P66,GroupStage,8,FALSE)),"")</f>
        <v/>
      </c>
      <c r="S66" s="596" t="str">
        <f t="shared" ref="S66:S71" si="46">IFERROR(IF(VLOOKUP(P66,GroupStage,6,FALSE)="","",VLOOKUP(P66,Lookup09,9,FALSE)),"")</f>
        <v/>
      </c>
      <c r="T66" s="596" t="str">
        <f t="shared" ref="T66:T71" si="47">IFERROR(IF(VLOOKUP(P66,GroupStage,8,FALSE)="","",VLOOKUP(P66,Lookup09,14,FALSE)),"")</f>
        <v/>
      </c>
      <c r="V66" s="600" t="str">
        <f>VLOOKUP(O65&amp;"1",Lookup08,2,FALSE)</f>
        <v>Argentina</v>
      </c>
      <c r="W66" s="601" t="str">
        <f>"Team "&amp;O65&amp;"1"</f>
        <v>Team J1</v>
      </c>
      <c r="X66" s="596">
        <f>SUM(Y66:AA66)</f>
        <v>0</v>
      </c>
      <c r="Y66" s="596">
        <f>COUNTIF(Group_Winners,V66)</f>
        <v>0</v>
      </c>
      <c r="Z66" s="596">
        <f>COUNTIF(Group_Draws,"D"&amp;V66)</f>
        <v>0</v>
      </c>
      <c r="AA66" s="596">
        <f>COUNTIF(Group_Losers,V66)</f>
        <v>0</v>
      </c>
      <c r="AB66" s="596">
        <f>SUM(Q66,Q68,R71)</f>
        <v>0</v>
      </c>
      <c r="AC66" s="596">
        <f>SUM(R66,R68,Q71)</f>
        <v>0</v>
      </c>
      <c r="AD66" s="596">
        <f>AB66-AC66</f>
        <v>0</v>
      </c>
      <c r="AE66" s="596">
        <f>Y66*Wpts+Z66*Dpts+AA66*Lpts</f>
        <v>0</v>
      </c>
      <c r="AF66" s="596">
        <f>SUM(S66,S68,T71)</f>
        <v>0</v>
      </c>
    </row>
    <row r="67" spans="3:32" ht="15" customHeight="1" x14ac:dyDescent="0.2">
      <c r="C67" s="617" t="s">
        <v>292</v>
      </c>
      <c r="D67" s="626"/>
      <c r="E67" s="627"/>
      <c r="F67" s="628"/>
      <c r="I67" s="97"/>
      <c r="O67" s="596" t="s">
        <v>542</v>
      </c>
      <c r="P67" s="596" t="str">
        <f>O65&amp;LEFT(O67)&amp;O65&amp;RIGHT(O67)</f>
        <v>J3J4</v>
      </c>
      <c r="Q67" s="596" t="str">
        <f t="shared" si="44"/>
        <v/>
      </c>
      <c r="R67" s="596" t="str">
        <f t="shared" si="45"/>
        <v/>
      </c>
      <c r="S67" s="596" t="str">
        <f t="shared" si="46"/>
        <v/>
      </c>
      <c r="T67" s="596" t="str">
        <f t="shared" si="47"/>
        <v/>
      </c>
      <c r="V67" s="600" t="str">
        <f>VLOOKUP(O65&amp;"2",Lookup08,2,FALSE)</f>
        <v>Algeria</v>
      </c>
      <c r="W67" s="601" t="str">
        <f>"Team "&amp;O65&amp;"2"</f>
        <v>Team J2</v>
      </c>
      <c r="X67" s="596">
        <f>SUM(Y67:AA67)</f>
        <v>0</v>
      </c>
      <c r="Y67" s="596">
        <f>COUNTIF(Group_Winners,V67)</f>
        <v>0</v>
      </c>
      <c r="Z67" s="596">
        <f>COUNTIF(Group_Draws,"D"&amp;V67)</f>
        <v>0</v>
      </c>
      <c r="AA67" s="596">
        <f>COUNTIF(Group_Losers,V67)</f>
        <v>0</v>
      </c>
      <c r="AB67" s="596">
        <f>SUM(R66,R69,Q70)</f>
        <v>0</v>
      </c>
      <c r="AC67" s="596">
        <f>SUM(Q66,Q69,R70)</f>
        <v>0</v>
      </c>
      <c r="AD67" s="596">
        <f>AB67-AC67</f>
        <v>0</v>
      </c>
      <c r="AE67" s="596">
        <f>Y67*Wpts+Z67*Dpts+AA67*Lpts</f>
        <v>0</v>
      </c>
      <c r="AF67" s="596">
        <f>SUM(T66,T69,S70)</f>
        <v>0</v>
      </c>
    </row>
    <row r="68" spans="3:32" ht="15" customHeight="1" x14ac:dyDescent="0.2">
      <c r="C68" s="617" t="s">
        <v>294</v>
      </c>
      <c r="D68" s="626"/>
      <c r="E68" s="627"/>
      <c r="F68" s="628"/>
      <c r="I68" s="97"/>
      <c r="O68" s="596" t="s">
        <v>538</v>
      </c>
      <c r="P68" s="596" t="str">
        <f>O65&amp;LEFT(O68)&amp;O65&amp;RIGHT(O68)</f>
        <v>J1J3</v>
      </c>
      <c r="Q68" s="596" t="str">
        <f t="shared" si="44"/>
        <v/>
      </c>
      <c r="R68" s="596" t="str">
        <f t="shared" si="45"/>
        <v/>
      </c>
      <c r="S68" s="596" t="str">
        <f t="shared" si="46"/>
        <v/>
      </c>
      <c r="T68" s="596" t="str">
        <f t="shared" si="47"/>
        <v/>
      </c>
      <c r="V68" s="600" t="str">
        <f>VLOOKUP(O65&amp;"3",Lookup08,2,FALSE)</f>
        <v>Austria</v>
      </c>
      <c r="W68" s="601" t="str">
        <f>"Team "&amp;O65&amp;"3"</f>
        <v>Team J3</v>
      </c>
      <c r="X68" s="596">
        <f>SUM(Y68:AA68)</f>
        <v>0</v>
      </c>
      <c r="Y68" s="596">
        <f>COUNTIF(Group_Winners,V68)</f>
        <v>0</v>
      </c>
      <c r="Z68" s="596">
        <f>COUNTIF(Group_Draws,"D"&amp;V68)</f>
        <v>0</v>
      </c>
      <c r="AA68" s="596">
        <f>COUNTIF(Group_Losers,V68)</f>
        <v>0</v>
      </c>
      <c r="AB68" s="596">
        <f>SUM(Q67,R68,R70)</f>
        <v>0</v>
      </c>
      <c r="AC68" s="596">
        <f>SUM(R67,Q68,Q70)</f>
        <v>0</v>
      </c>
      <c r="AD68" s="596">
        <f>AB68-AC68</f>
        <v>0</v>
      </c>
      <c r="AE68" s="596">
        <f>Y68*Wpts+Z68*Dpts+AA68*Lpts</f>
        <v>0</v>
      </c>
      <c r="AF68" s="596">
        <f>SUM(S67,T68,T70)</f>
        <v>0</v>
      </c>
    </row>
    <row r="69" spans="3:32" ht="15" customHeight="1" x14ac:dyDescent="0.2">
      <c r="C69" s="617" t="s">
        <v>295</v>
      </c>
      <c r="D69" s="626"/>
      <c r="E69" s="627"/>
      <c r="F69" s="628"/>
      <c r="I69" s="97"/>
      <c r="O69" s="596" t="s">
        <v>541</v>
      </c>
      <c r="P69" s="596" t="str">
        <f>O65&amp;LEFT(O69)&amp;O65&amp;RIGHT(O69)</f>
        <v>J4J2</v>
      </c>
      <c r="Q69" s="596" t="str">
        <f t="shared" si="44"/>
        <v/>
      </c>
      <c r="R69" s="596" t="str">
        <f t="shared" si="45"/>
        <v/>
      </c>
      <c r="S69" s="596" t="str">
        <f t="shared" si="46"/>
        <v/>
      </c>
      <c r="T69" s="596" t="str">
        <f t="shared" si="47"/>
        <v/>
      </c>
      <c r="V69" s="600" t="str">
        <f>VLOOKUP(O65&amp;"4",Lookup08,2,FALSE)</f>
        <v>Jordan</v>
      </c>
      <c r="W69" s="601" t="str">
        <f>"Team "&amp;O65&amp;"4"</f>
        <v>Team J4</v>
      </c>
      <c r="X69" s="596">
        <f>SUM(Y69:AA69)</f>
        <v>0</v>
      </c>
      <c r="Y69" s="596">
        <f>COUNTIF(Group_Winners,V69)</f>
        <v>0</v>
      </c>
      <c r="Z69" s="596">
        <f>COUNTIF(Group_Draws,"D"&amp;V69)</f>
        <v>0</v>
      </c>
      <c r="AA69" s="596">
        <f>COUNTIF(Group_Losers,V69)</f>
        <v>0</v>
      </c>
      <c r="AB69" s="596">
        <f>SUM(R67,Q69,Q71)</f>
        <v>0</v>
      </c>
      <c r="AC69" s="596">
        <f>SUM(Q67,R69,R71)</f>
        <v>0</v>
      </c>
      <c r="AD69" s="596">
        <f>AB69-AC69</f>
        <v>0</v>
      </c>
      <c r="AE69" s="596">
        <f>Y69*Wpts+Z69*Dpts+AA69*Lpts</f>
        <v>0</v>
      </c>
      <c r="AF69" s="596">
        <f>SUM(T67,S69,S71)</f>
        <v>0</v>
      </c>
    </row>
    <row r="70" spans="3:32" ht="15" customHeight="1" x14ac:dyDescent="0.2">
      <c r="C70" s="618" t="s">
        <v>26</v>
      </c>
      <c r="D70" s="619">
        <f>SUM(D58:D69)</f>
        <v>128</v>
      </c>
      <c r="E70" s="620">
        <f>SUM(E58:E69)</f>
        <v>75</v>
      </c>
      <c r="F70" s="621">
        <f>SUM(F58:F69)</f>
        <v>117</v>
      </c>
      <c r="I70" s="97"/>
      <c r="O70" s="596" t="s">
        <v>540</v>
      </c>
      <c r="P70" s="596" t="str">
        <f>O65&amp;LEFT(O70)&amp;O65&amp;RIGHT(O70)</f>
        <v>J2J3</v>
      </c>
      <c r="Q70" s="596" t="str">
        <f t="shared" si="44"/>
        <v/>
      </c>
      <c r="R70" s="596" t="str">
        <f t="shared" si="45"/>
        <v/>
      </c>
      <c r="S70" s="596" t="str">
        <f t="shared" si="46"/>
        <v/>
      </c>
      <c r="T70" s="596" t="str">
        <f t="shared" si="47"/>
        <v/>
      </c>
      <c r="AE70" s="98"/>
    </row>
    <row r="71" spans="3:32" ht="15" customHeight="1" thickBot="1" x14ac:dyDescent="0.25">
      <c r="C71" s="622" t="s">
        <v>109</v>
      </c>
      <c r="D71" s="623">
        <f>IFERROR(D70/(D70+E70+F70),0)</f>
        <v>0.4</v>
      </c>
      <c r="E71" s="624">
        <f>IFERROR(E70/(D70+E70+F70),0)</f>
        <v>0.234375</v>
      </c>
      <c r="F71" s="625">
        <f>IFERROR(F70/(D70+E70+F70),0)</f>
        <v>0.36562499999999998</v>
      </c>
      <c r="I71" s="97"/>
      <c r="O71" s="596" t="s">
        <v>539</v>
      </c>
      <c r="P71" s="596" t="str">
        <f>O65&amp;LEFT(O71)&amp;O65&amp;RIGHT(O71)</f>
        <v>J4J1</v>
      </c>
      <c r="Q71" s="596" t="str">
        <f t="shared" si="44"/>
        <v/>
      </c>
      <c r="R71" s="596" t="str">
        <f t="shared" si="45"/>
        <v/>
      </c>
      <c r="S71" s="596" t="str">
        <f t="shared" si="46"/>
        <v/>
      </c>
      <c r="T71" s="596" t="str">
        <f t="shared" si="47"/>
        <v/>
      </c>
      <c r="AE71" s="98"/>
    </row>
    <row r="72" spans="3:32" ht="15" customHeight="1" thickTop="1" x14ac:dyDescent="0.2">
      <c r="O72" s="592" t="s">
        <v>623</v>
      </c>
      <c r="P72" s="592"/>
      <c r="Q72" s="592" t="s">
        <v>337</v>
      </c>
      <c r="R72" s="592" t="s">
        <v>337</v>
      </c>
      <c r="S72" s="592" t="s">
        <v>413</v>
      </c>
      <c r="T72" s="592" t="s">
        <v>413</v>
      </c>
      <c r="V72" s="593" t="str">
        <f>O$1&amp;" "&amp;O72</f>
        <v>Group K</v>
      </c>
      <c r="W72" s="594"/>
      <c r="X72" s="595" t="s">
        <v>311</v>
      </c>
      <c r="Y72" s="595" t="s">
        <v>305</v>
      </c>
      <c r="Z72" s="595" t="s">
        <v>15</v>
      </c>
      <c r="AA72" s="595" t="s">
        <v>306</v>
      </c>
      <c r="AB72" s="595" t="s">
        <v>307</v>
      </c>
      <c r="AC72" s="595" t="s">
        <v>16</v>
      </c>
      <c r="AD72" s="595" t="s">
        <v>308</v>
      </c>
      <c r="AE72" s="595" t="s">
        <v>566</v>
      </c>
      <c r="AF72" s="595" t="s">
        <v>616</v>
      </c>
    </row>
    <row r="73" spans="3:32" ht="15" customHeight="1" x14ac:dyDescent="0.2">
      <c r="C73" s="629"/>
      <c r="D73" s="120" t="s">
        <v>298</v>
      </c>
      <c r="O73" s="596" t="s">
        <v>537</v>
      </c>
      <c r="P73" s="596" t="str">
        <f>O72&amp;LEFT(O73)&amp;O72&amp;RIGHT(O73)</f>
        <v>K1K2</v>
      </c>
      <c r="Q73" s="596" t="str">
        <f t="shared" ref="Q73:Q78" si="48">IFERROR(IF(VLOOKUP(P73,GroupStage,6,FALSE)="","",VLOOKUP(P73,GroupStage,6,FALSE)),"")</f>
        <v/>
      </c>
      <c r="R73" s="596" t="str">
        <f t="shared" ref="R73:R78" si="49">IFERROR(IF(VLOOKUP(P73,GroupStage,8,FALSE)="","",VLOOKUP(P73,GroupStage,8,FALSE)),"")</f>
        <v/>
      </c>
      <c r="S73" s="596" t="str">
        <f t="shared" ref="S73:S78" si="50">IFERROR(IF(VLOOKUP(P73,GroupStage,6,FALSE)="","",VLOOKUP(P73,Lookup09,9,FALSE)),"")</f>
        <v/>
      </c>
      <c r="T73" s="596" t="str">
        <f t="shared" ref="T73:T78" si="51">IFERROR(IF(VLOOKUP(P73,GroupStage,8,FALSE)="","",VLOOKUP(P73,Lookup09,14,FALSE)),"")</f>
        <v/>
      </c>
      <c r="V73" s="600" t="str">
        <f>VLOOKUP(O72&amp;"1",Lookup08,2,FALSE)</f>
        <v>Portugal</v>
      </c>
      <c r="W73" s="601" t="str">
        <f>"Team "&amp;O72&amp;"1"</f>
        <v>Team K1</v>
      </c>
      <c r="X73" s="596">
        <f>SUM(Y73:AA73)</f>
        <v>0</v>
      </c>
      <c r="Y73" s="596">
        <f>COUNTIF(Group_Winners,V73)</f>
        <v>0</v>
      </c>
      <c r="Z73" s="596">
        <f>COUNTIF(Group_Draws,"D"&amp;V73)</f>
        <v>0</v>
      </c>
      <c r="AA73" s="596">
        <f>COUNTIF(Group_Losers,V73)</f>
        <v>0</v>
      </c>
      <c r="AB73" s="596">
        <f>SUM(Q73,Q75,R78)</f>
        <v>0</v>
      </c>
      <c r="AC73" s="596">
        <f>SUM(R73,R75,Q78)</f>
        <v>0</v>
      </c>
      <c r="AD73" s="596">
        <f>AB73-AC73</f>
        <v>0</v>
      </c>
      <c r="AE73" s="596">
        <f>Y73*Wpts+Z73*Dpts+AA73*Lpts</f>
        <v>0</v>
      </c>
      <c r="AF73" s="596">
        <f>SUM(S73,S75,T78)</f>
        <v>0</v>
      </c>
    </row>
    <row r="74" spans="3:32" ht="15" customHeight="1" x14ac:dyDescent="0.2">
      <c r="C74" s="597" t="s">
        <v>299</v>
      </c>
      <c r="D74" s="122">
        <v>3</v>
      </c>
      <c r="O74" s="596" t="s">
        <v>542</v>
      </c>
      <c r="P74" s="596" t="str">
        <f>O72&amp;LEFT(O74)&amp;O72&amp;RIGHT(O74)</f>
        <v>K3K4</v>
      </c>
      <c r="Q74" s="596" t="str">
        <f t="shared" si="48"/>
        <v/>
      </c>
      <c r="R74" s="596" t="str">
        <f t="shared" si="49"/>
        <v/>
      </c>
      <c r="S74" s="596" t="str">
        <f t="shared" si="50"/>
        <v/>
      </c>
      <c r="T74" s="596" t="str">
        <f t="shared" si="51"/>
        <v/>
      </c>
      <c r="V74" s="600" t="str">
        <f>VLOOKUP(O72&amp;"2",Lookup08,2,FALSE)</f>
        <v>Congo DR</v>
      </c>
      <c r="W74" s="601" t="str">
        <f>"Team "&amp;O72&amp;"2"</f>
        <v>Team K2</v>
      </c>
      <c r="X74" s="596">
        <f>SUM(Y74:AA74)</f>
        <v>0</v>
      </c>
      <c r="Y74" s="596">
        <f>COUNTIF(Group_Winners,V74)</f>
        <v>0</v>
      </c>
      <c r="Z74" s="596">
        <f>COUNTIF(Group_Draws,"D"&amp;V74)</f>
        <v>0</v>
      </c>
      <c r="AA74" s="596">
        <f>COUNTIF(Group_Losers,V74)</f>
        <v>0</v>
      </c>
      <c r="AB74" s="596">
        <f>SUM(R73,R76,Q77)</f>
        <v>0</v>
      </c>
      <c r="AC74" s="596">
        <f>SUM(Q73,Q76,R77)</f>
        <v>0</v>
      </c>
      <c r="AD74" s="596">
        <f>AB74-AC74</f>
        <v>0</v>
      </c>
      <c r="AE74" s="596">
        <f>Y74*Wpts+Z74*Dpts+AA74*Lpts</f>
        <v>0</v>
      </c>
      <c r="AF74" s="596">
        <f>SUM(T73,T76,S77)</f>
        <v>0</v>
      </c>
    </row>
    <row r="75" spans="3:32" ht="15" customHeight="1" x14ac:dyDescent="0.2">
      <c r="C75" s="597" t="s">
        <v>300</v>
      </c>
      <c r="D75" s="122">
        <v>1</v>
      </c>
      <c r="O75" s="596" t="s">
        <v>538</v>
      </c>
      <c r="P75" s="596" t="str">
        <f>O72&amp;LEFT(O75)&amp;O72&amp;RIGHT(O75)</f>
        <v>K1K3</v>
      </c>
      <c r="Q75" s="596" t="str">
        <f t="shared" si="48"/>
        <v/>
      </c>
      <c r="R75" s="596" t="str">
        <f t="shared" si="49"/>
        <v/>
      </c>
      <c r="S75" s="596" t="str">
        <f t="shared" si="50"/>
        <v/>
      </c>
      <c r="T75" s="596" t="str">
        <f t="shared" si="51"/>
        <v/>
      </c>
      <c r="V75" s="600" t="str">
        <f>VLOOKUP(O72&amp;"3",Lookup08,2,FALSE)</f>
        <v>Uzbekistan</v>
      </c>
      <c r="W75" s="601" t="str">
        <f>"Team "&amp;O72&amp;"3"</f>
        <v>Team K3</v>
      </c>
      <c r="X75" s="596">
        <f>SUM(Y75:AA75)</f>
        <v>0</v>
      </c>
      <c r="Y75" s="596">
        <f>COUNTIF(Group_Winners,V75)</f>
        <v>0</v>
      </c>
      <c r="Z75" s="596">
        <f>COUNTIF(Group_Draws,"D"&amp;V75)</f>
        <v>0</v>
      </c>
      <c r="AA75" s="596">
        <f>COUNTIF(Group_Losers,V75)</f>
        <v>0</v>
      </c>
      <c r="AB75" s="596">
        <f>SUM(Q74,R75,R77)</f>
        <v>0</v>
      </c>
      <c r="AC75" s="596">
        <f>SUM(R74,Q75,Q77)</f>
        <v>0</v>
      </c>
      <c r="AD75" s="596">
        <f>AB75-AC75</f>
        <v>0</v>
      </c>
      <c r="AE75" s="596">
        <f>Y75*Wpts+Z75*Dpts+AA75*Lpts</f>
        <v>0</v>
      </c>
      <c r="AF75" s="596">
        <f>SUM(S74,T75,T77)</f>
        <v>0</v>
      </c>
    </row>
    <row r="76" spans="3:32" ht="15" customHeight="1" x14ac:dyDescent="0.2">
      <c r="C76" s="597" t="s">
        <v>301</v>
      </c>
      <c r="D76" s="122">
        <v>0</v>
      </c>
      <c r="O76" s="596" t="s">
        <v>541</v>
      </c>
      <c r="P76" s="596" t="str">
        <f>O72&amp;LEFT(O76)&amp;O72&amp;RIGHT(O76)</f>
        <v>K4K2</v>
      </c>
      <c r="Q76" s="596" t="str">
        <f t="shared" si="48"/>
        <v/>
      </c>
      <c r="R76" s="596" t="str">
        <f t="shared" si="49"/>
        <v/>
      </c>
      <c r="S76" s="596" t="str">
        <f t="shared" si="50"/>
        <v/>
      </c>
      <c r="T76" s="596" t="str">
        <f t="shared" si="51"/>
        <v/>
      </c>
      <c r="V76" s="600" t="str">
        <f>VLOOKUP(O72&amp;"4",Lookup08,2,FALSE)</f>
        <v>Colombia</v>
      </c>
      <c r="W76" s="601" t="str">
        <f>"Team "&amp;O72&amp;"4"</f>
        <v>Team K4</v>
      </c>
      <c r="X76" s="596">
        <f>SUM(Y76:AA76)</f>
        <v>0</v>
      </c>
      <c r="Y76" s="596">
        <f>COUNTIF(Group_Winners,V76)</f>
        <v>0</v>
      </c>
      <c r="Z76" s="596">
        <f>COUNTIF(Group_Draws,"D"&amp;V76)</f>
        <v>0</v>
      </c>
      <c r="AA76" s="596">
        <f>COUNTIF(Group_Losers,V76)</f>
        <v>0</v>
      </c>
      <c r="AB76" s="596">
        <f>SUM(R74,Q76,Q78)</f>
        <v>0</v>
      </c>
      <c r="AC76" s="596">
        <f>SUM(Q74,R76,R78)</f>
        <v>0</v>
      </c>
      <c r="AD76" s="596">
        <f>AB76-AC76</f>
        <v>0</v>
      </c>
      <c r="AE76" s="596">
        <f>Y76*Wpts+Z76*Dpts+AA76*Lpts</f>
        <v>0</v>
      </c>
      <c r="AF76" s="596">
        <f>SUM(T74,S76,S78)</f>
        <v>0</v>
      </c>
    </row>
    <row r="77" spans="3:32" ht="15" customHeight="1" x14ac:dyDescent="0.2">
      <c r="C77" s="603"/>
      <c r="D77" s="97"/>
      <c r="O77" s="596" t="s">
        <v>540</v>
      </c>
      <c r="P77" s="596" t="str">
        <f>O72&amp;LEFT(O77)&amp;O72&amp;RIGHT(O77)</f>
        <v>K2K3</v>
      </c>
      <c r="Q77" s="596" t="str">
        <f t="shared" si="48"/>
        <v/>
      </c>
      <c r="R77" s="596" t="str">
        <f t="shared" si="49"/>
        <v/>
      </c>
      <c r="S77" s="596" t="str">
        <f t="shared" si="50"/>
        <v/>
      </c>
      <c r="T77" s="596" t="str">
        <f t="shared" si="51"/>
        <v/>
      </c>
      <c r="AE77" s="98"/>
    </row>
    <row r="78" spans="3:32" ht="15" customHeight="1" x14ac:dyDescent="0.2">
      <c r="C78" s="629"/>
      <c r="D78" s="120" t="s">
        <v>392</v>
      </c>
      <c r="O78" s="596" t="s">
        <v>539</v>
      </c>
      <c r="P78" s="596" t="str">
        <f>O72&amp;LEFT(O78)&amp;O72&amp;RIGHT(O78)</f>
        <v>K4K1</v>
      </c>
      <c r="Q78" s="596" t="str">
        <f t="shared" si="48"/>
        <v/>
      </c>
      <c r="R78" s="596" t="str">
        <f t="shared" si="49"/>
        <v/>
      </c>
      <c r="S78" s="596" t="str">
        <f t="shared" si="50"/>
        <v/>
      </c>
      <c r="T78" s="596" t="str">
        <f t="shared" si="51"/>
        <v/>
      </c>
      <c r="AE78" s="98"/>
    </row>
    <row r="79" spans="3:32" ht="15" customHeight="1" x14ac:dyDescent="0.2">
      <c r="C79" s="597" t="s">
        <v>302</v>
      </c>
      <c r="D79" s="600">
        <f>SUM(Poster!F8:H195)</f>
        <v>46</v>
      </c>
      <c r="O79" s="592" t="s">
        <v>306</v>
      </c>
      <c r="P79" s="592"/>
      <c r="Q79" s="592" t="s">
        <v>337</v>
      </c>
      <c r="R79" s="592" t="s">
        <v>337</v>
      </c>
      <c r="S79" s="592" t="s">
        <v>413</v>
      </c>
      <c r="T79" s="592" t="s">
        <v>413</v>
      </c>
      <c r="V79" s="593" t="str">
        <f>O$1&amp;" "&amp;O79</f>
        <v>Group L</v>
      </c>
      <c r="W79" s="594"/>
      <c r="X79" s="595" t="s">
        <v>311</v>
      </c>
      <c r="Y79" s="595" t="s">
        <v>305</v>
      </c>
      <c r="Z79" s="595" t="s">
        <v>15</v>
      </c>
      <c r="AA79" s="595" t="s">
        <v>306</v>
      </c>
      <c r="AB79" s="595" t="s">
        <v>307</v>
      </c>
      <c r="AC79" s="595" t="s">
        <v>16</v>
      </c>
      <c r="AD79" s="595" t="s">
        <v>308</v>
      </c>
      <c r="AE79" s="595" t="s">
        <v>566</v>
      </c>
      <c r="AF79" s="595" t="s">
        <v>616</v>
      </c>
    </row>
    <row r="80" spans="3:32" ht="15" customHeight="1" x14ac:dyDescent="0.2">
      <c r="O80" s="596" t="s">
        <v>537</v>
      </c>
      <c r="P80" s="596" t="str">
        <f>O79&amp;LEFT(O80)&amp;O79&amp;RIGHT(O80)</f>
        <v>L1L2</v>
      </c>
      <c r="Q80" s="596" t="str">
        <f t="shared" ref="Q80:Q85" si="52">IFERROR(IF(VLOOKUP(P80,GroupStage,6,FALSE)="","",VLOOKUP(P80,GroupStage,6,FALSE)),"")</f>
        <v/>
      </c>
      <c r="R80" s="596" t="str">
        <f t="shared" ref="R80:R85" si="53">IFERROR(IF(VLOOKUP(P80,GroupStage,8,FALSE)="","",VLOOKUP(P80,GroupStage,8,FALSE)),"")</f>
        <v/>
      </c>
      <c r="S80" s="596" t="str">
        <f t="shared" ref="S80:S85" si="54">IFERROR(IF(VLOOKUP(P80,GroupStage,6,FALSE)="","",VLOOKUP(P80,Lookup09,9,FALSE)),"")</f>
        <v/>
      </c>
      <c r="T80" s="596" t="str">
        <f t="shared" ref="T80:T85" si="55">IFERROR(IF(VLOOKUP(P80,GroupStage,8,FALSE)="","",VLOOKUP(P80,Lookup09,14,FALSE)),"")</f>
        <v/>
      </c>
      <c r="V80" s="600" t="str">
        <f>VLOOKUP(O79&amp;"1",Lookup08,2,FALSE)</f>
        <v>England</v>
      </c>
      <c r="W80" s="601" t="str">
        <f>"Team "&amp;O79&amp;"1"</f>
        <v>Team L1</v>
      </c>
      <c r="X80" s="596">
        <f>SUM(Y80:AA80)</f>
        <v>0</v>
      </c>
      <c r="Y80" s="596">
        <f>COUNTIF(Group_Winners,V80)</f>
        <v>0</v>
      </c>
      <c r="Z80" s="596">
        <f>COUNTIF(Group_Draws,"D"&amp;V80)</f>
        <v>0</v>
      </c>
      <c r="AA80" s="596">
        <f>COUNTIF(Group_Losers,V80)</f>
        <v>0</v>
      </c>
      <c r="AB80" s="596">
        <f>SUM(Q80,Q82,R85)</f>
        <v>0</v>
      </c>
      <c r="AC80" s="596">
        <f>SUM(R80,R82,Q85)</f>
        <v>0</v>
      </c>
      <c r="AD80" s="596">
        <f>AB80-AC80</f>
        <v>0</v>
      </c>
      <c r="AE80" s="596">
        <f>Y80*Wpts+Z80*Dpts+AA80*Lpts</f>
        <v>0</v>
      </c>
      <c r="AF80" s="596">
        <f>SUM(S80,S82,T85)</f>
        <v>0</v>
      </c>
    </row>
    <row r="81" spans="15:32" ht="15" customHeight="1" x14ac:dyDescent="0.2">
      <c r="O81" s="596" t="s">
        <v>542</v>
      </c>
      <c r="P81" s="596" t="str">
        <f>O79&amp;LEFT(O81)&amp;O79&amp;RIGHT(O81)</f>
        <v>L3L4</v>
      </c>
      <c r="Q81" s="596" t="str">
        <f t="shared" si="52"/>
        <v/>
      </c>
      <c r="R81" s="596" t="str">
        <f t="shared" si="53"/>
        <v/>
      </c>
      <c r="S81" s="596" t="str">
        <f t="shared" si="54"/>
        <v/>
      </c>
      <c r="T81" s="596" t="str">
        <f t="shared" si="55"/>
        <v/>
      </c>
      <c r="V81" s="600" t="str">
        <f>VLOOKUP(O79&amp;"2",Lookup08,2,FALSE)</f>
        <v>Croatia</v>
      </c>
      <c r="W81" s="601" t="str">
        <f>"Team "&amp;O79&amp;"2"</f>
        <v>Team L2</v>
      </c>
      <c r="X81" s="596">
        <f>SUM(Y81:AA81)</f>
        <v>0</v>
      </c>
      <c r="Y81" s="596">
        <f>COUNTIF(Group_Winners,V81)</f>
        <v>0</v>
      </c>
      <c r="Z81" s="596">
        <f>COUNTIF(Group_Draws,"D"&amp;V81)</f>
        <v>0</v>
      </c>
      <c r="AA81" s="596">
        <f>COUNTIF(Group_Losers,V81)</f>
        <v>0</v>
      </c>
      <c r="AB81" s="596">
        <f>SUM(R80,R83,Q84)</f>
        <v>0</v>
      </c>
      <c r="AC81" s="596">
        <f>SUM(Q80,Q83,R84)</f>
        <v>0</v>
      </c>
      <c r="AD81" s="596">
        <f>AB81-AC81</f>
        <v>0</v>
      </c>
      <c r="AE81" s="596">
        <f>Y81*Wpts+Z81*Dpts+AA81*Lpts</f>
        <v>0</v>
      </c>
      <c r="AF81" s="596">
        <f>SUM(T80,T83,S84)</f>
        <v>0</v>
      </c>
    </row>
    <row r="82" spans="15:32" ht="15" customHeight="1" x14ac:dyDescent="0.2">
      <c r="O82" s="596" t="s">
        <v>538</v>
      </c>
      <c r="P82" s="596" t="str">
        <f>O79&amp;LEFT(O82)&amp;O79&amp;RIGHT(O82)</f>
        <v>L1L3</v>
      </c>
      <c r="Q82" s="596" t="str">
        <f t="shared" si="52"/>
        <v/>
      </c>
      <c r="R82" s="596" t="str">
        <f t="shared" si="53"/>
        <v/>
      </c>
      <c r="S82" s="596" t="str">
        <f t="shared" si="54"/>
        <v/>
      </c>
      <c r="T82" s="596" t="str">
        <f t="shared" si="55"/>
        <v/>
      </c>
      <c r="V82" s="600" t="str">
        <f>VLOOKUP(O79&amp;"3",Lookup08,2,FALSE)</f>
        <v>Ghana</v>
      </c>
      <c r="W82" s="601" t="str">
        <f>"Team "&amp;O79&amp;"3"</f>
        <v>Team L3</v>
      </c>
      <c r="X82" s="596">
        <f>SUM(Y82:AA82)</f>
        <v>0</v>
      </c>
      <c r="Y82" s="596">
        <f>COUNTIF(Group_Winners,V82)</f>
        <v>0</v>
      </c>
      <c r="Z82" s="596">
        <f>COUNTIF(Group_Draws,"D"&amp;V82)</f>
        <v>0</v>
      </c>
      <c r="AA82" s="596">
        <f>COUNTIF(Group_Losers,V82)</f>
        <v>0</v>
      </c>
      <c r="AB82" s="596">
        <f>SUM(Q81,R82,R84)</f>
        <v>0</v>
      </c>
      <c r="AC82" s="596">
        <f>SUM(R81,Q82,Q84)</f>
        <v>0</v>
      </c>
      <c r="AD82" s="596">
        <f>AB82-AC82</f>
        <v>0</v>
      </c>
      <c r="AE82" s="596">
        <f>Y82*Wpts+Z82*Dpts+AA82*Lpts</f>
        <v>0</v>
      </c>
      <c r="AF82" s="596">
        <f>SUM(S81,T82,T84)</f>
        <v>0</v>
      </c>
    </row>
    <row r="83" spans="15:32" ht="15" customHeight="1" x14ac:dyDescent="0.2">
      <c r="O83" s="596" t="s">
        <v>541</v>
      </c>
      <c r="P83" s="596" t="str">
        <f>O79&amp;LEFT(O83)&amp;O79&amp;RIGHT(O83)</f>
        <v>L4L2</v>
      </c>
      <c r="Q83" s="596" t="str">
        <f t="shared" si="52"/>
        <v/>
      </c>
      <c r="R83" s="596" t="str">
        <f t="shared" si="53"/>
        <v/>
      </c>
      <c r="S83" s="596" t="str">
        <f t="shared" si="54"/>
        <v/>
      </c>
      <c r="T83" s="596" t="str">
        <f t="shared" si="55"/>
        <v/>
      </c>
      <c r="V83" s="600" t="str">
        <f>VLOOKUP(O79&amp;"4",Lookup08,2,FALSE)</f>
        <v>Panama</v>
      </c>
      <c r="W83" s="601" t="str">
        <f>"Team "&amp;O79&amp;"4"</f>
        <v>Team L4</v>
      </c>
      <c r="X83" s="596">
        <f>SUM(Y83:AA83)</f>
        <v>0</v>
      </c>
      <c r="Y83" s="596">
        <f>COUNTIF(Group_Winners,V83)</f>
        <v>0</v>
      </c>
      <c r="Z83" s="596">
        <f>COUNTIF(Group_Draws,"D"&amp;V83)</f>
        <v>0</v>
      </c>
      <c r="AA83" s="596">
        <f>COUNTIF(Group_Losers,V83)</f>
        <v>0</v>
      </c>
      <c r="AB83" s="596">
        <f>SUM(R81,Q83,Q85)</f>
        <v>0</v>
      </c>
      <c r="AC83" s="596">
        <f>SUM(Q81,R83,R85)</f>
        <v>0</v>
      </c>
      <c r="AD83" s="596">
        <f>AB83-AC83</f>
        <v>0</v>
      </c>
      <c r="AE83" s="596">
        <f>Y83*Wpts+Z83*Dpts+AA83*Lpts</f>
        <v>0</v>
      </c>
      <c r="AF83" s="596">
        <f>SUM(T81,S83,S85)</f>
        <v>0</v>
      </c>
    </row>
    <row r="84" spans="15:32" ht="15" customHeight="1" x14ac:dyDescent="0.2">
      <c r="O84" s="596" t="s">
        <v>540</v>
      </c>
      <c r="P84" s="596" t="str">
        <f>O79&amp;LEFT(O84)&amp;O79&amp;RIGHT(O84)</f>
        <v>L2L3</v>
      </c>
      <c r="Q84" s="596" t="str">
        <f t="shared" si="52"/>
        <v/>
      </c>
      <c r="R84" s="596" t="str">
        <f t="shared" si="53"/>
        <v/>
      </c>
      <c r="S84" s="596" t="str">
        <f t="shared" si="54"/>
        <v/>
      </c>
      <c r="T84" s="596" t="str">
        <f t="shared" si="55"/>
        <v/>
      </c>
      <c r="AE84" s="98"/>
    </row>
    <row r="85" spans="15:32" ht="15" customHeight="1" x14ac:dyDescent="0.2">
      <c r="O85" s="596" t="s">
        <v>539</v>
      </c>
      <c r="P85" s="596" t="str">
        <f>O79&amp;LEFT(O85)&amp;O79&amp;RIGHT(O85)</f>
        <v>L4L1</v>
      </c>
      <c r="Q85" s="596" t="str">
        <f t="shared" si="52"/>
        <v/>
      </c>
      <c r="R85" s="596" t="str">
        <f t="shared" si="53"/>
        <v/>
      </c>
      <c r="S85" s="596" t="str">
        <f t="shared" si="54"/>
        <v/>
      </c>
      <c r="T85" s="596" t="str">
        <f t="shared" si="55"/>
        <v/>
      </c>
      <c r="AE85" s="98"/>
    </row>
  </sheetData>
  <sheetProtection selectLockedCells="1"/>
  <mergeCells count="7">
    <mergeCell ref="M1:M2"/>
    <mergeCell ref="K1:K2"/>
    <mergeCell ref="B1:B2"/>
    <mergeCell ref="C1:C2"/>
    <mergeCell ref="A1:A2"/>
    <mergeCell ref="I1:I2"/>
    <mergeCell ref="J1:J2"/>
  </mergeCells>
  <phoneticPr fontId="30" type="noConversion"/>
  <pageMargins left="0.7" right="0.7" top="0.75" bottom="0.75" header="0.3" footer="0.3"/>
  <pageSetup paperSize="9" orientation="portrait" verticalDpi="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39997558519241921"/>
    <pageSetUpPr fitToPage="1"/>
  </sheetPr>
  <dimension ref="A1:L56"/>
  <sheetViews>
    <sheetView showGridLines="0" zoomScaleNormal="100" workbookViewId="0">
      <pane xSplit="4" ySplit="1" topLeftCell="E2" activePane="bottomRight" state="frozen"/>
      <selection activeCell="J3" sqref="J3"/>
      <selection pane="topRight" activeCell="J3" sqref="J3"/>
      <selection pane="bottomLeft" activeCell="J3" sqref="J3"/>
      <selection pane="bottomRight" activeCell="J3" sqref="J3"/>
    </sheetView>
  </sheetViews>
  <sheetFormatPr defaultColWidth="9.140625" defaultRowHeight="17.100000000000001" customHeight="1" x14ac:dyDescent="0.25"/>
  <cols>
    <col min="1" max="1" width="5.7109375" style="13" customWidth="1"/>
    <col min="2" max="2" width="30.7109375" style="10"/>
    <col min="3" max="3" width="10.7109375" style="10" customWidth="1"/>
    <col min="4" max="12" width="10.7109375" style="18" customWidth="1"/>
    <col min="13" max="16384" width="9.140625" style="10"/>
  </cols>
  <sheetData>
    <row r="1" spans="1:12" s="13" customFormat="1" ht="17.100000000000001" customHeight="1" x14ac:dyDescent="0.25">
      <c r="A1" s="129" t="s">
        <v>6</v>
      </c>
      <c r="B1" s="128" t="str">
        <f>League</f>
        <v>2026 FIFA World Cup Americas</v>
      </c>
      <c r="C1" s="129" t="s">
        <v>271</v>
      </c>
      <c r="D1" s="130" t="s">
        <v>5</v>
      </c>
      <c r="E1" s="130">
        <v>1</v>
      </c>
      <c r="F1" s="130">
        <v>2</v>
      </c>
      <c r="G1" s="130">
        <v>3</v>
      </c>
      <c r="H1" s="130">
        <v>4</v>
      </c>
      <c r="I1" s="130">
        <v>5</v>
      </c>
      <c r="J1" s="130">
        <v>6</v>
      </c>
      <c r="K1" s="130">
        <v>7</v>
      </c>
      <c r="L1" s="130">
        <v>8</v>
      </c>
    </row>
    <row r="2" spans="1:12" ht="17.100000000000001" customHeight="1" x14ac:dyDescent="0.25">
      <c r="A2" s="14">
        <v>1</v>
      </c>
      <c r="B2" s="118" t="str">
        <f>Data!J3</f>
        <v>Argentina</v>
      </c>
      <c r="C2" s="127">
        <f t="shared" ref="C2:C49" si="0">VLOOKUP(A2,Lookup15,4,FALSE)</f>
        <v>1877</v>
      </c>
      <c r="D2" s="17">
        <f t="shared" ref="D2:D49" si="1">VLOOKUP(A2,Lookup15,5,FALSE)</f>
        <v>1792</v>
      </c>
      <c r="E2" s="89">
        <f t="shared" ref="E2:L11" si="2">IFERROR(IFERROR(D2+VLOOKUP(CONCATENATE("T",$A2,"G",E$1),Lookup01,2,FALSE),D2+VLOOKUP(CONCATENATE("T",$A2,"G",E$1),Lookup02,2,FALSE)/2),D2)</f>
        <v>1792</v>
      </c>
      <c r="F2" s="89">
        <f t="shared" si="2"/>
        <v>1792</v>
      </c>
      <c r="G2" s="89">
        <f t="shared" si="2"/>
        <v>1792</v>
      </c>
      <c r="H2" s="89">
        <f t="shared" si="2"/>
        <v>1792</v>
      </c>
      <c r="I2" s="89">
        <f t="shared" si="2"/>
        <v>1792</v>
      </c>
      <c r="J2" s="89">
        <f t="shared" si="2"/>
        <v>1792</v>
      </c>
      <c r="K2" s="89">
        <f t="shared" si="2"/>
        <v>1792</v>
      </c>
      <c r="L2" s="89">
        <f t="shared" si="2"/>
        <v>1792</v>
      </c>
    </row>
    <row r="3" spans="1:12" ht="17.100000000000001" customHeight="1" x14ac:dyDescent="0.25">
      <c r="A3" s="14">
        <v>2</v>
      </c>
      <c r="B3" s="118" t="str">
        <f>Data!J4</f>
        <v>Spain</v>
      </c>
      <c r="C3" s="127">
        <f t="shared" si="0"/>
        <v>1875</v>
      </c>
      <c r="D3" s="17">
        <f t="shared" si="1"/>
        <v>1835</v>
      </c>
      <c r="E3" s="89">
        <f t="shared" si="2"/>
        <v>1821.425</v>
      </c>
      <c r="F3" s="89">
        <f t="shared" si="2"/>
        <v>1821.425</v>
      </c>
      <c r="G3" s="89">
        <f t="shared" si="2"/>
        <v>1821.425</v>
      </c>
      <c r="H3" s="89">
        <f t="shared" si="2"/>
        <v>1821.425</v>
      </c>
      <c r="I3" s="89">
        <f t="shared" si="2"/>
        <v>1821.425</v>
      </c>
      <c r="J3" s="89">
        <f t="shared" si="2"/>
        <v>1821.425</v>
      </c>
      <c r="K3" s="89">
        <f t="shared" si="2"/>
        <v>1821.425</v>
      </c>
      <c r="L3" s="89">
        <f t="shared" si="2"/>
        <v>1821.425</v>
      </c>
    </row>
    <row r="4" spans="1:12" ht="17.100000000000001" customHeight="1" x14ac:dyDescent="0.25">
      <c r="A4" s="14">
        <v>3</v>
      </c>
      <c r="B4" s="118" t="str">
        <f>Data!J5</f>
        <v>France</v>
      </c>
      <c r="C4" s="127">
        <f t="shared" si="0"/>
        <v>1871</v>
      </c>
      <c r="D4" s="17">
        <f t="shared" si="1"/>
        <v>1819</v>
      </c>
      <c r="E4" s="89">
        <f t="shared" si="2"/>
        <v>1819</v>
      </c>
      <c r="F4" s="89">
        <f t="shared" si="2"/>
        <v>1819</v>
      </c>
      <c r="G4" s="89">
        <f t="shared" si="2"/>
        <v>1819</v>
      </c>
      <c r="H4" s="89">
        <f t="shared" si="2"/>
        <v>1819</v>
      </c>
      <c r="I4" s="89">
        <f t="shared" si="2"/>
        <v>1819</v>
      </c>
      <c r="J4" s="89">
        <f t="shared" si="2"/>
        <v>1819</v>
      </c>
      <c r="K4" s="89">
        <f t="shared" si="2"/>
        <v>1819</v>
      </c>
      <c r="L4" s="89">
        <f t="shared" si="2"/>
        <v>1819</v>
      </c>
    </row>
    <row r="5" spans="1:12" ht="17.100000000000001" customHeight="1" x14ac:dyDescent="0.25">
      <c r="A5" s="14">
        <v>4</v>
      </c>
      <c r="B5" s="118" t="str">
        <f>Data!J6</f>
        <v>England</v>
      </c>
      <c r="C5" s="127">
        <f t="shared" si="0"/>
        <v>1828</v>
      </c>
      <c r="D5" s="17">
        <f t="shared" si="1"/>
        <v>1803</v>
      </c>
      <c r="E5" s="89">
        <f t="shared" si="2"/>
        <v>1803</v>
      </c>
      <c r="F5" s="89">
        <f t="shared" si="2"/>
        <v>1803</v>
      </c>
      <c r="G5" s="89">
        <f t="shared" si="2"/>
        <v>1803</v>
      </c>
      <c r="H5" s="89">
        <f t="shared" si="2"/>
        <v>1803</v>
      </c>
      <c r="I5" s="89">
        <f t="shared" si="2"/>
        <v>1803</v>
      </c>
      <c r="J5" s="89">
        <f t="shared" si="2"/>
        <v>1803</v>
      </c>
      <c r="K5" s="89">
        <f t="shared" si="2"/>
        <v>1803</v>
      </c>
      <c r="L5" s="89">
        <f t="shared" si="2"/>
        <v>1803</v>
      </c>
    </row>
    <row r="6" spans="1:12" ht="17.100000000000001" customHeight="1" x14ac:dyDescent="0.25">
      <c r="A6" s="14">
        <v>5</v>
      </c>
      <c r="B6" s="118" t="str">
        <f>Data!J7</f>
        <v>Portugal</v>
      </c>
      <c r="C6" s="127">
        <f t="shared" si="0"/>
        <v>1768</v>
      </c>
      <c r="D6" s="17">
        <f t="shared" si="1"/>
        <v>1798</v>
      </c>
      <c r="E6" s="89">
        <f t="shared" si="2"/>
        <v>1798</v>
      </c>
      <c r="F6" s="89">
        <f t="shared" si="2"/>
        <v>1798</v>
      </c>
      <c r="G6" s="89">
        <f t="shared" si="2"/>
        <v>1798</v>
      </c>
      <c r="H6" s="89">
        <f t="shared" si="2"/>
        <v>1798</v>
      </c>
      <c r="I6" s="89">
        <f t="shared" si="2"/>
        <v>1798</v>
      </c>
      <c r="J6" s="89">
        <f t="shared" si="2"/>
        <v>1798</v>
      </c>
      <c r="K6" s="89">
        <f t="shared" si="2"/>
        <v>1798</v>
      </c>
      <c r="L6" s="89">
        <f t="shared" si="2"/>
        <v>1798</v>
      </c>
    </row>
    <row r="7" spans="1:12" ht="17.100000000000001" customHeight="1" x14ac:dyDescent="0.25">
      <c r="A7" s="14">
        <v>6</v>
      </c>
      <c r="B7" s="118" t="str">
        <f>Data!J8</f>
        <v>Brazil</v>
      </c>
      <c r="C7" s="127">
        <f t="shared" si="0"/>
        <v>1766</v>
      </c>
      <c r="D7" s="17">
        <f t="shared" si="1"/>
        <v>1788</v>
      </c>
      <c r="E7" s="89">
        <f t="shared" si="2"/>
        <v>1784.0571</v>
      </c>
      <c r="F7" s="89">
        <f t="shared" si="2"/>
        <v>1784.0571</v>
      </c>
      <c r="G7" s="89">
        <f t="shared" si="2"/>
        <v>1784.0571</v>
      </c>
      <c r="H7" s="89">
        <f t="shared" si="2"/>
        <v>1784.0571</v>
      </c>
      <c r="I7" s="89">
        <f t="shared" si="2"/>
        <v>1784.0571</v>
      </c>
      <c r="J7" s="89">
        <f t="shared" si="2"/>
        <v>1784.0571</v>
      </c>
      <c r="K7" s="89">
        <f t="shared" si="2"/>
        <v>1784.0571</v>
      </c>
      <c r="L7" s="89">
        <f t="shared" si="2"/>
        <v>1784.0571</v>
      </c>
    </row>
    <row r="8" spans="1:12" ht="17.100000000000001" customHeight="1" x14ac:dyDescent="0.25">
      <c r="A8" s="14">
        <v>7</v>
      </c>
      <c r="B8" s="118" t="str">
        <f>Data!J9</f>
        <v>Morocco</v>
      </c>
      <c r="C8" s="127">
        <f t="shared" si="0"/>
        <v>1755</v>
      </c>
      <c r="D8" s="17">
        <f t="shared" si="1"/>
        <v>1695</v>
      </c>
      <c r="E8" s="89">
        <f t="shared" si="2"/>
        <v>1696.97145</v>
      </c>
      <c r="F8" s="89">
        <f t="shared" si="2"/>
        <v>1696.97145</v>
      </c>
      <c r="G8" s="89">
        <f t="shared" si="2"/>
        <v>1696.97145</v>
      </c>
      <c r="H8" s="89">
        <f t="shared" si="2"/>
        <v>1696.97145</v>
      </c>
      <c r="I8" s="89">
        <f t="shared" si="2"/>
        <v>1696.97145</v>
      </c>
      <c r="J8" s="89">
        <f t="shared" si="2"/>
        <v>1696.97145</v>
      </c>
      <c r="K8" s="89">
        <f t="shared" si="2"/>
        <v>1696.97145</v>
      </c>
      <c r="L8" s="89">
        <f t="shared" si="2"/>
        <v>1696.97145</v>
      </c>
    </row>
    <row r="9" spans="1:12" ht="17.100000000000001" customHeight="1" x14ac:dyDescent="0.25">
      <c r="A9" s="14">
        <v>8</v>
      </c>
      <c r="B9" s="118" t="str">
        <f>Data!J10</f>
        <v>Netherlands</v>
      </c>
      <c r="C9" s="127">
        <f t="shared" si="0"/>
        <v>1754</v>
      </c>
      <c r="D9" s="17">
        <f t="shared" si="1"/>
        <v>1749</v>
      </c>
      <c r="E9" s="89">
        <f t="shared" si="2"/>
        <v>1745.2874999999999</v>
      </c>
      <c r="F9" s="89">
        <f t="shared" si="2"/>
        <v>1745.2874999999999</v>
      </c>
      <c r="G9" s="89">
        <f t="shared" si="2"/>
        <v>1745.2874999999999</v>
      </c>
      <c r="H9" s="89">
        <f t="shared" si="2"/>
        <v>1745.2874999999999</v>
      </c>
      <c r="I9" s="89">
        <f t="shared" si="2"/>
        <v>1745.2874999999999</v>
      </c>
      <c r="J9" s="89">
        <f t="shared" si="2"/>
        <v>1745.2874999999999</v>
      </c>
      <c r="K9" s="89">
        <f t="shared" si="2"/>
        <v>1745.2874999999999</v>
      </c>
      <c r="L9" s="89">
        <f t="shared" si="2"/>
        <v>1745.2874999999999</v>
      </c>
    </row>
    <row r="10" spans="1:12" ht="17.100000000000001" customHeight="1" x14ac:dyDescent="0.25">
      <c r="A10" s="14">
        <v>9</v>
      </c>
      <c r="B10" s="118" t="str">
        <f>Data!J11</f>
        <v>Belgium</v>
      </c>
      <c r="C10" s="127">
        <f t="shared" si="0"/>
        <v>1742</v>
      </c>
      <c r="D10" s="17">
        <f t="shared" si="1"/>
        <v>1735</v>
      </c>
      <c r="E10" s="89">
        <f t="shared" si="2"/>
        <v>1728.0334</v>
      </c>
      <c r="F10" s="89">
        <f t="shared" si="2"/>
        <v>1728.0334</v>
      </c>
      <c r="G10" s="89">
        <f t="shared" si="2"/>
        <v>1728.0334</v>
      </c>
      <c r="H10" s="89">
        <f t="shared" si="2"/>
        <v>1728.0334</v>
      </c>
      <c r="I10" s="89">
        <f t="shared" si="2"/>
        <v>1728.0334</v>
      </c>
      <c r="J10" s="89">
        <f t="shared" si="2"/>
        <v>1728.0334</v>
      </c>
      <c r="K10" s="89">
        <f t="shared" si="2"/>
        <v>1728.0334</v>
      </c>
      <c r="L10" s="89">
        <f t="shared" si="2"/>
        <v>1728.0334</v>
      </c>
    </row>
    <row r="11" spans="1:12" ht="17.100000000000001" customHeight="1" x14ac:dyDescent="0.25">
      <c r="A11" s="14">
        <v>10</v>
      </c>
      <c r="B11" s="118" t="str">
        <f>Data!J12</f>
        <v>Germany</v>
      </c>
      <c r="C11" s="127">
        <f t="shared" si="0"/>
        <v>1736</v>
      </c>
      <c r="D11" s="17">
        <f t="shared" si="1"/>
        <v>1771</v>
      </c>
      <c r="E11" s="89">
        <f t="shared" si="2"/>
        <v>1772.3827200000001</v>
      </c>
      <c r="F11" s="89">
        <f t="shared" si="2"/>
        <v>1772.3827200000001</v>
      </c>
      <c r="G11" s="89">
        <f t="shared" si="2"/>
        <v>1772.3827200000001</v>
      </c>
      <c r="H11" s="89">
        <f t="shared" si="2"/>
        <v>1772.3827200000001</v>
      </c>
      <c r="I11" s="89">
        <f t="shared" si="2"/>
        <v>1772.3827200000001</v>
      </c>
      <c r="J11" s="89">
        <f t="shared" si="2"/>
        <v>1772.3827200000001</v>
      </c>
      <c r="K11" s="89">
        <f t="shared" si="2"/>
        <v>1772.3827200000001</v>
      </c>
      <c r="L11" s="89">
        <f t="shared" si="2"/>
        <v>1772.3827200000001</v>
      </c>
    </row>
    <row r="12" spans="1:12" ht="17.100000000000001" customHeight="1" x14ac:dyDescent="0.25">
      <c r="A12" s="14">
        <v>11</v>
      </c>
      <c r="B12" s="118" t="str">
        <f>Data!J13</f>
        <v>Croatia</v>
      </c>
      <c r="C12" s="127">
        <f t="shared" si="0"/>
        <v>1715</v>
      </c>
      <c r="D12" s="17">
        <f t="shared" si="1"/>
        <v>1695</v>
      </c>
      <c r="E12" s="89">
        <f t="shared" ref="E12:L21" si="3">IFERROR(IFERROR(D12+VLOOKUP(CONCATENATE("T",$A12,"G",E$1),Lookup01,2,FALSE),D12+VLOOKUP(CONCATENATE("T",$A12,"G",E$1),Lookup02,2,FALSE)/2),D12)</f>
        <v>1695</v>
      </c>
      <c r="F12" s="89">
        <f t="shared" si="3"/>
        <v>1695</v>
      </c>
      <c r="G12" s="89">
        <f t="shared" si="3"/>
        <v>1695</v>
      </c>
      <c r="H12" s="89">
        <f t="shared" si="3"/>
        <v>1695</v>
      </c>
      <c r="I12" s="89">
        <f t="shared" si="3"/>
        <v>1695</v>
      </c>
      <c r="J12" s="89">
        <f t="shared" si="3"/>
        <v>1695</v>
      </c>
      <c r="K12" s="89">
        <f t="shared" si="3"/>
        <v>1695</v>
      </c>
      <c r="L12" s="89">
        <f t="shared" si="3"/>
        <v>1695</v>
      </c>
    </row>
    <row r="13" spans="1:12" ht="17.100000000000001" customHeight="1" x14ac:dyDescent="0.25">
      <c r="A13" s="14">
        <v>12</v>
      </c>
      <c r="B13" s="118" t="str">
        <f>Data!J14</f>
        <v>Colombia</v>
      </c>
      <c r="C13" s="127">
        <f t="shared" si="0"/>
        <v>1698</v>
      </c>
      <c r="D13" s="17">
        <f t="shared" si="1"/>
        <v>1723</v>
      </c>
      <c r="E13" s="89">
        <f t="shared" si="3"/>
        <v>1723</v>
      </c>
      <c r="F13" s="89">
        <f t="shared" si="3"/>
        <v>1723</v>
      </c>
      <c r="G13" s="89">
        <f t="shared" si="3"/>
        <v>1723</v>
      </c>
      <c r="H13" s="89">
        <f t="shared" si="3"/>
        <v>1723</v>
      </c>
      <c r="I13" s="89">
        <f t="shared" si="3"/>
        <v>1723</v>
      </c>
      <c r="J13" s="89">
        <f t="shared" si="3"/>
        <v>1723</v>
      </c>
      <c r="K13" s="89">
        <f t="shared" si="3"/>
        <v>1723</v>
      </c>
      <c r="L13" s="89">
        <f t="shared" si="3"/>
        <v>1723</v>
      </c>
    </row>
    <row r="14" spans="1:12" ht="17.100000000000001" customHeight="1" x14ac:dyDescent="0.25">
      <c r="A14" s="14">
        <v>13</v>
      </c>
      <c r="B14" s="118" t="str">
        <f>Data!J15</f>
        <v>Mexico</v>
      </c>
      <c r="C14" s="127">
        <f t="shared" si="0"/>
        <v>1687</v>
      </c>
      <c r="D14" s="17">
        <f t="shared" si="1"/>
        <v>1702</v>
      </c>
      <c r="E14" s="89">
        <f t="shared" si="3"/>
        <v>1706.9365</v>
      </c>
      <c r="F14" s="89">
        <f t="shared" si="3"/>
        <v>1706.9365</v>
      </c>
      <c r="G14" s="89">
        <f t="shared" si="3"/>
        <v>1706.9365</v>
      </c>
      <c r="H14" s="89">
        <f t="shared" si="3"/>
        <v>1706.9365</v>
      </c>
      <c r="I14" s="89">
        <f t="shared" si="3"/>
        <v>1706.9365</v>
      </c>
      <c r="J14" s="89">
        <f t="shared" si="3"/>
        <v>1706.9365</v>
      </c>
      <c r="K14" s="89">
        <f t="shared" si="3"/>
        <v>1706.9365</v>
      </c>
      <c r="L14" s="89">
        <f t="shared" si="3"/>
        <v>1706.9365</v>
      </c>
    </row>
    <row r="15" spans="1:12" ht="17.100000000000001" customHeight="1" x14ac:dyDescent="0.25">
      <c r="A15" s="14">
        <v>14</v>
      </c>
      <c r="B15" s="118" t="str">
        <f>Data!J16</f>
        <v>Senegal</v>
      </c>
      <c r="C15" s="127">
        <f t="shared" si="0"/>
        <v>1684</v>
      </c>
      <c r="D15" s="17">
        <f t="shared" si="1"/>
        <v>1654</v>
      </c>
      <c r="E15" s="89">
        <f t="shared" si="3"/>
        <v>1654</v>
      </c>
      <c r="F15" s="89">
        <f t="shared" si="3"/>
        <v>1654</v>
      </c>
      <c r="G15" s="89">
        <f t="shared" si="3"/>
        <v>1654</v>
      </c>
      <c r="H15" s="89">
        <f t="shared" si="3"/>
        <v>1654</v>
      </c>
      <c r="I15" s="89">
        <f t="shared" si="3"/>
        <v>1654</v>
      </c>
      <c r="J15" s="89">
        <f t="shared" si="3"/>
        <v>1654</v>
      </c>
      <c r="K15" s="89">
        <f t="shared" si="3"/>
        <v>1654</v>
      </c>
      <c r="L15" s="89">
        <f t="shared" si="3"/>
        <v>1654</v>
      </c>
    </row>
    <row r="16" spans="1:12" ht="17.100000000000001" customHeight="1" x14ac:dyDescent="0.25">
      <c r="A16" s="14">
        <v>15</v>
      </c>
      <c r="B16" s="118" t="str">
        <f>Data!J17</f>
        <v>Uruguay</v>
      </c>
      <c r="C16" s="127">
        <f t="shared" si="0"/>
        <v>1673</v>
      </c>
      <c r="D16" s="17">
        <f t="shared" si="1"/>
        <v>1673</v>
      </c>
      <c r="E16" s="89">
        <f t="shared" si="3"/>
        <v>1668.3226999999999</v>
      </c>
      <c r="F16" s="89">
        <f t="shared" si="3"/>
        <v>1668.3226999999999</v>
      </c>
      <c r="G16" s="89">
        <f t="shared" si="3"/>
        <v>1668.3226999999999</v>
      </c>
      <c r="H16" s="89">
        <f t="shared" si="3"/>
        <v>1668.3226999999999</v>
      </c>
      <c r="I16" s="89">
        <f t="shared" si="3"/>
        <v>1668.3226999999999</v>
      </c>
      <c r="J16" s="89">
        <f t="shared" si="3"/>
        <v>1668.3226999999999</v>
      </c>
      <c r="K16" s="89">
        <f t="shared" si="3"/>
        <v>1668.3226999999999</v>
      </c>
      <c r="L16" s="89">
        <f t="shared" si="3"/>
        <v>1668.3226999999999</v>
      </c>
    </row>
    <row r="17" spans="1:12" ht="17.100000000000001" customHeight="1" x14ac:dyDescent="0.25">
      <c r="A17" s="14">
        <v>16</v>
      </c>
      <c r="B17" s="118" t="str">
        <f>Data!J18</f>
        <v>USA</v>
      </c>
      <c r="C17" s="127">
        <f t="shared" si="0"/>
        <v>1671</v>
      </c>
      <c r="D17" s="17">
        <f t="shared" si="1"/>
        <v>1671</v>
      </c>
      <c r="E17" s="89">
        <f t="shared" si="3"/>
        <v>1681.4</v>
      </c>
      <c r="F17" s="89">
        <f t="shared" si="3"/>
        <v>1681.4</v>
      </c>
      <c r="G17" s="89">
        <f t="shared" si="3"/>
        <v>1681.4</v>
      </c>
      <c r="H17" s="89">
        <f t="shared" si="3"/>
        <v>1681.4</v>
      </c>
      <c r="I17" s="89">
        <f t="shared" si="3"/>
        <v>1681.4</v>
      </c>
      <c r="J17" s="89">
        <f t="shared" si="3"/>
        <v>1681.4</v>
      </c>
      <c r="K17" s="89">
        <f t="shared" si="3"/>
        <v>1681.4</v>
      </c>
      <c r="L17" s="89">
        <f t="shared" si="3"/>
        <v>1681.4</v>
      </c>
    </row>
    <row r="18" spans="1:12" ht="17.100000000000001" customHeight="1" x14ac:dyDescent="0.25">
      <c r="A18" s="14">
        <v>17</v>
      </c>
      <c r="B18" s="118" t="str">
        <f>Data!J19</f>
        <v>Japan</v>
      </c>
      <c r="C18" s="127">
        <f t="shared" si="0"/>
        <v>1662</v>
      </c>
      <c r="D18" s="17">
        <f t="shared" si="1"/>
        <v>1662</v>
      </c>
      <c r="E18" s="89">
        <f t="shared" si="3"/>
        <v>1663.85625</v>
      </c>
      <c r="F18" s="89">
        <f t="shared" si="3"/>
        <v>1663.85625</v>
      </c>
      <c r="G18" s="89">
        <f t="shared" si="3"/>
        <v>1663.85625</v>
      </c>
      <c r="H18" s="89">
        <f t="shared" si="3"/>
        <v>1663.85625</v>
      </c>
      <c r="I18" s="89">
        <f t="shared" si="3"/>
        <v>1663.85625</v>
      </c>
      <c r="J18" s="89">
        <f t="shared" si="3"/>
        <v>1663.85625</v>
      </c>
      <c r="K18" s="89">
        <f t="shared" si="3"/>
        <v>1663.85625</v>
      </c>
      <c r="L18" s="89">
        <f t="shared" si="3"/>
        <v>1663.85625</v>
      </c>
    </row>
    <row r="19" spans="1:12" ht="17.100000000000001" customHeight="1" x14ac:dyDescent="0.25">
      <c r="A19" s="14">
        <v>18</v>
      </c>
      <c r="B19" s="118" t="str">
        <f>Data!J20</f>
        <v>Switzerland</v>
      </c>
      <c r="C19" s="127">
        <f t="shared" si="0"/>
        <v>1650</v>
      </c>
      <c r="D19" s="17">
        <f t="shared" si="1"/>
        <v>1650</v>
      </c>
      <c r="E19" s="89">
        <f t="shared" si="3"/>
        <v>1646.0833500000001</v>
      </c>
      <c r="F19" s="89">
        <f t="shared" si="3"/>
        <v>1646.0833500000001</v>
      </c>
      <c r="G19" s="89">
        <f t="shared" si="3"/>
        <v>1646.0833500000001</v>
      </c>
      <c r="H19" s="89">
        <f t="shared" si="3"/>
        <v>1646.0833500000001</v>
      </c>
      <c r="I19" s="89">
        <f t="shared" si="3"/>
        <v>1646.0833500000001</v>
      </c>
      <c r="J19" s="89">
        <f t="shared" si="3"/>
        <v>1646.0833500000001</v>
      </c>
      <c r="K19" s="89">
        <f t="shared" si="3"/>
        <v>1646.0833500000001</v>
      </c>
      <c r="L19" s="89">
        <f t="shared" si="3"/>
        <v>1646.0833500000001</v>
      </c>
    </row>
    <row r="20" spans="1:12" ht="17.100000000000001" customHeight="1" x14ac:dyDescent="0.25">
      <c r="A20" s="14">
        <v>19</v>
      </c>
      <c r="B20" s="118" t="str">
        <f>Data!J21</f>
        <v>IR Iran</v>
      </c>
      <c r="C20" s="127">
        <f t="shared" si="0"/>
        <v>1620</v>
      </c>
      <c r="D20" s="17">
        <f t="shared" si="1"/>
        <v>1570</v>
      </c>
      <c r="E20" s="89">
        <f t="shared" si="3"/>
        <v>1559.425</v>
      </c>
      <c r="F20" s="89">
        <f t="shared" si="3"/>
        <v>1559.425</v>
      </c>
      <c r="G20" s="89">
        <f t="shared" si="3"/>
        <v>1559.425</v>
      </c>
      <c r="H20" s="89">
        <f t="shared" si="3"/>
        <v>1559.425</v>
      </c>
      <c r="I20" s="89">
        <f t="shared" si="3"/>
        <v>1559.425</v>
      </c>
      <c r="J20" s="89">
        <f t="shared" si="3"/>
        <v>1559.425</v>
      </c>
      <c r="K20" s="89">
        <f t="shared" si="3"/>
        <v>1559.425</v>
      </c>
      <c r="L20" s="89">
        <f t="shared" si="3"/>
        <v>1559.425</v>
      </c>
    </row>
    <row r="21" spans="1:12" ht="17.100000000000001" customHeight="1" x14ac:dyDescent="0.25">
      <c r="A21" s="14">
        <v>20</v>
      </c>
      <c r="B21" s="118" t="str">
        <f>Data!J22</f>
        <v>Turkiye</v>
      </c>
      <c r="C21" s="127">
        <f t="shared" si="0"/>
        <v>1606</v>
      </c>
      <c r="D21" s="17">
        <f t="shared" si="1"/>
        <v>1606</v>
      </c>
      <c r="E21" s="89">
        <f t="shared" si="3"/>
        <v>1597.2625</v>
      </c>
      <c r="F21" s="89">
        <f t="shared" si="3"/>
        <v>1597.2625</v>
      </c>
      <c r="G21" s="89">
        <f t="shared" si="3"/>
        <v>1597.2625</v>
      </c>
      <c r="H21" s="89">
        <f t="shared" si="3"/>
        <v>1597.2625</v>
      </c>
      <c r="I21" s="89">
        <f t="shared" si="3"/>
        <v>1597.2625</v>
      </c>
      <c r="J21" s="89">
        <f t="shared" si="3"/>
        <v>1597.2625</v>
      </c>
      <c r="K21" s="89">
        <f t="shared" si="3"/>
        <v>1597.2625</v>
      </c>
      <c r="L21" s="89">
        <f t="shared" si="3"/>
        <v>1597.2625</v>
      </c>
    </row>
    <row r="22" spans="1:12" ht="17.100000000000001" customHeight="1" x14ac:dyDescent="0.25">
      <c r="A22" s="14">
        <v>21</v>
      </c>
      <c r="B22" s="118" t="str">
        <f>Data!J23</f>
        <v>Ecuador</v>
      </c>
      <c r="C22" s="127">
        <f t="shared" si="0"/>
        <v>1599</v>
      </c>
      <c r="D22" s="17">
        <f t="shared" si="1"/>
        <v>1599</v>
      </c>
      <c r="E22" s="89">
        <f t="shared" ref="E22:L31" si="4">IFERROR(IFERROR(D22+VLOOKUP(CONCATENATE("T",$A22,"G",E$1),Lookup01,2,FALSE),D22+VLOOKUP(CONCATENATE("T",$A22,"G",E$1),Lookup02,2,FALSE)/2),D22)</f>
        <v>1588.66875</v>
      </c>
      <c r="F22" s="89">
        <f t="shared" si="4"/>
        <v>1588.66875</v>
      </c>
      <c r="G22" s="89">
        <f t="shared" si="4"/>
        <v>1588.66875</v>
      </c>
      <c r="H22" s="89">
        <f t="shared" si="4"/>
        <v>1588.66875</v>
      </c>
      <c r="I22" s="89">
        <f t="shared" si="4"/>
        <v>1588.66875</v>
      </c>
      <c r="J22" s="89">
        <f t="shared" si="4"/>
        <v>1588.66875</v>
      </c>
      <c r="K22" s="89">
        <f t="shared" si="4"/>
        <v>1588.66875</v>
      </c>
      <c r="L22" s="89">
        <f t="shared" si="4"/>
        <v>1588.66875</v>
      </c>
    </row>
    <row r="23" spans="1:12" ht="17.100000000000001" customHeight="1" x14ac:dyDescent="0.25">
      <c r="A23" s="14">
        <v>22</v>
      </c>
      <c r="B23" s="118" t="str">
        <f>Data!J24</f>
        <v>Austria</v>
      </c>
      <c r="C23" s="127">
        <f t="shared" si="0"/>
        <v>1597</v>
      </c>
      <c r="D23" s="17">
        <f t="shared" si="1"/>
        <v>1607</v>
      </c>
      <c r="E23" s="89">
        <f t="shared" si="4"/>
        <v>1607</v>
      </c>
      <c r="F23" s="89">
        <f t="shared" si="4"/>
        <v>1607</v>
      </c>
      <c r="G23" s="89">
        <f t="shared" si="4"/>
        <v>1607</v>
      </c>
      <c r="H23" s="89">
        <f t="shared" si="4"/>
        <v>1607</v>
      </c>
      <c r="I23" s="89">
        <f t="shared" si="4"/>
        <v>1607</v>
      </c>
      <c r="J23" s="89">
        <f t="shared" si="4"/>
        <v>1607</v>
      </c>
      <c r="K23" s="89">
        <f t="shared" si="4"/>
        <v>1607</v>
      </c>
      <c r="L23" s="89">
        <f t="shared" si="4"/>
        <v>1607</v>
      </c>
    </row>
    <row r="24" spans="1:12" ht="17.100000000000001" customHeight="1" x14ac:dyDescent="0.25">
      <c r="A24" s="14">
        <v>23</v>
      </c>
      <c r="B24" s="118" t="str">
        <f>Data!J25</f>
        <v>Korea Republic</v>
      </c>
      <c r="C24" s="127">
        <f t="shared" si="0"/>
        <v>1592</v>
      </c>
      <c r="D24" s="17">
        <f t="shared" si="1"/>
        <v>1592</v>
      </c>
      <c r="E24" s="89">
        <f t="shared" si="4"/>
        <v>1603.325</v>
      </c>
      <c r="F24" s="89">
        <f t="shared" si="4"/>
        <v>1603.325</v>
      </c>
      <c r="G24" s="89">
        <f t="shared" si="4"/>
        <v>1603.325</v>
      </c>
      <c r="H24" s="89">
        <f t="shared" si="4"/>
        <v>1603.325</v>
      </c>
      <c r="I24" s="89">
        <f t="shared" si="4"/>
        <v>1603.325</v>
      </c>
      <c r="J24" s="89">
        <f t="shared" si="4"/>
        <v>1603.325</v>
      </c>
      <c r="K24" s="89">
        <f t="shared" si="4"/>
        <v>1603.325</v>
      </c>
      <c r="L24" s="89">
        <f t="shared" si="4"/>
        <v>1603.325</v>
      </c>
    </row>
    <row r="25" spans="1:12" ht="17.100000000000001" customHeight="1" x14ac:dyDescent="0.25">
      <c r="A25" s="14">
        <v>24</v>
      </c>
      <c r="B25" s="118" t="str">
        <f>Data!J26</f>
        <v>Australia</v>
      </c>
      <c r="C25" s="127">
        <f t="shared" si="0"/>
        <v>1579</v>
      </c>
      <c r="D25" s="17">
        <f t="shared" si="1"/>
        <v>1549</v>
      </c>
      <c r="E25" s="89">
        <f t="shared" si="4"/>
        <v>1566.4749999999999</v>
      </c>
      <c r="F25" s="89">
        <f t="shared" si="4"/>
        <v>1566.4749999999999</v>
      </c>
      <c r="G25" s="89">
        <f t="shared" si="4"/>
        <v>1566.4749999999999</v>
      </c>
      <c r="H25" s="89">
        <f t="shared" si="4"/>
        <v>1566.4749999999999</v>
      </c>
      <c r="I25" s="89">
        <f t="shared" si="4"/>
        <v>1566.4749999999999</v>
      </c>
      <c r="J25" s="89">
        <f t="shared" si="4"/>
        <v>1566.4749999999999</v>
      </c>
      <c r="K25" s="89">
        <f t="shared" si="4"/>
        <v>1566.4749999999999</v>
      </c>
      <c r="L25" s="89">
        <f t="shared" si="4"/>
        <v>1566.4749999999999</v>
      </c>
    </row>
    <row r="26" spans="1:12" ht="17.100000000000001" customHeight="1" x14ac:dyDescent="0.25">
      <c r="A26" s="14">
        <v>25</v>
      </c>
      <c r="B26" s="118" t="str">
        <f>Data!J27</f>
        <v>Algeria</v>
      </c>
      <c r="C26" s="127">
        <f t="shared" si="0"/>
        <v>1571</v>
      </c>
      <c r="D26" s="17">
        <f t="shared" si="1"/>
        <v>1591</v>
      </c>
      <c r="E26" s="89">
        <f t="shared" si="4"/>
        <v>1591</v>
      </c>
      <c r="F26" s="89">
        <f t="shared" si="4"/>
        <v>1591</v>
      </c>
      <c r="G26" s="89">
        <f t="shared" si="4"/>
        <v>1591</v>
      </c>
      <c r="H26" s="89">
        <f t="shared" si="4"/>
        <v>1591</v>
      </c>
      <c r="I26" s="89">
        <f t="shared" si="4"/>
        <v>1591</v>
      </c>
      <c r="J26" s="89">
        <f t="shared" si="4"/>
        <v>1591</v>
      </c>
      <c r="K26" s="89">
        <f t="shared" si="4"/>
        <v>1591</v>
      </c>
      <c r="L26" s="89">
        <f t="shared" si="4"/>
        <v>1591</v>
      </c>
    </row>
    <row r="27" spans="1:12" ht="17.100000000000001" customHeight="1" x14ac:dyDescent="0.25">
      <c r="A27" s="14">
        <v>26</v>
      </c>
      <c r="B27" s="118" t="str">
        <f>Data!J28</f>
        <v>Egypt</v>
      </c>
      <c r="C27" s="127">
        <f t="shared" si="0"/>
        <v>1562</v>
      </c>
      <c r="D27" s="17">
        <f t="shared" si="1"/>
        <v>1562</v>
      </c>
      <c r="E27" s="89">
        <f t="shared" si="4"/>
        <v>1565.4833000000001</v>
      </c>
      <c r="F27" s="89">
        <f t="shared" si="4"/>
        <v>1565.4833000000001</v>
      </c>
      <c r="G27" s="89">
        <f t="shared" si="4"/>
        <v>1565.4833000000001</v>
      </c>
      <c r="H27" s="89">
        <f t="shared" si="4"/>
        <v>1565.4833000000001</v>
      </c>
      <c r="I27" s="89">
        <f t="shared" si="4"/>
        <v>1565.4833000000001</v>
      </c>
      <c r="J27" s="89">
        <f t="shared" si="4"/>
        <v>1565.4833000000001</v>
      </c>
      <c r="K27" s="89">
        <f t="shared" si="4"/>
        <v>1565.4833000000001</v>
      </c>
      <c r="L27" s="89">
        <f t="shared" si="4"/>
        <v>1565.4833000000001</v>
      </c>
    </row>
    <row r="28" spans="1:12" ht="17.100000000000001" customHeight="1" x14ac:dyDescent="0.25">
      <c r="A28" s="14">
        <v>27</v>
      </c>
      <c r="B28" s="118" t="str">
        <f>Data!J29</f>
        <v>Canada</v>
      </c>
      <c r="C28" s="127">
        <f t="shared" si="0"/>
        <v>1559</v>
      </c>
      <c r="D28" s="17">
        <f t="shared" si="1"/>
        <v>1589</v>
      </c>
      <c r="E28" s="89">
        <f t="shared" si="4"/>
        <v>1581.7334000000001</v>
      </c>
      <c r="F28" s="89">
        <f t="shared" si="4"/>
        <v>1581.7334000000001</v>
      </c>
      <c r="G28" s="89">
        <f t="shared" si="4"/>
        <v>1581.7334000000001</v>
      </c>
      <c r="H28" s="89">
        <f t="shared" si="4"/>
        <v>1581.7334000000001</v>
      </c>
      <c r="I28" s="89">
        <f t="shared" si="4"/>
        <v>1581.7334000000001</v>
      </c>
      <c r="J28" s="89">
        <f t="shared" si="4"/>
        <v>1581.7334000000001</v>
      </c>
      <c r="K28" s="89">
        <f t="shared" si="4"/>
        <v>1581.7334000000001</v>
      </c>
      <c r="L28" s="89">
        <f t="shared" si="4"/>
        <v>1581.7334000000001</v>
      </c>
    </row>
    <row r="29" spans="1:12" ht="17.100000000000001" customHeight="1" x14ac:dyDescent="0.25">
      <c r="A29" s="14">
        <v>28</v>
      </c>
      <c r="B29" s="118" t="str">
        <f>Data!J30</f>
        <v>Norway</v>
      </c>
      <c r="C29" s="127">
        <f t="shared" si="0"/>
        <v>1557</v>
      </c>
      <c r="D29" s="17">
        <f t="shared" si="1"/>
        <v>1637</v>
      </c>
      <c r="E29" s="89">
        <f t="shared" si="4"/>
        <v>1637</v>
      </c>
      <c r="F29" s="89">
        <f t="shared" si="4"/>
        <v>1637</v>
      </c>
      <c r="G29" s="89">
        <f t="shared" si="4"/>
        <v>1637</v>
      </c>
      <c r="H29" s="89">
        <f t="shared" si="4"/>
        <v>1637</v>
      </c>
      <c r="I29" s="89">
        <f t="shared" si="4"/>
        <v>1637</v>
      </c>
      <c r="J29" s="89">
        <f t="shared" si="4"/>
        <v>1637</v>
      </c>
      <c r="K29" s="89">
        <f t="shared" si="4"/>
        <v>1637</v>
      </c>
      <c r="L29" s="89">
        <f t="shared" si="4"/>
        <v>1637</v>
      </c>
    </row>
    <row r="30" spans="1:12" ht="17.100000000000001" customHeight="1" x14ac:dyDescent="0.25">
      <c r="A30" s="14">
        <v>29</v>
      </c>
      <c r="B30" s="118" t="str">
        <f>Data!J31</f>
        <v>Cote d'Ivorie</v>
      </c>
      <c r="C30" s="127">
        <f t="shared" si="0"/>
        <v>1541</v>
      </c>
      <c r="D30" s="17">
        <f t="shared" si="1"/>
        <v>1461</v>
      </c>
      <c r="E30" s="89">
        <f t="shared" si="4"/>
        <v>1481.6624999999999</v>
      </c>
      <c r="F30" s="89">
        <f t="shared" si="4"/>
        <v>1481.6624999999999</v>
      </c>
      <c r="G30" s="89">
        <f t="shared" si="4"/>
        <v>1481.6624999999999</v>
      </c>
      <c r="H30" s="89">
        <f t="shared" si="4"/>
        <v>1481.6624999999999</v>
      </c>
      <c r="I30" s="89">
        <f t="shared" si="4"/>
        <v>1481.6624999999999</v>
      </c>
      <c r="J30" s="89">
        <f t="shared" si="4"/>
        <v>1481.6624999999999</v>
      </c>
      <c r="K30" s="89">
        <f t="shared" si="4"/>
        <v>1481.6624999999999</v>
      </c>
      <c r="L30" s="89">
        <f t="shared" si="4"/>
        <v>1481.6624999999999</v>
      </c>
    </row>
    <row r="31" spans="1:12" ht="17.100000000000001" customHeight="1" x14ac:dyDescent="0.25">
      <c r="A31" s="14">
        <v>30</v>
      </c>
      <c r="B31" s="118" t="str">
        <f>Data!J32</f>
        <v>Panama</v>
      </c>
      <c r="C31" s="127">
        <f t="shared" si="0"/>
        <v>1539</v>
      </c>
      <c r="D31" s="17">
        <f t="shared" si="1"/>
        <v>1569</v>
      </c>
      <c r="E31" s="89">
        <f t="shared" si="4"/>
        <v>1569</v>
      </c>
      <c r="F31" s="89">
        <f t="shared" si="4"/>
        <v>1569</v>
      </c>
      <c r="G31" s="89">
        <f t="shared" si="4"/>
        <v>1569</v>
      </c>
      <c r="H31" s="89">
        <f t="shared" si="4"/>
        <v>1569</v>
      </c>
      <c r="I31" s="89">
        <f t="shared" si="4"/>
        <v>1569</v>
      </c>
      <c r="J31" s="89">
        <f t="shared" si="4"/>
        <v>1569</v>
      </c>
      <c r="K31" s="89">
        <f t="shared" si="4"/>
        <v>1569</v>
      </c>
      <c r="L31" s="89">
        <f t="shared" si="4"/>
        <v>1569</v>
      </c>
    </row>
    <row r="32" spans="1:12" ht="17.100000000000001" customHeight="1" x14ac:dyDescent="0.25">
      <c r="A32" s="14">
        <v>31</v>
      </c>
      <c r="B32" s="118" t="str">
        <f>Data!J33</f>
        <v>Sweden</v>
      </c>
      <c r="C32" s="127">
        <f t="shared" si="0"/>
        <v>1510</v>
      </c>
      <c r="D32" s="17">
        <f t="shared" si="1"/>
        <v>1560</v>
      </c>
      <c r="E32" s="89">
        <f t="shared" ref="E32:L41" si="5">IFERROR(IFERROR(D32+VLOOKUP(CONCATENATE("T",$A32,"G",E$1),Lookup01,2,FALSE),D32+VLOOKUP(CONCATENATE("T",$A32,"G",E$1),Lookup02,2,FALSE)/2),D32)</f>
        <v>1573.44</v>
      </c>
      <c r="F32" s="89">
        <f t="shared" si="5"/>
        <v>1573.44</v>
      </c>
      <c r="G32" s="89">
        <f t="shared" si="5"/>
        <v>1573.44</v>
      </c>
      <c r="H32" s="89">
        <f t="shared" si="5"/>
        <v>1573.44</v>
      </c>
      <c r="I32" s="89">
        <f t="shared" si="5"/>
        <v>1573.44</v>
      </c>
      <c r="J32" s="89">
        <f t="shared" si="5"/>
        <v>1573.44</v>
      </c>
      <c r="K32" s="89">
        <f t="shared" si="5"/>
        <v>1573.44</v>
      </c>
      <c r="L32" s="89">
        <f t="shared" si="5"/>
        <v>1573.44</v>
      </c>
    </row>
    <row r="33" spans="1:12" ht="17.100000000000001" customHeight="1" x14ac:dyDescent="0.25">
      <c r="A33" s="14">
        <v>32</v>
      </c>
      <c r="B33" s="118" t="str">
        <f>Data!J34</f>
        <v>Czechia</v>
      </c>
      <c r="C33" s="127">
        <f t="shared" si="0"/>
        <v>1506</v>
      </c>
      <c r="D33" s="17">
        <f t="shared" si="1"/>
        <v>1506</v>
      </c>
      <c r="E33" s="89">
        <f t="shared" si="5"/>
        <v>1500.3375000000001</v>
      </c>
      <c r="F33" s="89">
        <f t="shared" si="5"/>
        <v>1500.3375000000001</v>
      </c>
      <c r="G33" s="89">
        <f t="shared" si="5"/>
        <v>1500.3375000000001</v>
      </c>
      <c r="H33" s="89">
        <f t="shared" si="5"/>
        <v>1500.3375000000001</v>
      </c>
      <c r="I33" s="89">
        <f t="shared" si="5"/>
        <v>1500.3375000000001</v>
      </c>
      <c r="J33" s="89">
        <f t="shared" si="5"/>
        <v>1500.3375000000001</v>
      </c>
      <c r="K33" s="89">
        <f t="shared" si="5"/>
        <v>1500.3375000000001</v>
      </c>
      <c r="L33" s="89">
        <f t="shared" si="5"/>
        <v>1500.3375000000001</v>
      </c>
    </row>
    <row r="34" spans="1:12" ht="17.100000000000001" customHeight="1" x14ac:dyDescent="0.25">
      <c r="A34" s="14">
        <v>33</v>
      </c>
      <c r="B34" s="118" t="str">
        <f>Data!J35</f>
        <v>Paraguay</v>
      </c>
      <c r="C34" s="127">
        <f t="shared" si="0"/>
        <v>1505</v>
      </c>
      <c r="D34" s="17">
        <f t="shared" si="1"/>
        <v>1545</v>
      </c>
      <c r="E34" s="89">
        <f t="shared" si="5"/>
        <v>1539.8</v>
      </c>
      <c r="F34" s="89">
        <f t="shared" si="5"/>
        <v>1539.8</v>
      </c>
      <c r="G34" s="89">
        <f t="shared" si="5"/>
        <v>1539.8</v>
      </c>
      <c r="H34" s="89">
        <f t="shared" si="5"/>
        <v>1539.8</v>
      </c>
      <c r="I34" s="89">
        <f t="shared" si="5"/>
        <v>1539.8</v>
      </c>
      <c r="J34" s="89">
        <f t="shared" si="5"/>
        <v>1539.8</v>
      </c>
      <c r="K34" s="89">
        <f t="shared" si="5"/>
        <v>1539.8</v>
      </c>
      <c r="L34" s="89">
        <f t="shared" si="5"/>
        <v>1539.8</v>
      </c>
    </row>
    <row r="35" spans="1:12" ht="17.100000000000001" customHeight="1" x14ac:dyDescent="0.25">
      <c r="A35" s="14">
        <v>34</v>
      </c>
      <c r="B35" s="118" t="str">
        <f>Data!J36</f>
        <v>Scotland</v>
      </c>
      <c r="C35" s="127">
        <f t="shared" si="0"/>
        <v>1503</v>
      </c>
      <c r="D35" s="17">
        <f t="shared" si="1"/>
        <v>1533</v>
      </c>
      <c r="E35" s="89">
        <f t="shared" si="5"/>
        <v>1535.9549999999999</v>
      </c>
      <c r="F35" s="89">
        <f t="shared" si="5"/>
        <v>1535.9549999999999</v>
      </c>
      <c r="G35" s="89">
        <f t="shared" si="5"/>
        <v>1535.9549999999999</v>
      </c>
      <c r="H35" s="89">
        <f t="shared" si="5"/>
        <v>1535.9549999999999</v>
      </c>
      <c r="I35" s="89">
        <f t="shared" si="5"/>
        <v>1535.9549999999999</v>
      </c>
      <c r="J35" s="89">
        <f t="shared" si="5"/>
        <v>1535.9549999999999</v>
      </c>
      <c r="K35" s="89">
        <f t="shared" si="5"/>
        <v>1535.9549999999999</v>
      </c>
      <c r="L35" s="89">
        <f t="shared" si="5"/>
        <v>1535.9549999999999</v>
      </c>
    </row>
    <row r="36" spans="1:12" ht="17.100000000000001" customHeight="1" x14ac:dyDescent="0.25">
      <c r="A36" s="14">
        <v>35</v>
      </c>
      <c r="B36" s="118" t="str">
        <f>Data!J37</f>
        <v>Tunisia</v>
      </c>
      <c r="C36" s="127">
        <f t="shared" si="0"/>
        <v>1476</v>
      </c>
      <c r="D36" s="17">
        <f t="shared" si="1"/>
        <v>1506</v>
      </c>
      <c r="E36" s="89">
        <f t="shared" si="5"/>
        <v>1499.28</v>
      </c>
      <c r="F36" s="89">
        <f t="shared" si="5"/>
        <v>1499.28</v>
      </c>
      <c r="G36" s="89">
        <f t="shared" si="5"/>
        <v>1499.28</v>
      </c>
      <c r="H36" s="89">
        <f t="shared" si="5"/>
        <v>1499.28</v>
      </c>
      <c r="I36" s="89">
        <f t="shared" si="5"/>
        <v>1499.28</v>
      </c>
      <c r="J36" s="89">
        <f t="shared" si="5"/>
        <v>1499.28</v>
      </c>
      <c r="K36" s="89">
        <f t="shared" si="5"/>
        <v>1499.28</v>
      </c>
      <c r="L36" s="89">
        <f t="shared" si="5"/>
        <v>1499.28</v>
      </c>
    </row>
    <row r="37" spans="1:12" ht="17.100000000000001" customHeight="1" x14ac:dyDescent="0.25">
      <c r="A37" s="14">
        <v>36</v>
      </c>
      <c r="B37" s="118" t="str">
        <f>Data!J38</f>
        <v>Congo DR</v>
      </c>
      <c r="C37" s="127">
        <f t="shared" si="0"/>
        <v>1474</v>
      </c>
      <c r="D37" s="17">
        <f t="shared" si="1"/>
        <v>1474</v>
      </c>
      <c r="E37" s="89">
        <f t="shared" si="5"/>
        <v>1474</v>
      </c>
      <c r="F37" s="89">
        <f t="shared" si="5"/>
        <v>1474</v>
      </c>
      <c r="G37" s="89">
        <f t="shared" si="5"/>
        <v>1474</v>
      </c>
      <c r="H37" s="89">
        <f t="shared" si="5"/>
        <v>1474</v>
      </c>
      <c r="I37" s="89">
        <f t="shared" si="5"/>
        <v>1474</v>
      </c>
      <c r="J37" s="89">
        <f t="shared" si="5"/>
        <v>1474</v>
      </c>
      <c r="K37" s="89">
        <f t="shared" si="5"/>
        <v>1474</v>
      </c>
      <c r="L37" s="89">
        <f t="shared" si="5"/>
        <v>1474</v>
      </c>
    </row>
    <row r="38" spans="1:12" ht="17.100000000000001" customHeight="1" x14ac:dyDescent="0.25">
      <c r="A38" s="14">
        <v>37</v>
      </c>
      <c r="B38" s="118" t="str">
        <f>Data!J39</f>
        <v>Uzbekistan</v>
      </c>
      <c r="C38" s="127">
        <f t="shared" si="0"/>
        <v>1459</v>
      </c>
      <c r="D38" s="17">
        <f t="shared" si="1"/>
        <v>1459</v>
      </c>
      <c r="E38" s="89">
        <f t="shared" si="5"/>
        <v>1459</v>
      </c>
      <c r="F38" s="89">
        <f t="shared" si="5"/>
        <v>1459</v>
      </c>
      <c r="G38" s="89">
        <f t="shared" si="5"/>
        <v>1459</v>
      </c>
      <c r="H38" s="89">
        <f t="shared" si="5"/>
        <v>1459</v>
      </c>
      <c r="I38" s="89">
        <f t="shared" si="5"/>
        <v>1459</v>
      </c>
      <c r="J38" s="89">
        <f t="shared" si="5"/>
        <v>1459</v>
      </c>
      <c r="K38" s="89">
        <f t="shared" si="5"/>
        <v>1459</v>
      </c>
      <c r="L38" s="89">
        <f t="shared" si="5"/>
        <v>1459</v>
      </c>
    </row>
    <row r="39" spans="1:12" ht="17.100000000000001" customHeight="1" x14ac:dyDescent="0.25">
      <c r="A39" s="14">
        <v>38</v>
      </c>
      <c r="B39" s="118" t="str">
        <f>Data!J40</f>
        <v>Qatar</v>
      </c>
      <c r="C39" s="127">
        <f t="shared" si="0"/>
        <v>1450</v>
      </c>
      <c r="D39" s="17">
        <f t="shared" si="1"/>
        <v>1450</v>
      </c>
      <c r="E39" s="89">
        <f t="shared" si="5"/>
        <v>1457.8333</v>
      </c>
      <c r="F39" s="89">
        <f t="shared" si="5"/>
        <v>1457.8333</v>
      </c>
      <c r="G39" s="89">
        <f t="shared" si="5"/>
        <v>1457.8333</v>
      </c>
      <c r="H39" s="89">
        <f t="shared" si="5"/>
        <v>1457.8333</v>
      </c>
      <c r="I39" s="89">
        <f t="shared" si="5"/>
        <v>1457.8333</v>
      </c>
      <c r="J39" s="89">
        <f t="shared" si="5"/>
        <v>1457.8333</v>
      </c>
      <c r="K39" s="89">
        <f t="shared" si="5"/>
        <v>1457.8333</v>
      </c>
      <c r="L39" s="89">
        <f t="shared" si="5"/>
        <v>1457.8333</v>
      </c>
    </row>
    <row r="40" spans="1:12" ht="17.100000000000001" customHeight="1" x14ac:dyDescent="0.25">
      <c r="A40" s="14">
        <v>39</v>
      </c>
      <c r="B40" s="118" t="str">
        <f>Data!J41</f>
        <v>Iraq</v>
      </c>
      <c r="C40" s="127">
        <f t="shared" si="0"/>
        <v>1446</v>
      </c>
      <c r="D40" s="17">
        <f t="shared" si="1"/>
        <v>1446</v>
      </c>
      <c r="E40" s="89">
        <f t="shared" si="5"/>
        <v>1446</v>
      </c>
      <c r="F40" s="89">
        <f t="shared" si="5"/>
        <v>1446</v>
      </c>
      <c r="G40" s="89">
        <f t="shared" si="5"/>
        <v>1446</v>
      </c>
      <c r="H40" s="89">
        <f t="shared" si="5"/>
        <v>1446</v>
      </c>
      <c r="I40" s="89">
        <f t="shared" si="5"/>
        <v>1446</v>
      </c>
      <c r="J40" s="89">
        <f t="shared" si="5"/>
        <v>1446</v>
      </c>
      <c r="K40" s="89">
        <f t="shared" si="5"/>
        <v>1446</v>
      </c>
      <c r="L40" s="89">
        <f t="shared" si="5"/>
        <v>1446</v>
      </c>
    </row>
    <row r="41" spans="1:12" ht="17.100000000000001" customHeight="1" x14ac:dyDescent="0.25">
      <c r="A41" s="14">
        <v>40</v>
      </c>
      <c r="B41" s="118" t="str">
        <f>Data!J42</f>
        <v>South Africa</v>
      </c>
      <c r="C41" s="127">
        <f t="shared" si="0"/>
        <v>1428</v>
      </c>
      <c r="D41" s="17">
        <f t="shared" si="1"/>
        <v>1428</v>
      </c>
      <c r="E41" s="89">
        <f t="shared" si="5"/>
        <v>1425.5317500000001</v>
      </c>
      <c r="F41" s="89">
        <f t="shared" si="5"/>
        <v>1425.5317500000001</v>
      </c>
      <c r="G41" s="89">
        <f t="shared" si="5"/>
        <v>1425.5317500000001</v>
      </c>
      <c r="H41" s="89">
        <f t="shared" si="5"/>
        <v>1425.5317500000001</v>
      </c>
      <c r="I41" s="89">
        <f t="shared" si="5"/>
        <v>1425.5317500000001</v>
      </c>
      <c r="J41" s="89">
        <f t="shared" si="5"/>
        <v>1425.5317500000001</v>
      </c>
      <c r="K41" s="89">
        <f t="shared" si="5"/>
        <v>1425.5317500000001</v>
      </c>
      <c r="L41" s="89">
        <f t="shared" si="5"/>
        <v>1425.5317500000001</v>
      </c>
    </row>
    <row r="42" spans="1:12" ht="17.100000000000001" customHeight="1" x14ac:dyDescent="0.25">
      <c r="A42" s="14">
        <v>41</v>
      </c>
      <c r="B42" s="118" t="str">
        <f>Data!J43</f>
        <v>Saudi Arabia</v>
      </c>
      <c r="C42" s="127">
        <f t="shared" si="0"/>
        <v>1424</v>
      </c>
      <c r="D42" s="17">
        <f t="shared" si="1"/>
        <v>1424</v>
      </c>
      <c r="E42" s="89">
        <f t="shared" ref="E42:L49" si="6">IFERROR(IFERROR(D42+VLOOKUP(CONCATENATE("T",$A42,"G",E$1),Lookup01,2,FALSE),D42+VLOOKUP(CONCATENATE("T",$A42,"G",E$1),Lookup02,2,FALSE)/2),D42)</f>
        <v>1433.3545999999999</v>
      </c>
      <c r="F42" s="89">
        <f t="shared" si="6"/>
        <v>1433.3545999999999</v>
      </c>
      <c r="G42" s="89">
        <f t="shared" si="6"/>
        <v>1433.3545999999999</v>
      </c>
      <c r="H42" s="89">
        <f t="shared" si="6"/>
        <v>1433.3545999999999</v>
      </c>
      <c r="I42" s="89">
        <f t="shared" si="6"/>
        <v>1433.3545999999999</v>
      </c>
      <c r="J42" s="89">
        <f t="shared" si="6"/>
        <v>1433.3545999999999</v>
      </c>
      <c r="K42" s="89">
        <f t="shared" si="6"/>
        <v>1433.3545999999999</v>
      </c>
      <c r="L42" s="89">
        <f t="shared" si="6"/>
        <v>1433.3545999999999</v>
      </c>
    </row>
    <row r="43" spans="1:12" ht="17.100000000000001" customHeight="1" x14ac:dyDescent="0.25">
      <c r="A43" s="14">
        <v>42</v>
      </c>
      <c r="B43" s="118" t="str">
        <f>Data!J44</f>
        <v>Jordan</v>
      </c>
      <c r="C43" s="127">
        <f t="shared" si="0"/>
        <v>1388</v>
      </c>
      <c r="D43" s="17">
        <f t="shared" si="1"/>
        <v>1388</v>
      </c>
      <c r="E43" s="89">
        <f t="shared" si="6"/>
        <v>1388</v>
      </c>
      <c r="F43" s="89">
        <f t="shared" si="6"/>
        <v>1388</v>
      </c>
      <c r="G43" s="89">
        <f t="shared" si="6"/>
        <v>1388</v>
      </c>
      <c r="H43" s="89">
        <f t="shared" si="6"/>
        <v>1388</v>
      </c>
      <c r="I43" s="89">
        <f t="shared" si="6"/>
        <v>1388</v>
      </c>
      <c r="J43" s="89">
        <f t="shared" si="6"/>
        <v>1388</v>
      </c>
      <c r="K43" s="89">
        <f t="shared" si="6"/>
        <v>1388</v>
      </c>
      <c r="L43" s="89">
        <f t="shared" si="6"/>
        <v>1388</v>
      </c>
    </row>
    <row r="44" spans="1:12" ht="17.100000000000001" customHeight="1" x14ac:dyDescent="0.25">
      <c r="A44" s="14">
        <v>43</v>
      </c>
      <c r="B44" s="118" t="str">
        <f>Data!J45</f>
        <v>Bosnia-Herzegovina</v>
      </c>
      <c r="C44" s="127">
        <f t="shared" si="0"/>
        <v>1387</v>
      </c>
      <c r="D44" s="17">
        <f t="shared" si="1"/>
        <v>1407</v>
      </c>
      <c r="E44" s="89">
        <f t="shared" si="6"/>
        <v>1410.6333</v>
      </c>
      <c r="F44" s="89">
        <f t="shared" si="6"/>
        <v>1410.6333</v>
      </c>
      <c r="G44" s="89">
        <f t="shared" si="6"/>
        <v>1410.6333</v>
      </c>
      <c r="H44" s="89">
        <f t="shared" si="6"/>
        <v>1410.6333</v>
      </c>
      <c r="I44" s="89">
        <f t="shared" si="6"/>
        <v>1410.6333</v>
      </c>
      <c r="J44" s="89">
        <f t="shared" si="6"/>
        <v>1410.6333</v>
      </c>
      <c r="K44" s="89">
        <f t="shared" si="6"/>
        <v>1410.6333</v>
      </c>
      <c r="L44" s="89">
        <f t="shared" si="6"/>
        <v>1410.6333</v>
      </c>
    </row>
    <row r="45" spans="1:12" ht="17.100000000000001" customHeight="1" x14ac:dyDescent="0.25">
      <c r="A45" s="14">
        <v>44</v>
      </c>
      <c r="B45" s="118" t="str">
        <f>Data!J46</f>
        <v>Cabo Verde</v>
      </c>
      <c r="C45" s="127">
        <f t="shared" si="0"/>
        <v>1371</v>
      </c>
      <c r="D45" s="17">
        <f t="shared" si="1"/>
        <v>1371</v>
      </c>
      <c r="E45" s="89">
        <f t="shared" si="6"/>
        <v>1377.7874999999999</v>
      </c>
      <c r="F45" s="89">
        <f t="shared" si="6"/>
        <v>1377.7874999999999</v>
      </c>
      <c r="G45" s="89">
        <f t="shared" si="6"/>
        <v>1377.7874999999999</v>
      </c>
      <c r="H45" s="89">
        <f t="shared" si="6"/>
        <v>1377.7874999999999</v>
      </c>
      <c r="I45" s="89">
        <f t="shared" si="6"/>
        <v>1377.7874999999999</v>
      </c>
      <c r="J45" s="89">
        <f t="shared" si="6"/>
        <v>1377.7874999999999</v>
      </c>
      <c r="K45" s="89">
        <f t="shared" si="6"/>
        <v>1377.7874999999999</v>
      </c>
      <c r="L45" s="89">
        <f t="shared" si="6"/>
        <v>1377.7874999999999</v>
      </c>
    </row>
    <row r="46" spans="1:12" ht="17.100000000000001" customHeight="1" x14ac:dyDescent="0.25">
      <c r="A46" s="14">
        <v>45</v>
      </c>
      <c r="B46" s="118" t="str">
        <f>Data!J47</f>
        <v>Ghana</v>
      </c>
      <c r="C46" s="127">
        <f t="shared" si="0"/>
        <v>1347</v>
      </c>
      <c r="D46" s="17">
        <f t="shared" si="1"/>
        <v>1447</v>
      </c>
      <c r="E46" s="89">
        <f t="shared" si="6"/>
        <v>1447</v>
      </c>
      <c r="F46" s="89">
        <f t="shared" si="6"/>
        <v>1447</v>
      </c>
      <c r="G46" s="89">
        <f t="shared" si="6"/>
        <v>1447</v>
      </c>
      <c r="H46" s="89">
        <f t="shared" si="6"/>
        <v>1447</v>
      </c>
      <c r="I46" s="89">
        <f t="shared" si="6"/>
        <v>1447</v>
      </c>
      <c r="J46" s="89">
        <f t="shared" si="6"/>
        <v>1447</v>
      </c>
      <c r="K46" s="89">
        <f t="shared" si="6"/>
        <v>1447</v>
      </c>
      <c r="L46" s="89">
        <f t="shared" si="6"/>
        <v>1447</v>
      </c>
    </row>
    <row r="47" spans="1:12" ht="17.100000000000001" customHeight="1" x14ac:dyDescent="0.25">
      <c r="A47" s="14">
        <v>46</v>
      </c>
      <c r="B47" s="118" t="str">
        <f>Data!J48</f>
        <v>Curaçao</v>
      </c>
      <c r="C47" s="127">
        <f t="shared" si="0"/>
        <v>1295</v>
      </c>
      <c r="D47" s="17">
        <f t="shared" si="1"/>
        <v>1295</v>
      </c>
      <c r="E47" s="89">
        <f t="shared" si="6"/>
        <v>1294.30864</v>
      </c>
      <c r="F47" s="89">
        <f t="shared" si="6"/>
        <v>1294.30864</v>
      </c>
      <c r="G47" s="89">
        <f t="shared" si="6"/>
        <v>1294.30864</v>
      </c>
      <c r="H47" s="89">
        <f t="shared" si="6"/>
        <v>1294.30864</v>
      </c>
      <c r="I47" s="89">
        <f t="shared" si="6"/>
        <v>1294.30864</v>
      </c>
      <c r="J47" s="89">
        <f t="shared" si="6"/>
        <v>1294.30864</v>
      </c>
      <c r="K47" s="89">
        <f t="shared" si="6"/>
        <v>1294.30864</v>
      </c>
      <c r="L47" s="89">
        <f t="shared" si="6"/>
        <v>1294.30864</v>
      </c>
    </row>
    <row r="48" spans="1:12" ht="17.100000000000001" customHeight="1" x14ac:dyDescent="0.25">
      <c r="A48" s="14">
        <v>47</v>
      </c>
      <c r="B48" s="118" t="str">
        <f>Data!J49</f>
        <v>Haiti</v>
      </c>
      <c r="C48" s="127">
        <f t="shared" si="0"/>
        <v>1293</v>
      </c>
      <c r="D48" s="17">
        <f t="shared" si="1"/>
        <v>1293</v>
      </c>
      <c r="E48" s="89">
        <f t="shared" si="6"/>
        <v>1287.0899999999999</v>
      </c>
      <c r="F48" s="89">
        <f t="shared" si="6"/>
        <v>1287.0899999999999</v>
      </c>
      <c r="G48" s="89">
        <f t="shared" si="6"/>
        <v>1287.0899999999999</v>
      </c>
      <c r="H48" s="89">
        <f t="shared" si="6"/>
        <v>1287.0899999999999</v>
      </c>
      <c r="I48" s="89">
        <f t="shared" si="6"/>
        <v>1287.0899999999999</v>
      </c>
      <c r="J48" s="89">
        <f t="shared" si="6"/>
        <v>1287.0899999999999</v>
      </c>
      <c r="K48" s="89">
        <f t="shared" si="6"/>
        <v>1287.0899999999999</v>
      </c>
      <c r="L48" s="89">
        <f t="shared" si="6"/>
        <v>1287.0899999999999</v>
      </c>
    </row>
    <row r="49" spans="1:12" ht="17.100000000000001" customHeight="1" x14ac:dyDescent="0.25">
      <c r="A49" s="14">
        <v>48</v>
      </c>
      <c r="B49" s="118" t="str">
        <f>Data!J50</f>
        <v>New Zealand</v>
      </c>
      <c r="C49" s="127">
        <f t="shared" si="0"/>
        <v>1276</v>
      </c>
      <c r="D49" s="17">
        <f t="shared" si="1"/>
        <v>1276</v>
      </c>
      <c r="E49" s="89">
        <f t="shared" si="6"/>
        <v>1281.2874999999999</v>
      </c>
      <c r="F49" s="89">
        <f t="shared" si="6"/>
        <v>1281.2874999999999</v>
      </c>
      <c r="G49" s="89">
        <f t="shared" si="6"/>
        <v>1281.2874999999999</v>
      </c>
      <c r="H49" s="89">
        <f t="shared" si="6"/>
        <v>1281.2874999999999</v>
      </c>
      <c r="I49" s="89">
        <f t="shared" si="6"/>
        <v>1281.2874999999999</v>
      </c>
      <c r="J49" s="89">
        <f t="shared" si="6"/>
        <v>1281.2874999999999</v>
      </c>
      <c r="K49" s="89">
        <f t="shared" si="6"/>
        <v>1281.2874999999999</v>
      </c>
      <c r="L49" s="89">
        <f t="shared" si="6"/>
        <v>1281.2874999999999</v>
      </c>
    </row>
    <row r="50" spans="1:12" ht="17.100000000000001" customHeight="1" x14ac:dyDescent="0.25">
      <c r="B50" s="16" t="s">
        <v>23</v>
      </c>
      <c r="C50" s="17">
        <f t="shared" ref="C50:K50" si="7">IFERROR(AVERAGE(C2:C49),"")</f>
        <v>1580.6666666666667</v>
      </c>
      <c r="D50" s="17">
        <f t="shared" si="7"/>
        <v>1582.3958333333333</v>
      </c>
      <c r="E50" s="17">
        <f t="shared" si="7"/>
        <v>1582.863135625</v>
      </c>
      <c r="F50" s="17">
        <f t="shared" si="7"/>
        <v>1582.863135625</v>
      </c>
      <c r="G50" s="17">
        <f t="shared" si="7"/>
        <v>1582.863135625</v>
      </c>
      <c r="H50" s="17">
        <f t="shared" si="7"/>
        <v>1582.863135625</v>
      </c>
      <c r="I50" s="17">
        <f t="shared" si="7"/>
        <v>1582.863135625</v>
      </c>
      <c r="J50" s="17">
        <f t="shared" si="7"/>
        <v>1582.863135625</v>
      </c>
      <c r="K50" s="17">
        <f t="shared" si="7"/>
        <v>1582.863135625</v>
      </c>
      <c r="L50" s="17">
        <f t="shared" ref="L50" si="8">IFERROR(AVERAGE(L2:L49),"")</f>
        <v>1582.863135625</v>
      </c>
    </row>
    <row r="52" spans="1:12" ht="17.100000000000001" customHeight="1" x14ac:dyDescent="0.25">
      <c r="D52" s="10"/>
    </row>
    <row r="53" spans="1:12" ht="17.100000000000001" customHeight="1" x14ac:dyDescent="0.25">
      <c r="D53" s="10"/>
    </row>
    <row r="54" spans="1:12" ht="17.100000000000001" customHeight="1" x14ac:dyDescent="0.25">
      <c r="D54" s="10"/>
    </row>
    <row r="55" spans="1:12" ht="17.100000000000001" customHeight="1" x14ac:dyDescent="0.25">
      <c r="D55" s="10"/>
    </row>
    <row r="56" spans="1:12" ht="17.100000000000001" customHeight="1" x14ac:dyDescent="0.25">
      <c r="D56" s="10"/>
    </row>
  </sheetData>
  <sheetProtection selectLockedCells="1"/>
  <sortState xmlns:xlrd2="http://schemas.microsoft.com/office/spreadsheetml/2017/richdata2" ref="B2:E65">
    <sortCondition ref="B2:B65"/>
    <sortCondition descending="1" ref="C2:C65"/>
  </sortState>
  <pageMargins left="0.70866141732283472" right="0.70866141732283472" top="0.74803149606299213" bottom="0.74803149606299213" header="0.31496062992125984" footer="0.31496062992125984"/>
  <pageSetup paperSize="9" scale="96" fitToWidth="0" orientation="landscape" verticalDpi="0" r:id="rId1"/>
  <headerFooter>
    <oddFooter>&amp;L&amp;8Printed &amp;D &amp;T&amp;C&amp;8OddsPredictor</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pageSetUpPr fitToPage="1"/>
  </sheetPr>
  <dimension ref="A1:D9005"/>
  <sheetViews>
    <sheetView showGridLines="0" zoomScaleNormal="100" workbookViewId="0">
      <pane xSplit="2" ySplit="1" topLeftCell="C2" activePane="bottomRight" state="frozen"/>
      <selection activeCell="J3" sqref="J3"/>
      <selection pane="topRight" activeCell="J3" sqref="J3"/>
      <selection pane="bottomLeft" activeCell="J3" sqref="J3"/>
      <selection pane="bottomRight" activeCell="D6" sqref="D6"/>
    </sheetView>
  </sheetViews>
  <sheetFormatPr defaultRowHeight="15" x14ac:dyDescent="0.25"/>
  <cols>
    <col min="1" max="1" width="125.7109375" style="462" customWidth="1"/>
    <col min="2" max="2" width="25.7109375" style="464" customWidth="1"/>
    <col min="3" max="3" width="20.7109375" style="462" customWidth="1"/>
    <col min="4" max="4" width="30.7109375" style="462" customWidth="1"/>
    <col min="5" max="16384" width="9.140625" style="462"/>
  </cols>
  <sheetData>
    <row r="1" spans="1:4" ht="38.450000000000003" customHeight="1" x14ac:dyDescent="0.25">
      <c r="A1" s="465" t="s">
        <v>348</v>
      </c>
      <c r="B1" s="466"/>
      <c r="C1" s="467"/>
      <c r="D1" s="468" t="s">
        <v>426</v>
      </c>
    </row>
    <row r="2" spans="1:4" ht="38.450000000000003" customHeight="1" x14ac:dyDescent="0.25">
      <c r="A2" s="469" t="s">
        <v>112</v>
      </c>
      <c r="B2" s="466" t="s">
        <v>116</v>
      </c>
      <c r="C2" s="470">
        <f>IF(D2&lt;2,2,IF(D2&gt;48,32,D2))</f>
        <v>48</v>
      </c>
      <c r="D2" s="471">
        <v>48</v>
      </c>
    </row>
    <row r="3" spans="1:4" ht="38.450000000000003" customHeight="1" x14ac:dyDescent="0.25">
      <c r="A3" s="469" t="s">
        <v>113</v>
      </c>
      <c r="B3" s="466" t="s">
        <v>117</v>
      </c>
      <c r="C3" s="470">
        <f>IF(Number=48,8,(Number-1)*2)</f>
        <v>8</v>
      </c>
      <c r="D3" s="472"/>
    </row>
    <row r="4" spans="1:4" ht="38.450000000000003" customHeight="1" x14ac:dyDescent="0.25">
      <c r="A4" s="469" t="s">
        <v>121</v>
      </c>
      <c r="B4" s="466" t="s">
        <v>119</v>
      </c>
      <c r="C4" s="473">
        <f>IF(D4&lt;1,1,IF(D4&gt;100,100,D4))</f>
        <v>30</v>
      </c>
      <c r="D4" s="471">
        <v>30</v>
      </c>
    </row>
    <row r="5" spans="1:4" ht="38.450000000000003" customHeight="1" x14ac:dyDescent="0.25">
      <c r="A5" s="469" t="s">
        <v>122</v>
      </c>
      <c r="B5" s="466" t="s">
        <v>118</v>
      </c>
      <c r="C5" s="473">
        <f>IF(D5&lt;0,0,IF(D5&gt;RFactor,RFactor,D5))</f>
        <v>2</v>
      </c>
      <c r="D5" s="471">
        <v>2</v>
      </c>
    </row>
    <row r="6" spans="1:4" ht="38.450000000000003" customHeight="1" x14ac:dyDescent="0.25">
      <c r="A6" s="469" t="s">
        <v>269</v>
      </c>
      <c r="B6" s="474">
        <f>Results!AE108</f>
        <v>0.5</v>
      </c>
      <c r="C6" s="475">
        <f>IF(D6&lt;0.1,0.1,IF(D6&gt;0.8,0.8,D6))</f>
        <v>0.234375</v>
      </c>
      <c r="D6" s="476">
        <f>Data!E71</f>
        <v>0.234375</v>
      </c>
    </row>
    <row r="7" spans="1:4" ht="38.450000000000003" customHeight="1" x14ac:dyDescent="0.25">
      <c r="A7" s="477" t="s">
        <v>114</v>
      </c>
      <c r="B7" s="467" t="s">
        <v>120</v>
      </c>
      <c r="C7" s="478" t="s">
        <v>110</v>
      </c>
      <c r="D7" s="479">
        <f>IFERROR((2*SUM(Results!AK3:AM106)-SUMXMY2(Results!AH3:AJ106,Results!AK3:AM106))/SUM(Results!AK3:AM106)-1,"")</f>
        <v>0.19280950830899957</v>
      </c>
    </row>
    <row r="8" spans="1:4" ht="38.450000000000003" customHeight="1" x14ac:dyDescent="0.25">
      <c r="A8" s="469" t="s">
        <v>349</v>
      </c>
      <c r="B8" s="466" t="s">
        <v>345</v>
      </c>
      <c r="C8" s="473">
        <v>0</v>
      </c>
      <c r="D8" s="471"/>
    </row>
    <row r="9" spans="1:4" ht="38.450000000000003" customHeight="1" x14ac:dyDescent="0.25">
      <c r="A9" s="469" t="s">
        <v>350</v>
      </c>
      <c r="B9" s="466" t="s">
        <v>343</v>
      </c>
      <c r="C9" s="473">
        <v>0</v>
      </c>
      <c r="D9" s="471"/>
    </row>
    <row r="10" spans="1:4" ht="38.450000000000003" customHeight="1" x14ac:dyDescent="0.25">
      <c r="A10" s="469" t="s">
        <v>351</v>
      </c>
      <c r="B10" s="466" t="s">
        <v>344</v>
      </c>
      <c r="C10" s="473">
        <v>0</v>
      </c>
      <c r="D10" s="471"/>
    </row>
    <row r="11" spans="1:4" x14ac:dyDescent="0.25">
      <c r="B11" s="463"/>
      <c r="C11" s="463"/>
    </row>
    <row r="12" spans="1:4" x14ac:dyDescent="0.25">
      <c r="B12" s="463"/>
      <c r="C12" s="463"/>
    </row>
    <row r="13" spans="1:4" x14ac:dyDescent="0.25">
      <c r="B13" s="463"/>
      <c r="C13" s="463"/>
    </row>
    <row r="14" spans="1:4" x14ac:dyDescent="0.25">
      <c r="B14" s="463"/>
      <c r="C14" s="463"/>
    </row>
    <row r="15" spans="1:4" x14ac:dyDescent="0.25">
      <c r="B15" s="463"/>
      <c r="C15" s="463"/>
    </row>
    <row r="16" spans="1:4" x14ac:dyDescent="0.25">
      <c r="B16" s="463"/>
      <c r="C16" s="463"/>
    </row>
    <row r="17" spans="2:3" x14ac:dyDescent="0.25">
      <c r="B17" s="463"/>
      <c r="C17" s="463"/>
    </row>
    <row r="18" spans="2:3" x14ac:dyDescent="0.25">
      <c r="B18" s="463"/>
      <c r="C18" s="463"/>
    </row>
    <row r="19" spans="2:3" x14ac:dyDescent="0.25">
      <c r="B19" s="463"/>
      <c r="C19" s="463"/>
    </row>
    <row r="20" spans="2:3" x14ac:dyDescent="0.25">
      <c r="B20" s="463"/>
      <c r="C20" s="463"/>
    </row>
    <row r="21" spans="2:3" x14ac:dyDescent="0.25">
      <c r="B21" s="463"/>
      <c r="C21" s="463"/>
    </row>
    <row r="22" spans="2:3" x14ac:dyDescent="0.25">
      <c r="B22" s="463"/>
      <c r="C22" s="463"/>
    </row>
    <row r="23" spans="2:3" x14ac:dyDescent="0.25">
      <c r="B23" s="463"/>
      <c r="C23" s="463"/>
    </row>
    <row r="24" spans="2:3" x14ac:dyDescent="0.25">
      <c r="B24" s="463"/>
      <c r="C24" s="463"/>
    </row>
    <row r="25" spans="2:3" x14ac:dyDescent="0.25">
      <c r="B25" s="463"/>
      <c r="C25" s="463"/>
    </row>
    <row r="26" spans="2:3" x14ac:dyDescent="0.25">
      <c r="B26" s="463"/>
      <c r="C26" s="463"/>
    </row>
    <row r="27" spans="2:3" x14ac:dyDescent="0.25">
      <c r="B27" s="463"/>
      <c r="C27" s="463"/>
    </row>
    <row r="28" spans="2:3" x14ac:dyDescent="0.25">
      <c r="B28" s="463"/>
      <c r="C28" s="463"/>
    </row>
    <row r="29" spans="2:3" x14ac:dyDescent="0.25">
      <c r="B29" s="463"/>
      <c r="C29" s="463"/>
    </row>
    <row r="30" spans="2:3" x14ac:dyDescent="0.25">
      <c r="B30" s="463"/>
      <c r="C30" s="463"/>
    </row>
    <row r="31" spans="2:3" x14ac:dyDescent="0.25">
      <c r="B31" s="463"/>
      <c r="C31" s="463"/>
    </row>
    <row r="32" spans="2:3" x14ac:dyDescent="0.25">
      <c r="B32" s="463"/>
      <c r="C32" s="463"/>
    </row>
    <row r="33" spans="2:3" x14ac:dyDescent="0.25">
      <c r="B33" s="463"/>
      <c r="C33" s="463"/>
    </row>
    <row r="34" spans="2:3" x14ac:dyDescent="0.25">
      <c r="B34" s="463"/>
      <c r="C34" s="463"/>
    </row>
    <row r="35" spans="2:3" x14ac:dyDescent="0.25">
      <c r="B35" s="463"/>
      <c r="C35" s="463"/>
    </row>
    <row r="36" spans="2:3" x14ac:dyDescent="0.25">
      <c r="B36" s="463"/>
      <c r="C36" s="463"/>
    </row>
    <row r="37" spans="2:3" x14ac:dyDescent="0.25">
      <c r="B37" s="463"/>
      <c r="C37" s="463"/>
    </row>
    <row r="38" spans="2:3" x14ac:dyDescent="0.25">
      <c r="B38" s="463"/>
      <c r="C38" s="463"/>
    </row>
    <row r="39" spans="2:3" x14ac:dyDescent="0.25">
      <c r="B39" s="463"/>
      <c r="C39" s="463"/>
    </row>
    <row r="40" spans="2:3" x14ac:dyDescent="0.25">
      <c r="B40" s="463"/>
      <c r="C40" s="463"/>
    </row>
    <row r="41" spans="2:3" x14ac:dyDescent="0.25">
      <c r="B41" s="463"/>
      <c r="C41" s="463"/>
    </row>
    <row r="42" spans="2:3" x14ac:dyDescent="0.25">
      <c r="B42" s="463"/>
      <c r="C42" s="463"/>
    </row>
    <row r="43" spans="2:3" x14ac:dyDescent="0.25">
      <c r="B43" s="463"/>
      <c r="C43" s="463"/>
    </row>
    <row r="44" spans="2:3" x14ac:dyDescent="0.25">
      <c r="B44" s="463"/>
      <c r="C44" s="463"/>
    </row>
    <row r="45" spans="2:3" x14ac:dyDescent="0.25">
      <c r="B45" s="463"/>
      <c r="C45" s="463"/>
    </row>
    <row r="46" spans="2:3" x14ac:dyDescent="0.25">
      <c r="B46" s="463"/>
      <c r="C46" s="463"/>
    </row>
    <row r="47" spans="2:3" x14ac:dyDescent="0.25">
      <c r="B47" s="463"/>
      <c r="C47" s="463"/>
    </row>
    <row r="48" spans="2:3" x14ac:dyDescent="0.25">
      <c r="B48" s="463"/>
      <c r="C48" s="463"/>
    </row>
    <row r="49" spans="2:3" x14ac:dyDescent="0.25">
      <c r="B49" s="463"/>
      <c r="C49" s="463"/>
    </row>
    <row r="50" spans="2:3" x14ac:dyDescent="0.25">
      <c r="B50" s="463"/>
      <c r="C50" s="463"/>
    </row>
    <row r="51" spans="2:3" x14ac:dyDescent="0.25">
      <c r="B51" s="463"/>
      <c r="C51" s="463"/>
    </row>
    <row r="52" spans="2:3" x14ac:dyDescent="0.25">
      <c r="B52" s="463"/>
      <c r="C52" s="463"/>
    </row>
    <row r="53" spans="2:3" x14ac:dyDescent="0.25">
      <c r="B53" s="463"/>
      <c r="C53" s="463"/>
    </row>
    <row r="54" spans="2:3" x14ac:dyDescent="0.25">
      <c r="B54" s="463"/>
      <c r="C54" s="463"/>
    </row>
    <row r="55" spans="2:3" x14ac:dyDescent="0.25">
      <c r="B55" s="463"/>
      <c r="C55" s="463"/>
    </row>
    <row r="56" spans="2:3" x14ac:dyDescent="0.25">
      <c r="B56" s="463"/>
      <c r="C56" s="463"/>
    </row>
    <row r="57" spans="2:3" x14ac:dyDescent="0.25">
      <c r="B57" s="463"/>
      <c r="C57" s="463"/>
    </row>
    <row r="58" spans="2:3" x14ac:dyDescent="0.25">
      <c r="B58" s="463"/>
      <c r="C58" s="463"/>
    </row>
    <row r="59" spans="2:3" x14ac:dyDescent="0.25">
      <c r="B59" s="463"/>
      <c r="C59" s="463"/>
    </row>
    <row r="60" spans="2:3" x14ac:dyDescent="0.25">
      <c r="B60" s="463"/>
      <c r="C60" s="463"/>
    </row>
    <row r="61" spans="2:3" x14ac:dyDescent="0.25">
      <c r="B61" s="463"/>
      <c r="C61" s="463"/>
    </row>
    <row r="62" spans="2:3" x14ac:dyDescent="0.25">
      <c r="B62" s="463"/>
      <c r="C62" s="463"/>
    </row>
    <row r="63" spans="2:3" x14ac:dyDescent="0.25">
      <c r="B63" s="463"/>
      <c r="C63" s="463"/>
    </row>
    <row r="64" spans="2:3" x14ac:dyDescent="0.25">
      <c r="B64" s="463"/>
      <c r="C64" s="463"/>
    </row>
    <row r="65" spans="2:3" x14ac:dyDescent="0.25">
      <c r="B65" s="463"/>
      <c r="C65" s="463"/>
    </row>
    <row r="66" spans="2:3" x14ac:dyDescent="0.25">
      <c r="B66" s="463"/>
      <c r="C66" s="463"/>
    </row>
    <row r="67" spans="2:3" x14ac:dyDescent="0.25">
      <c r="B67" s="463"/>
      <c r="C67" s="463"/>
    </row>
    <row r="68" spans="2:3" x14ac:dyDescent="0.25">
      <c r="B68" s="463"/>
      <c r="C68" s="463"/>
    </row>
    <row r="69" spans="2:3" x14ac:dyDescent="0.25">
      <c r="B69" s="463"/>
      <c r="C69" s="463"/>
    </row>
    <row r="70" spans="2:3" x14ac:dyDescent="0.25">
      <c r="B70" s="463"/>
      <c r="C70" s="463"/>
    </row>
    <row r="71" spans="2:3" x14ac:dyDescent="0.25">
      <c r="B71" s="463"/>
      <c r="C71" s="463"/>
    </row>
    <row r="72" spans="2:3" x14ac:dyDescent="0.25">
      <c r="B72" s="463"/>
      <c r="C72" s="463"/>
    </row>
    <row r="73" spans="2:3" x14ac:dyDescent="0.25">
      <c r="B73" s="463"/>
      <c r="C73" s="463"/>
    </row>
    <row r="74" spans="2:3" x14ac:dyDescent="0.25">
      <c r="B74" s="463"/>
      <c r="C74" s="463"/>
    </row>
    <row r="75" spans="2:3" x14ac:dyDescent="0.25">
      <c r="B75" s="463"/>
      <c r="C75" s="463"/>
    </row>
    <row r="76" spans="2:3" x14ac:dyDescent="0.25">
      <c r="B76" s="463"/>
      <c r="C76" s="463"/>
    </row>
    <row r="77" spans="2:3" x14ac:dyDescent="0.25">
      <c r="B77" s="463"/>
      <c r="C77" s="463"/>
    </row>
    <row r="78" spans="2:3" x14ac:dyDescent="0.25">
      <c r="B78" s="463"/>
      <c r="C78" s="463"/>
    </row>
    <row r="79" spans="2:3" x14ac:dyDescent="0.25">
      <c r="B79" s="463"/>
      <c r="C79" s="463"/>
    </row>
    <row r="80" spans="2:3" x14ac:dyDescent="0.25">
      <c r="B80" s="463"/>
      <c r="C80" s="463"/>
    </row>
    <row r="81" spans="2:3" x14ac:dyDescent="0.25">
      <c r="B81" s="463"/>
      <c r="C81" s="463"/>
    </row>
    <row r="82" spans="2:3" x14ac:dyDescent="0.25">
      <c r="B82" s="463"/>
      <c r="C82" s="463"/>
    </row>
    <row r="83" spans="2:3" x14ac:dyDescent="0.25">
      <c r="B83" s="463"/>
      <c r="C83" s="463"/>
    </row>
    <row r="84" spans="2:3" x14ac:dyDescent="0.25">
      <c r="B84" s="463"/>
      <c r="C84" s="463"/>
    </row>
    <row r="85" spans="2:3" x14ac:dyDescent="0.25">
      <c r="B85" s="463"/>
      <c r="C85" s="463"/>
    </row>
    <row r="86" spans="2:3" x14ac:dyDescent="0.25">
      <c r="B86" s="463"/>
      <c r="C86" s="463"/>
    </row>
    <row r="87" spans="2:3" x14ac:dyDescent="0.25">
      <c r="B87" s="463"/>
      <c r="C87" s="463"/>
    </row>
    <row r="88" spans="2:3" x14ac:dyDescent="0.25">
      <c r="B88" s="463"/>
      <c r="C88" s="463"/>
    </row>
    <row r="89" spans="2:3" x14ac:dyDescent="0.25">
      <c r="B89" s="463"/>
      <c r="C89" s="463"/>
    </row>
    <row r="90" spans="2:3" x14ac:dyDescent="0.25">
      <c r="B90" s="463"/>
      <c r="C90" s="463"/>
    </row>
    <row r="91" spans="2:3" x14ac:dyDescent="0.25">
      <c r="B91" s="463"/>
      <c r="C91" s="463"/>
    </row>
    <row r="92" spans="2:3" x14ac:dyDescent="0.25">
      <c r="B92" s="463"/>
      <c r="C92" s="463"/>
    </row>
    <row r="93" spans="2:3" x14ac:dyDescent="0.25">
      <c r="B93" s="463"/>
      <c r="C93" s="463"/>
    </row>
    <row r="94" spans="2:3" x14ac:dyDescent="0.25">
      <c r="B94" s="463"/>
      <c r="C94" s="463"/>
    </row>
    <row r="95" spans="2:3" x14ac:dyDescent="0.25">
      <c r="B95" s="463"/>
      <c r="C95" s="463"/>
    </row>
    <row r="96" spans="2:3" x14ac:dyDescent="0.25">
      <c r="B96" s="463"/>
      <c r="C96" s="463"/>
    </row>
    <row r="97" spans="2:3" x14ac:dyDescent="0.25">
      <c r="B97" s="463"/>
      <c r="C97" s="463"/>
    </row>
    <row r="98" spans="2:3" x14ac:dyDescent="0.25">
      <c r="B98" s="463"/>
      <c r="C98" s="463"/>
    </row>
    <row r="99" spans="2:3" x14ac:dyDescent="0.25">
      <c r="B99" s="463"/>
      <c r="C99" s="463"/>
    </row>
    <row r="100" spans="2:3" x14ac:dyDescent="0.25">
      <c r="B100" s="463"/>
      <c r="C100" s="463"/>
    </row>
    <row r="101" spans="2:3" x14ac:dyDescent="0.25">
      <c r="B101" s="463"/>
      <c r="C101" s="463"/>
    </row>
    <row r="102" spans="2:3" x14ac:dyDescent="0.25">
      <c r="B102" s="463"/>
      <c r="C102" s="463"/>
    </row>
    <row r="103" spans="2:3" x14ac:dyDescent="0.25">
      <c r="B103" s="463"/>
      <c r="C103" s="463"/>
    </row>
    <row r="104" spans="2:3" x14ac:dyDescent="0.25">
      <c r="B104" s="463"/>
      <c r="C104" s="463"/>
    </row>
    <row r="105" spans="2:3" x14ac:dyDescent="0.25">
      <c r="B105" s="463"/>
      <c r="C105" s="463"/>
    </row>
    <row r="106" spans="2:3" x14ac:dyDescent="0.25">
      <c r="B106" s="463"/>
      <c r="C106" s="463"/>
    </row>
    <row r="107" spans="2:3" x14ac:dyDescent="0.25">
      <c r="B107" s="463"/>
      <c r="C107" s="463"/>
    </row>
    <row r="108" spans="2:3" x14ac:dyDescent="0.25">
      <c r="B108" s="463"/>
      <c r="C108" s="463"/>
    </row>
    <row r="109" spans="2:3" x14ac:dyDescent="0.25">
      <c r="B109" s="463"/>
      <c r="C109" s="463"/>
    </row>
    <row r="110" spans="2:3" x14ac:dyDescent="0.25">
      <c r="B110" s="463"/>
      <c r="C110" s="463"/>
    </row>
    <row r="111" spans="2:3" x14ac:dyDescent="0.25">
      <c r="B111" s="463"/>
      <c r="C111" s="463"/>
    </row>
    <row r="112" spans="2:3" x14ac:dyDescent="0.25">
      <c r="B112" s="463"/>
      <c r="C112" s="463"/>
    </row>
    <row r="113" spans="2:3" x14ac:dyDescent="0.25">
      <c r="B113" s="463"/>
      <c r="C113" s="463"/>
    </row>
    <row r="114" spans="2:3" x14ac:dyDescent="0.25">
      <c r="B114" s="463"/>
      <c r="C114" s="463"/>
    </row>
    <row r="115" spans="2:3" x14ac:dyDescent="0.25">
      <c r="B115" s="463"/>
      <c r="C115" s="463"/>
    </row>
    <row r="116" spans="2:3" x14ac:dyDescent="0.25">
      <c r="B116" s="463"/>
      <c r="C116" s="463"/>
    </row>
    <row r="117" spans="2:3" x14ac:dyDescent="0.25">
      <c r="B117" s="463"/>
      <c r="C117" s="463"/>
    </row>
    <row r="118" spans="2:3" x14ac:dyDescent="0.25">
      <c r="B118" s="463"/>
      <c r="C118" s="463"/>
    </row>
    <row r="119" spans="2:3" x14ac:dyDescent="0.25">
      <c r="B119" s="463"/>
      <c r="C119" s="463"/>
    </row>
    <row r="120" spans="2:3" x14ac:dyDescent="0.25">
      <c r="B120" s="463"/>
      <c r="C120" s="463"/>
    </row>
    <row r="121" spans="2:3" x14ac:dyDescent="0.25">
      <c r="B121" s="463"/>
      <c r="C121" s="463"/>
    </row>
    <row r="122" spans="2:3" x14ac:dyDescent="0.25">
      <c r="B122" s="463"/>
      <c r="C122" s="463"/>
    </row>
    <row r="123" spans="2:3" x14ac:dyDescent="0.25">
      <c r="B123" s="463"/>
      <c r="C123" s="463"/>
    </row>
    <row r="124" spans="2:3" x14ac:dyDescent="0.25">
      <c r="B124" s="463"/>
      <c r="C124" s="463"/>
    </row>
    <row r="125" spans="2:3" x14ac:dyDescent="0.25">
      <c r="B125" s="463"/>
      <c r="C125" s="463"/>
    </row>
    <row r="126" spans="2:3" x14ac:dyDescent="0.25">
      <c r="B126" s="463"/>
      <c r="C126" s="463"/>
    </row>
    <row r="127" spans="2:3" x14ac:dyDescent="0.25">
      <c r="B127" s="463"/>
      <c r="C127" s="463"/>
    </row>
    <row r="128" spans="2:3" x14ac:dyDescent="0.25">
      <c r="B128" s="463"/>
      <c r="C128" s="463"/>
    </row>
    <row r="129" spans="2:3" x14ac:dyDescent="0.25">
      <c r="B129" s="463"/>
      <c r="C129" s="463"/>
    </row>
    <row r="130" spans="2:3" x14ac:dyDescent="0.25">
      <c r="B130" s="463"/>
      <c r="C130" s="463"/>
    </row>
    <row r="131" spans="2:3" x14ac:dyDescent="0.25">
      <c r="B131" s="463"/>
      <c r="C131" s="463"/>
    </row>
    <row r="132" spans="2:3" x14ac:dyDescent="0.25">
      <c r="B132" s="463"/>
      <c r="C132" s="463"/>
    </row>
    <row r="133" spans="2:3" x14ac:dyDescent="0.25">
      <c r="B133" s="463"/>
      <c r="C133" s="463"/>
    </row>
    <row r="134" spans="2:3" x14ac:dyDescent="0.25">
      <c r="B134" s="463"/>
      <c r="C134" s="463"/>
    </row>
    <row r="135" spans="2:3" x14ac:dyDescent="0.25">
      <c r="B135" s="463"/>
      <c r="C135" s="463"/>
    </row>
    <row r="136" spans="2:3" x14ac:dyDescent="0.25">
      <c r="B136" s="463"/>
      <c r="C136" s="463"/>
    </row>
    <row r="137" spans="2:3" x14ac:dyDescent="0.25">
      <c r="B137" s="463"/>
      <c r="C137" s="463"/>
    </row>
    <row r="138" spans="2:3" x14ac:dyDescent="0.25">
      <c r="B138" s="463"/>
      <c r="C138" s="463"/>
    </row>
    <row r="139" spans="2:3" x14ac:dyDescent="0.25">
      <c r="B139" s="463"/>
      <c r="C139" s="463"/>
    </row>
    <row r="140" spans="2:3" x14ac:dyDescent="0.25">
      <c r="B140" s="463"/>
      <c r="C140" s="463"/>
    </row>
    <row r="141" spans="2:3" x14ac:dyDescent="0.25">
      <c r="B141" s="463"/>
      <c r="C141" s="463"/>
    </row>
    <row r="142" spans="2:3" x14ac:dyDescent="0.25">
      <c r="B142" s="463"/>
      <c r="C142" s="463"/>
    </row>
    <row r="143" spans="2:3" x14ac:dyDescent="0.25">
      <c r="B143" s="463"/>
      <c r="C143" s="463"/>
    </row>
    <row r="144" spans="2:3" x14ac:dyDescent="0.25">
      <c r="B144" s="463"/>
      <c r="C144" s="463"/>
    </row>
    <row r="145" spans="2:3" x14ac:dyDescent="0.25">
      <c r="B145" s="463"/>
      <c r="C145" s="463"/>
    </row>
    <row r="146" spans="2:3" x14ac:dyDescent="0.25">
      <c r="B146" s="463"/>
      <c r="C146" s="463"/>
    </row>
    <row r="147" spans="2:3" x14ac:dyDescent="0.25">
      <c r="B147" s="463"/>
      <c r="C147" s="463"/>
    </row>
    <row r="148" spans="2:3" x14ac:dyDescent="0.25">
      <c r="B148" s="463"/>
      <c r="C148" s="463"/>
    </row>
    <row r="149" spans="2:3" x14ac:dyDescent="0.25">
      <c r="B149" s="463"/>
      <c r="C149" s="463"/>
    </row>
    <row r="150" spans="2:3" x14ac:dyDescent="0.25">
      <c r="B150" s="463"/>
      <c r="C150" s="463"/>
    </row>
    <row r="151" spans="2:3" x14ac:dyDescent="0.25">
      <c r="B151" s="463"/>
      <c r="C151" s="463"/>
    </row>
    <row r="152" spans="2:3" x14ac:dyDescent="0.25">
      <c r="B152" s="463"/>
      <c r="C152" s="463"/>
    </row>
    <row r="153" spans="2:3" x14ac:dyDescent="0.25">
      <c r="B153" s="463"/>
      <c r="C153" s="463"/>
    </row>
    <row r="154" spans="2:3" x14ac:dyDescent="0.25">
      <c r="B154" s="463"/>
      <c r="C154" s="463"/>
    </row>
    <row r="155" spans="2:3" x14ac:dyDescent="0.25">
      <c r="B155" s="463"/>
      <c r="C155" s="463"/>
    </row>
    <row r="156" spans="2:3" x14ac:dyDescent="0.25">
      <c r="B156" s="463"/>
      <c r="C156" s="463"/>
    </row>
    <row r="157" spans="2:3" x14ac:dyDescent="0.25">
      <c r="B157" s="463"/>
      <c r="C157" s="463"/>
    </row>
    <row r="158" spans="2:3" x14ac:dyDescent="0.25">
      <c r="B158" s="463"/>
      <c r="C158" s="463"/>
    </row>
    <row r="159" spans="2:3" x14ac:dyDescent="0.25">
      <c r="B159" s="463"/>
      <c r="C159" s="463"/>
    </row>
    <row r="160" spans="2:3" x14ac:dyDescent="0.25">
      <c r="B160" s="463"/>
      <c r="C160" s="463"/>
    </row>
    <row r="161" spans="2:3" x14ac:dyDescent="0.25">
      <c r="B161" s="463"/>
      <c r="C161" s="463"/>
    </row>
    <row r="162" spans="2:3" x14ac:dyDescent="0.25">
      <c r="B162" s="463"/>
      <c r="C162" s="463"/>
    </row>
    <row r="163" spans="2:3" x14ac:dyDescent="0.25">
      <c r="B163" s="463"/>
      <c r="C163" s="463"/>
    </row>
    <row r="164" spans="2:3" x14ac:dyDescent="0.25">
      <c r="B164" s="463"/>
      <c r="C164" s="463"/>
    </row>
    <row r="165" spans="2:3" x14ac:dyDescent="0.25">
      <c r="B165" s="463"/>
      <c r="C165" s="463"/>
    </row>
    <row r="166" spans="2:3" x14ac:dyDescent="0.25">
      <c r="B166" s="463"/>
      <c r="C166" s="463"/>
    </row>
    <row r="167" spans="2:3" x14ac:dyDescent="0.25">
      <c r="B167" s="463"/>
      <c r="C167" s="463"/>
    </row>
    <row r="168" spans="2:3" x14ac:dyDescent="0.25">
      <c r="B168" s="463"/>
      <c r="C168" s="463"/>
    </row>
    <row r="169" spans="2:3" x14ac:dyDescent="0.25">
      <c r="B169" s="463"/>
      <c r="C169" s="463"/>
    </row>
    <row r="170" spans="2:3" x14ac:dyDescent="0.25">
      <c r="B170" s="463"/>
      <c r="C170" s="463"/>
    </row>
    <row r="171" spans="2:3" x14ac:dyDescent="0.25">
      <c r="B171" s="463"/>
      <c r="C171" s="463"/>
    </row>
    <row r="172" spans="2:3" x14ac:dyDescent="0.25">
      <c r="B172" s="463"/>
      <c r="C172" s="463"/>
    </row>
    <row r="173" spans="2:3" x14ac:dyDescent="0.25">
      <c r="B173" s="463"/>
      <c r="C173" s="463"/>
    </row>
    <row r="174" spans="2:3" x14ac:dyDescent="0.25">
      <c r="B174" s="463"/>
      <c r="C174" s="463"/>
    </row>
    <row r="175" spans="2:3" x14ac:dyDescent="0.25">
      <c r="B175" s="463"/>
      <c r="C175" s="463"/>
    </row>
    <row r="176" spans="2:3" x14ac:dyDescent="0.25">
      <c r="B176" s="463"/>
      <c r="C176" s="463"/>
    </row>
    <row r="177" spans="2:3" x14ac:dyDescent="0.25">
      <c r="B177" s="463"/>
      <c r="C177" s="463"/>
    </row>
    <row r="178" spans="2:3" x14ac:dyDescent="0.25">
      <c r="B178" s="463"/>
      <c r="C178" s="463"/>
    </row>
    <row r="179" spans="2:3" x14ac:dyDescent="0.25">
      <c r="B179" s="463"/>
      <c r="C179" s="463"/>
    </row>
    <row r="180" spans="2:3" x14ac:dyDescent="0.25">
      <c r="B180" s="463"/>
      <c r="C180" s="463"/>
    </row>
    <row r="181" spans="2:3" x14ac:dyDescent="0.25">
      <c r="B181" s="463"/>
      <c r="C181" s="463"/>
    </row>
    <row r="182" spans="2:3" x14ac:dyDescent="0.25">
      <c r="B182" s="463"/>
      <c r="C182" s="463"/>
    </row>
    <row r="183" spans="2:3" x14ac:dyDescent="0.25">
      <c r="B183" s="463"/>
      <c r="C183" s="463"/>
    </row>
    <row r="184" spans="2:3" x14ac:dyDescent="0.25">
      <c r="B184" s="463"/>
      <c r="C184" s="463"/>
    </row>
    <row r="185" spans="2:3" x14ac:dyDescent="0.25">
      <c r="B185" s="463"/>
      <c r="C185" s="463"/>
    </row>
    <row r="186" spans="2:3" x14ac:dyDescent="0.25">
      <c r="B186" s="463"/>
      <c r="C186" s="463"/>
    </row>
    <row r="187" spans="2:3" x14ac:dyDescent="0.25">
      <c r="B187" s="463"/>
      <c r="C187" s="463"/>
    </row>
    <row r="188" spans="2:3" x14ac:dyDescent="0.25">
      <c r="B188" s="463"/>
      <c r="C188" s="463"/>
    </row>
    <row r="189" spans="2:3" x14ac:dyDescent="0.25">
      <c r="B189" s="463"/>
      <c r="C189" s="463"/>
    </row>
    <row r="190" spans="2:3" x14ac:dyDescent="0.25">
      <c r="B190" s="463"/>
      <c r="C190" s="463"/>
    </row>
    <row r="191" spans="2:3" x14ac:dyDescent="0.25">
      <c r="B191" s="463"/>
      <c r="C191" s="463"/>
    </row>
    <row r="192" spans="2:3" x14ac:dyDescent="0.25">
      <c r="B192" s="463"/>
      <c r="C192" s="463"/>
    </row>
    <row r="193" spans="2:3" x14ac:dyDescent="0.25">
      <c r="B193" s="463"/>
      <c r="C193" s="463"/>
    </row>
    <row r="194" spans="2:3" x14ac:dyDescent="0.25">
      <c r="B194" s="463"/>
      <c r="C194" s="463"/>
    </row>
    <row r="195" spans="2:3" x14ac:dyDescent="0.25">
      <c r="B195" s="463"/>
      <c r="C195" s="463"/>
    </row>
    <row r="196" spans="2:3" x14ac:dyDescent="0.25">
      <c r="B196" s="463"/>
      <c r="C196" s="463"/>
    </row>
    <row r="197" spans="2:3" x14ac:dyDescent="0.25">
      <c r="B197" s="463"/>
      <c r="C197" s="463"/>
    </row>
    <row r="198" spans="2:3" x14ac:dyDescent="0.25">
      <c r="B198" s="463"/>
      <c r="C198" s="463"/>
    </row>
    <row r="199" spans="2:3" x14ac:dyDescent="0.25">
      <c r="B199" s="463"/>
      <c r="C199" s="463"/>
    </row>
    <row r="200" spans="2:3" x14ac:dyDescent="0.25">
      <c r="B200" s="463"/>
      <c r="C200" s="463"/>
    </row>
    <row r="201" spans="2:3" x14ac:dyDescent="0.25">
      <c r="B201" s="463"/>
      <c r="C201" s="463"/>
    </row>
    <row r="202" spans="2:3" x14ac:dyDescent="0.25">
      <c r="B202" s="463"/>
      <c r="C202" s="463"/>
    </row>
    <row r="203" spans="2:3" x14ac:dyDescent="0.25">
      <c r="B203" s="463"/>
      <c r="C203" s="463"/>
    </row>
    <row r="204" spans="2:3" x14ac:dyDescent="0.25">
      <c r="B204" s="463"/>
      <c r="C204" s="463"/>
    </row>
    <row r="205" spans="2:3" x14ac:dyDescent="0.25">
      <c r="B205" s="463"/>
      <c r="C205" s="463"/>
    </row>
    <row r="206" spans="2:3" x14ac:dyDescent="0.25">
      <c r="B206" s="463"/>
      <c r="C206" s="463"/>
    </row>
    <row r="207" spans="2:3" x14ac:dyDescent="0.25">
      <c r="B207" s="463"/>
      <c r="C207" s="463"/>
    </row>
    <row r="208" spans="2:3" x14ac:dyDescent="0.25">
      <c r="B208" s="463"/>
      <c r="C208" s="463"/>
    </row>
    <row r="209" spans="2:3" x14ac:dyDescent="0.25">
      <c r="B209" s="463"/>
      <c r="C209" s="463"/>
    </row>
    <row r="210" spans="2:3" x14ac:dyDescent="0.25">
      <c r="B210" s="463"/>
      <c r="C210" s="463"/>
    </row>
    <row r="211" spans="2:3" x14ac:dyDescent="0.25">
      <c r="B211" s="463"/>
      <c r="C211" s="463"/>
    </row>
    <row r="212" spans="2:3" x14ac:dyDescent="0.25">
      <c r="B212" s="463"/>
      <c r="C212" s="463"/>
    </row>
    <row r="213" spans="2:3" x14ac:dyDescent="0.25">
      <c r="B213" s="463"/>
      <c r="C213" s="463"/>
    </row>
    <row r="214" spans="2:3" x14ac:dyDescent="0.25">
      <c r="B214" s="463"/>
      <c r="C214" s="463"/>
    </row>
    <row r="215" spans="2:3" x14ac:dyDescent="0.25">
      <c r="B215" s="463"/>
      <c r="C215" s="463"/>
    </row>
    <row r="216" spans="2:3" x14ac:dyDescent="0.25">
      <c r="B216" s="463"/>
      <c r="C216" s="463"/>
    </row>
    <row r="217" spans="2:3" x14ac:dyDescent="0.25">
      <c r="B217" s="463"/>
      <c r="C217" s="463"/>
    </row>
    <row r="218" spans="2:3" x14ac:dyDescent="0.25">
      <c r="B218" s="463"/>
      <c r="C218" s="463"/>
    </row>
    <row r="219" spans="2:3" x14ac:dyDescent="0.25">
      <c r="B219" s="463"/>
      <c r="C219" s="463"/>
    </row>
    <row r="220" spans="2:3" x14ac:dyDescent="0.25">
      <c r="B220" s="463"/>
      <c r="C220" s="463"/>
    </row>
    <row r="221" spans="2:3" x14ac:dyDescent="0.25">
      <c r="B221" s="463"/>
      <c r="C221" s="463"/>
    </row>
    <row r="222" spans="2:3" x14ac:dyDescent="0.25">
      <c r="B222" s="463"/>
      <c r="C222" s="463"/>
    </row>
    <row r="223" spans="2:3" x14ac:dyDescent="0.25">
      <c r="B223" s="463"/>
      <c r="C223" s="463"/>
    </row>
    <row r="224" spans="2:3" x14ac:dyDescent="0.25">
      <c r="B224" s="463"/>
      <c r="C224" s="463"/>
    </row>
    <row r="225" spans="2:3" x14ac:dyDescent="0.25">
      <c r="B225" s="463"/>
      <c r="C225" s="463"/>
    </row>
    <row r="226" spans="2:3" x14ac:dyDescent="0.25">
      <c r="B226" s="463"/>
      <c r="C226" s="463"/>
    </row>
    <row r="227" spans="2:3" x14ac:dyDescent="0.25">
      <c r="B227" s="463"/>
      <c r="C227" s="463"/>
    </row>
    <row r="228" spans="2:3" x14ac:dyDescent="0.25">
      <c r="B228" s="463"/>
      <c r="C228" s="463"/>
    </row>
    <row r="229" spans="2:3" x14ac:dyDescent="0.25">
      <c r="B229" s="463"/>
      <c r="C229" s="463"/>
    </row>
    <row r="230" spans="2:3" x14ac:dyDescent="0.25">
      <c r="B230" s="463"/>
      <c r="C230" s="463"/>
    </row>
    <row r="231" spans="2:3" x14ac:dyDescent="0.25">
      <c r="B231" s="463"/>
      <c r="C231" s="463"/>
    </row>
    <row r="232" spans="2:3" x14ac:dyDescent="0.25">
      <c r="B232" s="463"/>
      <c r="C232" s="463"/>
    </row>
    <row r="233" spans="2:3" x14ac:dyDescent="0.25">
      <c r="B233" s="463"/>
      <c r="C233" s="463"/>
    </row>
    <row r="234" spans="2:3" x14ac:dyDescent="0.25">
      <c r="B234" s="463"/>
      <c r="C234" s="463"/>
    </row>
    <row r="235" spans="2:3" x14ac:dyDescent="0.25">
      <c r="B235" s="463"/>
      <c r="C235" s="463"/>
    </row>
    <row r="236" spans="2:3" x14ac:dyDescent="0.25">
      <c r="B236" s="463"/>
      <c r="C236" s="463"/>
    </row>
    <row r="237" spans="2:3" x14ac:dyDescent="0.25">
      <c r="B237" s="463"/>
      <c r="C237" s="463"/>
    </row>
    <row r="238" spans="2:3" x14ac:dyDescent="0.25">
      <c r="B238" s="463"/>
      <c r="C238" s="463"/>
    </row>
    <row r="239" spans="2:3" x14ac:dyDescent="0.25">
      <c r="B239" s="463"/>
      <c r="C239" s="463"/>
    </row>
    <row r="240" spans="2:3" x14ac:dyDescent="0.25">
      <c r="B240" s="463"/>
      <c r="C240" s="463"/>
    </row>
    <row r="241" spans="2:3" x14ac:dyDescent="0.25">
      <c r="B241" s="463"/>
      <c r="C241" s="463"/>
    </row>
    <row r="242" spans="2:3" x14ac:dyDescent="0.25">
      <c r="B242" s="463"/>
      <c r="C242" s="463"/>
    </row>
    <row r="243" spans="2:3" x14ac:dyDescent="0.25">
      <c r="B243" s="463"/>
      <c r="C243" s="463"/>
    </row>
    <row r="244" spans="2:3" x14ac:dyDescent="0.25">
      <c r="B244" s="463"/>
      <c r="C244" s="463"/>
    </row>
    <row r="245" spans="2:3" x14ac:dyDescent="0.25">
      <c r="B245" s="463"/>
      <c r="C245" s="463"/>
    </row>
    <row r="246" spans="2:3" x14ac:dyDescent="0.25">
      <c r="B246" s="463"/>
      <c r="C246" s="463"/>
    </row>
    <row r="247" spans="2:3" x14ac:dyDescent="0.25">
      <c r="B247" s="463"/>
      <c r="C247" s="463"/>
    </row>
    <row r="248" spans="2:3" x14ac:dyDescent="0.25">
      <c r="B248" s="463"/>
      <c r="C248" s="463"/>
    </row>
    <row r="249" spans="2:3" x14ac:dyDescent="0.25">
      <c r="B249" s="463"/>
      <c r="C249" s="463"/>
    </row>
    <row r="250" spans="2:3" x14ac:dyDescent="0.25">
      <c r="B250" s="463"/>
      <c r="C250" s="463"/>
    </row>
    <row r="251" spans="2:3" x14ac:dyDescent="0.25">
      <c r="B251" s="463"/>
      <c r="C251" s="463"/>
    </row>
    <row r="252" spans="2:3" x14ac:dyDescent="0.25">
      <c r="B252" s="463"/>
      <c r="C252" s="463"/>
    </row>
    <row r="253" spans="2:3" x14ac:dyDescent="0.25">
      <c r="B253" s="463"/>
      <c r="C253" s="463"/>
    </row>
    <row r="254" spans="2:3" x14ac:dyDescent="0.25">
      <c r="B254" s="463"/>
      <c r="C254" s="463"/>
    </row>
    <row r="255" spans="2:3" x14ac:dyDescent="0.25">
      <c r="B255" s="463"/>
      <c r="C255" s="463"/>
    </row>
    <row r="256" spans="2:3" x14ac:dyDescent="0.25">
      <c r="B256" s="463"/>
      <c r="C256" s="463"/>
    </row>
    <row r="257" spans="2:3" x14ac:dyDescent="0.25">
      <c r="B257" s="463"/>
      <c r="C257" s="463"/>
    </row>
    <row r="258" spans="2:3" x14ac:dyDescent="0.25">
      <c r="B258" s="463"/>
      <c r="C258" s="463"/>
    </row>
    <row r="259" spans="2:3" x14ac:dyDescent="0.25">
      <c r="B259" s="463"/>
      <c r="C259" s="463"/>
    </row>
    <row r="260" spans="2:3" x14ac:dyDescent="0.25">
      <c r="B260" s="463"/>
      <c r="C260" s="463"/>
    </row>
    <row r="261" spans="2:3" x14ac:dyDescent="0.25">
      <c r="B261" s="463"/>
      <c r="C261" s="463"/>
    </row>
    <row r="262" spans="2:3" x14ac:dyDescent="0.25">
      <c r="B262" s="463"/>
      <c r="C262" s="463"/>
    </row>
    <row r="263" spans="2:3" x14ac:dyDescent="0.25">
      <c r="B263" s="463"/>
      <c r="C263" s="463"/>
    </row>
    <row r="264" spans="2:3" x14ac:dyDescent="0.25">
      <c r="B264" s="463"/>
      <c r="C264" s="463"/>
    </row>
    <row r="265" spans="2:3" x14ac:dyDescent="0.25">
      <c r="B265" s="463"/>
      <c r="C265" s="463"/>
    </row>
    <row r="266" spans="2:3" x14ac:dyDescent="0.25">
      <c r="B266" s="463"/>
      <c r="C266" s="463"/>
    </row>
    <row r="267" spans="2:3" x14ac:dyDescent="0.25">
      <c r="B267" s="463"/>
      <c r="C267" s="463"/>
    </row>
    <row r="268" spans="2:3" x14ac:dyDescent="0.25">
      <c r="B268" s="463"/>
      <c r="C268" s="463"/>
    </row>
    <row r="269" spans="2:3" x14ac:dyDescent="0.25">
      <c r="B269" s="463"/>
      <c r="C269" s="463"/>
    </row>
    <row r="270" spans="2:3" x14ac:dyDescent="0.25">
      <c r="B270" s="463"/>
      <c r="C270" s="463"/>
    </row>
    <row r="271" spans="2:3" x14ac:dyDescent="0.25">
      <c r="B271" s="463"/>
      <c r="C271" s="463"/>
    </row>
    <row r="272" spans="2:3" x14ac:dyDescent="0.25">
      <c r="B272" s="463"/>
      <c r="C272" s="463"/>
    </row>
    <row r="273" spans="2:3" x14ac:dyDescent="0.25">
      <c r="B273" s="463"/>
      <c r="C273" s="463"/>
    </row>
    <row r="274" spans="2:3" x14ac:dyDescent="0.25">
      <c r="B274" s="463"/>
      <c r="C274" s="463"/>
    </row>
    <row r="275" spans="2:3" x14ac:dyDescent="0.25">
      <c r="B275" s="463"/>
      <c r="C275" s="463"/>
    </row>
    <row r="276" spans="2:3" x14ac:dyDescent="0.25">
      <c r="B276" s="463"/>
      <c r="C276" s="463"/>
    </row>
    <row r="277" spans="2:3" x14ac:dyDescent="0.25">
      <c r="B277" s="463"/>
      <c r="C277" s="463"/>
    </row>
    <row r="278" spans="2:3" x14ac:dyDescent="0.25">
      <c r="B278" s="463"/>
      <c r="C278" s="463"/>
    </row>
    <row r="279" spans="2:3" x14ac:dyDescent="0.25">
      <c r="B279" s="463"/>
      <c r="C279" s="463"/>
    </row>
    <row r="280" spans="2:3" x14ac:dyDescent="0.25">
      <c r="B280" s="463"/>
      <c r="C280" s="463"/>
    </row>
    <row r="281" spans="2:3" x14ac:dyDescent="0.25">
      <c r="B281" s="463"/>
      <c r="C281" s="463"/>
    </row>
    <row r="282" spans="2:3" x14ac:dyDescent="0.25">
      <c r="B282" s="463"/>
      <c r="C282" s="463"/>
    </row>
    <row r="283" spans="2:3" x14ac:dyDescent="0.25">
      <c r="B283" s="463"/>
      <c r="C283" s="463"/>
    </row>
    <row r="284" spans="2:3" x14ac:dyDescent="0.25">
      <c r="B284" s="463"/>
      <c r="C284" s="463"/>
    </row>
    <row r="285" spans="2:3" x14ac:dyDescent="0.25">
      <c r="B285" s="463"/>
      <c r="C285" s="463"/>
    </row>
    <row r="286" spans="2:3" x14ac:dyDescent="0.25">
      <c r="B286" s="463"/>
      <c r="C286" s="463"/>
    </row>
    <row r="287" spans="2:3" x14ac:dyDescent="0.25">
      <c r="B287" s="463"/>
      <c r="C287" s="463"/>
    </row>
    <row r="288" spans="2:3" x14ac:dyDescent="0.25">
      <c r="B288" s="463"/>
      <c r="C288" s="463"/>
    </row>
    <row r="289" spans="2:3" x14ac:dyDescent="0.25">
      <c r="B289" s="463"/>
      <c r="C289" s="463"/>
    </row>
    <row r="290" spans="2:3" x14ac:dyDescent="0.25">
      <c r="B290" s="463"/>
      <c r="C290" s="463"/>
    </row>
    <row r="291" spans="2:3" x14ac:dyDescent="0.25">
      <c r="B291" s="463"/>
      <c r="C291" s="463"/>
    </row>
    <row r="292" spans="2:3" x14ac:dyDescent="0.25">
      <c r="B292" s="463"/>
      <c r="C292" s="463"/>
    </row>
    <row r="293" spans="2:3" x14ac:dyDescent="0.25">
      <c r="B293" s="463"/>
      <c r="C293" s="463"/>
    </row>
    <row r="294" spans="2:3" x14ac:dyDescent="0.25">
      <c r="B294" s="463"/>
      <c r="C294" s="463"/>
    </row>
    <row r="295" spans="2:3" x14ac:dyDescent="0.25">
      <c r="B295" s="463"/>
      <c r="C295" s="463"/>
    </row>
    <row r="296" spans="2:3" x14ac:dyDescent="0.25">
      <c r="B296" s="463"/>
      <c r="C296" s="463"/>
    </row>
    <row r="297" spans="2:3" x14ac:dyDescent="0.25">
      <c r="B297" s="463"/>
      <c r="C297" s="463"/>
    </row>
    <row r="298" spans="2:3" x14ac:dyDescent="0.25">
      <c r="B298" s="463"/>
      <c r="C298" s="463"/>
    </row>
    <row r="299" spans="2:3" x14ac:dyDescent="0.25">
      <c r="B299" s="463"/>
      <c r="C299" s="463"/>
    </row>
    <row r="300" spans="2:3" x14ac:dyDescent="0.25">
      <c r="B300" s="463"/>
      <c r="C300" s="463"/>
    </row>
    <row r="301" spans="2:3" x14ac:dyDescent="0.25">
      <c r="B301" s="463"/>
      <c r="C301" s="463"/>
    </row>
    <row r="302" spans="2:3" x14ac:dyDescent="0.25">
      <c r="B302" s="463"/>
      <c r="C302" s="463"/>
    </row>
    <row r="303" spans="2:3" x14ac:dyDescent="0.25">
      <c r="B303" s="463"/>
      <c r="C303" s="463"/>
    </row>
    <row r="304" spans="2:3" x14ac:dyDescent="0.25">
      <c r="B304" s="463"/>
      <c r="C304" s="463"/>
    </row>
    <row r="305" spans="2:3" x14ac:dyDescent="0.25">
      <c r="B305" s="463"/>
      <c r="C305" s="463"/>
    </row>
    <row r="306" spans="2:3" x14ac:dyDescent="0.25">
      <c r="B306" s="463"/>
      <c r="C306" s="463"/>
    </row>
    <row r="307" spans="2:3" x14ac:dyDescent="0.25">
      <c r="B307" s="463"/>
      <c r="C307" s="463"/>
    </row>
    <row r="308" spans="2:3" x14ac:dyDescent="0.25">
      <c r="B308" s="463"/>
      <c r="C308" s="463"/>
    </row>
    <row r="309" spans="2:3" x14ac:dyDescent="0.25">
      <c r="B309" s="463"/>
      <c r="C309" s="463"/>
    </row>
    <row r="310" spans="2:3" x14ac:dyDescent="0.25">
      <c r="B310" s="463"/>
      <c r="C310" s="463"/>
    </row>
    <row r="311" spans="2:3" x14ac:dyDescent="0.25">
      <c r="B311" s="463"/>
      <c r="C311" s="463"/>
    </row>
    <row r="312" spans="2:3" x14ac:dyDescent="0.25">
      <c r="B312" s="463"/>
      <c r="C312" s="463"/>
    </row>
    <row r="313" spans="2:3" x14ac:dyDescent="0.25">
      <c r="B313" s="463"/>
      <c r="C313" s="463"/>
    </row>
    <row r="314" spans="2:3" x14ac:dyDescent="0.25">
      <c r="B314" s="463"/>
      <c r="C314" s="463"/>
    </row>
    <row r="315" spans="2:3" x14ac:dyDescent="0.25">
      <c r="B315" s="463"/>
      <c r="C315" s="463"/>
    </row>
    <row r="316" spans="2:3" x14ac:dyDescent="0.25">
      <c r="B316" s="463"/>
      <c r="C316" s="463"/>
    </row>
    <row r="317" spans="2:3" x14ac:dyDescent="0.25">
      <c r="B317" s="463"/>
      <c r="C317" s="463"/>
    </row>
    <row r="318" spans="2:3" x14ac:dyDescent="0.25">
      <c r="B318" s="463"/>
      <c r="C318" s="463"/>
    </row>
    <row r="319" spans="2:3" x14ac:dyDescent="0.25">
      <c r="B319" s="463"/>
      <c r="C319" s="463"/>
    </row>
    <row r="320" spans="2:3" x14ac:dyDescent="0.25">
      <c r="B320" s="463"/>
      <c r="C320" s="463"/>
    </row>
    <row r="321" spans="2:3" x14ac:dyDescent="0.25">
      <c r="B321" s="463"/>
      <c r="C321" s="463"/>
    </row>
    <row r="322" spans="2:3" x14ac:dyDescent="0.25">
      <c r="B322" s="463"/>
      <c r="C322" s="463"/>
    </row>
    <row r="323" spans="2:3" x14ac:dyDescent="0.25">
      <c r="B323" s="463"/>
      <c r="C323" s="463"/>
    </row>
    <row r="324" spans="2:3" x14ac:dyDescent="0.25">
      <c r="B324" s="463"/>
      <c r="C324" s="463"/>
    </row>
    <row r="325" spans="2:3" x14ac:dyDescent="0.25">
      <c r="B325" s="463"/>
      <c r="C325" s="463"/>
    </row>
    <row r="326" spans="2:3" x14ac:dyDescent="0.25">
      <c r="B326" s="463"/>
      <c r="C326" s="463"/>
    </row>
    <row r="327" spans="2:3" x14ac:dyDescent="0.25">
      <c r="B327" s="463"/>
      <c r="C327" s="463"/>
    </row>
    <row r="328" spans="2:3" x14ac:dyDescent="0.25">
      <c r="B328" s="463"/>
      <c r="C328" s="463"/>
    </row>
    <row r="329" spans="2:3" x14ac:dyDescent="0.25">
      <c r="B329" s="463"/>
      <c r="C329" s="463"/>
    </row>
    <row r="330" spans="2:3" x14ac:dyDescent="0.25">
      <c r="B330" s="463"/>
      <c r="C330" s="463"/>
    </row>
    <row r="331" spans="2:3" x14ac:dyDescent="0.25">
      <c r="B331" s="463"/>
      <c r="C331" s="463"/>
    </row>
    <row r="332" spans="2:3" x14ac:dyDescent="0.25">
      <c r="B332" s="463"/>
      <c r="C332" s="463"/>
    </row>
    <row r="333" spans="2:3" x14ac:dyDescent="0.25">
      <c r="B333" s="463"/>
      <c r="C333" s="463"/>
    </row>
    <row r="334" spans="2:3" x14ac:dyDescent="0.25">
      <c r="B334" s="463"/>
      <c r="C334" s="463"/>
    </row>
    <row r="335" spans="2:3" x14ac:dyDescent="0.25">
      <c r="B335" s="463"/>
      <c r="C335" s="463"/>
    </row>
    <row r="336" spans="2:3" x14ac:dyDescent="0.25">
      <c r="B336" s="463"/>
      <c r="C336" s="463"/>
    </row>
    <row r="337" spans="2:3" x14ac:dyDescent="0.25">
      <c r="B337" s="463"/>
      <c r="C337" s="463"/>
    </row>
    <row r="338" spans="2:3" x14ac:dyDescent="0.25">
      <c r="B338" s="463"/>
      <c r="C338" s="463"/>
    </row>
    <row r="339" spans="2:3" x14ac:dyDescent="0.25">
      <c r="B339" s="463"/>
      <c r="C339" s="463"/>
    </row>
    <row r="340" spans="2:3" x14ac:dyDescent="0.25">
      <c r="B340" s="463"/>
      <c r="C340" s="463"/>
    </row>
    <row r="341" spans="2:3" x14ac:dyDescent="0.25">
      <c r="B341" s="463"/>
      <c r="C341" s="463"/>
    </row>
    <row r="342" spans="2:3" x14ac:dyDescent="0.25">
      <c r="B342" s="463"/>
      <c r="C342" s="463"/>
    </row>
    <row r="343" spans="2:3" x14ac:dyDescent="0.25">
      <c r="B343" s="463"/>
      <c r="C343" s="463"/>
    </row>
    <row r="344" spans="2:3" x14ac:dyDescent="0.25">
      <c r="B344" s="463"/>
      <c r="C344" s="463"/>
    </row>
    <row r="345" spans="2:3" x14ac:dyDescent="0.25">
      <c r="B345" s="463"/>
      <c r="C345" s="463"/>
    </row>
    <row r="346" spans="2:3" x14ac:dyDescent="0.25">
      <c r="B346" s="463"/>
      <c r="C346" s="463"/>
    </row>
    <row r="347" spans="2:3" x14ac:dyDescent="0.25">
      <c r="B347" s="463"/>
      <c r="C347" s="463"/>
    </row>
    <row r="348" spans="2:3" x14ac:dyDescent="0.25">
      <c r="B348" s="463"/>
      <c r="C348" s="463"/>
    </row>
    <row r="349" spans="2:3" x14ac:dyDescent="0.25">
      <c r="B349" s="463"/>
      <c r="C349" s="463"/>
    </row>
    <row r="350" spans="2:3" x14ac:dyDescent="0.25">
      <c r="B350" s="463"/>
      <c r="C350" s="463"/>
    </row>
    <row r="351" spans="2:3" x14ac:dyDescent="0.25">
      <c r="B351" s="463"/>
      <c r="C351" s="463"/>
    </row>
    <row r="352" spans="2:3" x14ac:dyDescent="0.25">
      <c r="B352" s="463"/>
      <c r="C352" s="463"/>
    </row>
    <row r="353" spans="2:3" x14ac:dyDescent="0.25">
      <c r="B353" s="463"/>
      <c r="C353" s="463"/>
    </row>
    <row r="354" spans="2:3" x14ac:dyDescent="0.25">
      <c r="B354" s="463"/>
      <c r="C354" s="463"/>
    </row>
    <row r="355" spans="2:3" x14ac:dyDescent="0.25">
      <c r="B355" s="463"/>
      <c r="C355" s="463"/>
    </row>
    <row r="356" spans="2:3" x14ac:dyDescent="0.25">
      <c r="B356" s="463"/>
      <c r="C356" s="463"/>
    </row>
    <row r="357" spans="2:3" x14ac:dyDescent="0.25">
      <c r="B357" s="463"/>
      <c r="C357" s="463"/>
    </row>
    <row r="358" spans="2:3" x14ac:dyDescent="0.25">
      <c r="B358" s="463"/>
      <c r="C358" s="463"/>
    </row>
    <row r="359" spans="2:3" x14ac:dyDescent="0.25">
      <c r="B359" s="463"/>
      <c r="C359" s="463"/>
    </row>
    <row r="360" spans="2:3" x14ac:dyDescent="0.25">
      <c r="B360" s="463"/>
      <c r="C360" s="463"/>
    </row>
    <row r="361" spans="2:3" x14ac:dyDescent="0.25">
      <c r="B361" s="463"/>
      <c r="C361" s="463"/>
    </row>
    <row r="362" spans="2:3" x14ac:dyDescent="0.25">
      <c r="B362" s="463"/>
      <c r="C362" s="463"/>
    </row>
    <row r="363" spans="2:3" x14ac:dyDescent="0.25">
      <c r="B363" s="463"/>
      <c r="C363" s="463"/>
    </row>
    <row r="364" spans="2:3" x14ac:dyDescent="0.25">
      <c r="B364" s="463"/>
      <c r="C364" s="463"/>
    </row>
    <row r="365" spans="2:3" x14ac:dyDescent="0.25">
      <c r="B365" s="463"/>
      <c r="C365" s="463"/>
    </row>
    <row r="366" spans="2:3" x14ac:dyDescent="0.25">
      <c r="B366" s="463"/>
      <c r="C366" s="463"/>
    </row>
    <row r="367" spans="2:3" x14ac:dyDescent="0.25">
      <c r="B367" s="463"/>
      <c r="C367" s="463"/>
    </row>
    <row r="368" spans="2:3" x14ac:dyDescent="0.25">
      <c r="B368" s="463"/>
      <c r="C368" s="463"/>
    </row>
    <row r="369" spans="2:3" x14ac:dyDescent="0.25">
      <c r="B369" s="463"/>
      <c r="C369" s="463"/>
    </row>
    <row r="370" spans="2:3" x14ac:dyDescent="0.25">
      <c r="B370" s="463"/>
      <c r="C370" s="463"/>
    </row>
    <row r="371" spans="2:3" x14ac:dyDescent="0.25">
      <c r="B371" s="463"/>
      <c r="C371" s="463"/>
    </row>
    <row r="372" spans="2:3" x14ac:dyDescent="0.25">
      <c r="B372" s="463"/>
      <c r="C372" s="463"/>
    </row>
    <row r="373" spans="2:3" x14ac:dyDescent="0.25">
      <c r="B373" s="463"/>
      <c r="C373" s="463"/>
    </row>
    <row r="374" spans="2:3" x14ac:dyDescent="0.25">
      <c r="B374" s="463"/>
      <c r="C374" s="463"/>
    </row>
    <row r="375" spans="2:3" x14ac:dyDescent="0.25">
      <c r="B375" s="463"/>
      <c r="C375" s="463"/>
    </row>
    <row r="376" spans="2:3" x14ac:dyDescent="0.25">
      <c r="B376" s="463"/>
      <c r="C376" s="463"/>
    </row>
    <row r="377" spans="2:3" x14ac:dyDescent="0.25">
      <c r="B377" s="463"/>
      <c r="C377" s="463"/>
    </row>
    <row r="378" spans="2:3" x14ac:dyDescent="0.25">
      <c r="B378" s="463"/>
      <c r="C378" s="463"/>
    </row>
    <row r="379" spans="2:3" x14ac:dyDescent="0.25">
      <c r="B379" s="463"/>
      <c r="C379" s="463"/>
    </row>
    <row r="380" spans="2:3" x14ac:dyDescent="0.25">
      <c r="B380" s="463"/>
      <c r="C380" s="463"/>
    </row>
    <row r="381" spans="2:3" x14ac:dyDescent="0.25">
      <c r="B381" s="463"/>
      <c r="C381" s="463"/>
    </row>
    <row r="382" spans="2:3" x14ac:dyDescent="0.25">
      <c r="B382" s="463"/>
      <c r="C382" s="463"/>
    </row>
    <row r="383" spans="2:3" x14ac:dyDescent="0.25">
      <c r="B383" s="463"/>
      <c r="C383" s="463"/>
    </row>
    <row r="384" spans="2:3" x14ac:dyDescent="0.25">
      <c r="B384" s="463"/>
      <c r="C384" s="463"/>
    </row>
    <row r="385" spans="2:3" x14ac:dyDescent="0.25">
      <c r="B385" s="463"/>
      <c r="C385" s="463"/>
    </row>
    <row r="386" spans="2:3" x14ac:dyDescent="0.25">
      <c r="B386" s="463"/>
      <c r="C386" s="463"/>
    </row>
    <row r="387" spans="2:3" x14ac:dyDescent="0.25">
      <c r="B387" s="463"/>
      <c r="C387" s="463"/>
    </row>
    <row r="388" spans="2:3" x14ac:dyDescent="0.25">
      <c r="B388" s="463"/>
      <c r="C388" s="463"/>
    </row>
    <row r="389" spans="2:3" x14ac:dyDescent="0.25">
      <c r="B389" s="463"/>
      <c r="C389" s="463"/>
    </row>
    <row r="390" spans="2:3" x14ac:dyDescent="0.25">
      <c r="B390" s="463"/>
      <c r="C390" s="463"/>
    </row>
    <row r="391" spans="2:3" x14ac:dyDescent="0.25">
      <c r="B391" s="463"/>
      <c r="C391" s="463"/>
    </row>
    <row r="392" spans="2:3" x14ac:dyDescent="0.25">
      <c r="B392" s="463"/>
      <c r="C392" s="463"/>
    </row>
    <row r="393" spans="2:3" x14ac:dyDescent="0.25">
      <c r="B393" s="463"/>
      <c r="C393" s="463"/>
    </row>
    <row r="394" spans="2:3" x14ac:dyDescent="0.25">
      <c r="B394" s="463"/>
      <c r="C394" s="463"/>
    </row>
    <row r="395" spans="2:3" x14ac:dyDescent="0.25">
      <c r="B395" s="463"/>
      <c r="C395" s="463"/>
    </row>
    <row r="396" spans="2:3" x14ac:dyDescent="0.25">
      <c r="B396" s="463"/>
      <c r="C396" s="463"/>
    </row>
    <row r="397" spans="2:3" x14ac:dyDescent="0.25">
      <c r="B397" s="463"/>
      <c r="C397" s="463"/>
    </row>
    <row r="398" spans="2:3" x14ac:dyDescent="0.25">
      <c r="B398" s="463"/>
      <c r="C398" s="463"/>
    </row>
    <row r="399" spans="2:3" x14ac:dyDescent="0.25">
      <c r="B399" s="463"/>
      <c r="C399" s="463"/>
    </row>
    <row r="400" spans="2:3" x14ac:dyDescent="0.25">
      <c r="B400" s="463"/>
      <c r="C400" s="463"/>
    </row>
    <row r="401" spans="2:3" x14ac:dyDescent="0.25">
      <c r="B401" s="463"/>
      <c r="C401" s="463"/>
    </row>
    <row r="402" spans="2:3" x14ac:dyDescent="0.25">
      <c r="B402" s="463"/>
      <c r="C402" s="463"/>
    </row>
    <row r="403" spans="2:3" x14ac:dyDescent="0.25">
      <c r="B403" s="463"/>
      <c r="C403" s="463"/>
    </row>
    <row r="404" spans="2:3" x14ac:dyDescent="0.25">
      <c r="B404" s="463"/>
      <c r="C404" s="463"/>
    </row>
    <row r="405" spans="2:3" x14ac:dyDescent="0.25">
      <c r="B405" s="463"/>
      <c r="C405" s="463"/>
    </row>
    <row r="406" spans="2:3" x14ac:dyDescent="0.25">
      <c r="B406" s="463"/>
      <c r="C406" s="463"/>
    </row>
    <row r="407" spans="2:3" x14ac:dyDescent="0.25">
      <c r="B407" s="463"/>
      <c r="C407" s="463"/>
    </row>
    <row r="408" spans="2:3" x14ac:dyDescent="0.25">
      <c r="B408" s="463"/>
      <c r="C408" s="463"/>
    </row>
    <row r="409" spans="2:3" x14ac:dyDescent="0.25">
      <c r="B409" s="463"/>
      <c r="C409" s="463"/>
    </row>
    <row r="410" spans="2:3" x14ac:dyDescent="0.25">
      <c r="B410" s="463"/>
      <c r="C410" s="463"/>
    </row>
    <row r="411" spans="2:3" x14ac:dyDescent="0.25">
      <c r="B411" s="463"/>
      <c r="C411" s="463"/>
    </row>
    <row r="412" spans="2:3" x14ac:dyDescent="0.25">
      <c r="B412" s="463"/>
      <c r="C412" s="463"/>
    </row>
    <row r="413" spans="2:3" x14ac:dyDescent="0.25">
      <c r="B413" s="463"/>
      <c r="C413" s="463"/>
    </row>
    <row r="414" spans="2:3" x14ac:dyDescent="0.25">
      <c r="B414" s="463"/>
      <c r="C414" s="463"/>
    </row>
    <row r="415" spans="2:3" x14ac:dyDescent="0.25">
      <c r="B415" s="463"/>
      <c r="C415" s="463"/>
    </row>
    <row r="416" spans="2:3" x14ac:dyDescent="0.25">
      <c r="B416" s="463"/>
      <c r="C416" s="463"/>
    </row>
    <row r="417" spans="2:3" x14ac:dyDescent="0.25">
      <c r="B417" s="463"/>
      <c r="C417" s="463"/>
    </row>
    <row r="418" spans="2:3" x14ac:dyDescent="0.25">
      <c r="B418" s="463"/>
      <c r="C418" s="463"/>
    </row>
    <row r="419" spans="2:3" x14ac:dyDescent="0.25">
      <c r="B419" s="463"/>
      <c r="C419" s="463"/>
    </row>
    <row r="420" spans="2:3" x14ac:dyDescent="0.25">
      <c r="B420" s="463"/>
      <c r="C420" s="463"/>
    </row>
    <row r="421" spans="2:3" x14ac:dyDescent="0.25">
      <c r="B421" s="463"/>
      <c r="C421" s="463"/>
    </row>
    <row r="422" spans="2:3" x14ac:dyDescent="0.25">
      <c r="B422" s="463"/>
      <c r="C422" s="463"/>
    </row>
    <row r="423" spans="2:3" x14ac:dyDescent="0.25">
      <c r="B423" s="463"/>
      <c r="C423" s="463"/>
    </row>
    <row r="424" spans="2:3" x14ac:dyDescent="0.25">
      <c r="B424" s="463"/>
      <c r="C424" s="463"/>
    </row>
    <row r="425" spans="2:3" x14ac:dyDescent="0.25">
      <c r="B425" s="463"/>
      <c r="C425" s="463"/>
    </row>
    <row r="426" spans="2:3" x14ac:dyDescent="0.25">
      <c r="B426" s="463"/>
      <c r="C426" s="463"/>
    </row>
    <row r="427" spans="2:3" x14ac:dyDescent="0.25">
      <c r="B427" s="463"/>
      <c r="C427" s="463"/>
    </row>
    <row r="428" spans="2:3" x14ac:dyDescent="0.25">
      <c r="B428" s="463"/>
      <c r="C428" s="463"/>
    </row>
    <row r="429" spans="2:3" x14ac:dyDescent="0.25">
      <c r="B429" s="463"/>
      <c r="C429" s="463"/>
    </row>
    <row r="430" spans="2:3" x14ac:dyDescent="0.25">
      <c r="B430" s="463"/>
      <c r="C430" s="463"/>
    </row>
    <row r="431" spans="2:3" x14ac:dyDescent="0.25">
      <c r="B431" s="463"/>
      <c r="C431" s="463"/>
    </row>
    <row r="432" spans="2:3" x14ac:dyDescent="0.25">
      <c r="B432" s="463"/>
      <c r="C432" s="463"/>
    </row>
    <row r="433" spans="2:3" x14ac:dyDescent="0.25">
      <c r="B433" s="463"/>
      <c r="C433" s="463"/>
    </row>
    <row r="434" spans="2:3" x14ac:dyDescent="0.25">
      <c r="B434" s="463"/>
      <c r="C434" s="463"/>
    </row>
    <row r="435" spans="2:3" x14ac:dyDescent="0.25">
      <c r="B435" s="463"/>
      <c r="C435" s="463"/>
    </row>
    <row r="436" spans="2:3" x14ac:dyDescent="0.25">
      <c r="B436" s="463"/>
      <c r="C436" s="463"/>
    </row>
    <row r="437" spans="2:3" x14ac:dyDescent="0.25">
      <c r="B437" s="463"/>
      <c r="C437" s="463"/>
    </row>
    <row r="438" spans="2:3" x14ac:dyDescent="0.25">
      <c r="B438" s="463"/>
      <c r="C438" s="463"/>
    </row>
    <row r="439" spans="2:3" x14ac:dyDescent="0.25">
      <c r="B439" s="463"/>
      <c r="C439" s="463"/>
    </row>
    <row r="440" spans="2:3" x14ac:dyDescent="0.25">
      <c r="B440" s="463"/>
      <c r="C440" s="463"/>
    </row>
    <row r="441" spans="2:3" x14ac:dyDescent="0.25">
      <c r="B441" s="463"/>
      <c r="C441" s="463"/>
    </row>
    <row r="442" spans="2:3" x14ac:dyDescent="0.25">
      <c r="B442" s="463"/>
      <c r="C442" s="463"/>
    </row>
    <row r="443" spans="2:3" x14ac:dyDescent="0.25">
      <c r="B443" s="463"/>
      <c r="C443" s="463"/>
    </row>
    <row r="444" spans="2:3" x14ac:dyDescent="0.25">
      <c r="B444" s="463"/>
      <c r="C444" s="463"/>
    </row>
    <row r="445" spans="2:3" x14ac:dyDescent="0.25">
      <c r="B445" s="463"/>
      <c r="C445" s="463"/>
    </row>
    <row r="446" spans="2:3" x14ac:dyDescent="0.25">
      <c r="B446" s="463"/>
      <c r="C446" s="463"/>
    </row>
    <row r="447" spans="2:3" x14ac:dyDescent="0.25">
      <c r="B447" s="463"/>
      <c r="C447" s="463"/>
    </row>
    <row r="448" spans="2:3" x14ac:dyDescent="0.25">
      <c r="B448" s="463"/>
      <c r="C448" s="463"/>
    </row>
    <row r="449" spans="2:3" x14ac:dyDescent="0.25">
      <c r="B449" s="463"/>
      <c r="C449" s="463"/>
    </row>
    <row r="450" spans="2:3" x14ac:dyDescent="0.25">
      <c r="B450" s="463"/>
      <c r="C450" s="463"/>
    </row>
    <row r="451" spans="2:3" x14ac:dyDescent="0.25">
      <c r="B451" s="463"/>
      <c r="C451" s="463"/>
    </row>
    <row r="452" spans="2:3" x14ac:dyDescent="0.25">
      <c r="B452" s="463"/>
      <c r="C452" s="463"/>
    </row>
    <row r="453" spans="2:3" x14ac:dyDescent="0.25">
      <c r="B453" s="463"/>
      <c r="C453" s="463"/>
    </row>
    <row r="454" spans="2:3" x14ac:dyDescent="0.25">
      <c r="B454" s="463"/>
      <c r="C454" s="463"/>
    </row>
    <row r="455" spans="2:3" x14ac:dyDescent="0.25">
      <c r="B455" s="463"/>
      <c r="C455" s="463"/>
    </row>
    <row r="456" spans="2:3" x14ac:dyDescent="0.25">
      <c r="B456" s="463"/>
      <c r="C456" s="463"/>
    </row>
    <row r="457" spans="2:3" x14ac:dyDescent="0.25">
      <c r="B457" s="463"/>
      <c r="C457" s="463"/>
    </row>
    <row r="458" spans="2:3" x14ac:dyDescent="0.25">
      <c r="B458" s="463"/>
      <c r="C458" s="463"/>
    </row>
    <row r="459" spans="2:3" x14ac:dyDescent="0.25">
      <c r="B459" s="463"/>
      <c r="C459" s="463"/>
    </row>
    <row r="460" spans="2:3" x14ac:dyDescent="0.25">
      <c r="B460" s="463"/>
      <c r="C460" s="463"/>
    </row>
    <row r="461" spans="2:3" x14ac:dyDescent="0.25">
      <c r="B461" s="463"/>
      <c r="C461" s="463"/>
    </row>
    <row r="462" spans="2:3" x14ac:dyDescent="0.25">
      <c r="B462" s="463"/>
      <c r="C462" s="463"/>
    </row>
    <row r="463" spans="2:3" x14ac:dyDescent="0.25">
      <c r="B463" s="463"/>
      <c r="C463" s="463"/>
    </row>
    <row r="464" spans="2:3" x14ac:dyDescent="0.25">
      <c r="B464" s="463"/>
      <c r="C464" s="463"/>
    </row>
    <row r="465" spans="2:3" x14ac:dyDescent="0.25">
      <c r="B465" s="463"/>
      <c r="C465" s="463"/>
    </row>
    <row r="466" spans="2:3" x14ac:dyDescent="0.25">
      <c r="B466" s="463"/>
      <c r="C466" s="463"/>
    </row>
    <row r="467" spans="2:3" x14ac:dyDescent="0.25">
      <c r="B467" s="463"/>
      <c r="C467" s="463"/>
    </row>
    <row r="468" spans="2:3" x14ac:dyDescent="0.25">
      <c r="B468" s="463"/>
      <c r="C468" s="463"/>
    </row>
    <row r="469" spans="2:3" x14ac:dyDescent="0.25">
      <c r="B469" s="463"/>
      <c r="C469" s="463"/>
    </row>
    <row r="470" spans="2:3" x14ac:dyDescent="0.25">
      <c r="B470" s="463"/>
      <c r="C470" s="463"/>
    </row>
    <row r="471" spans="2:3" x14ac:dyDescent="0.25">
      <c r="B471" s="463"/>
      <c r="C471" s="463"/>
    </row>
    <row r="472" spans="2:3" x14ac:dyDescent="0.25">
      <c r="B472" s="463"/>
      <c r="C472" s="463"/>
    </row>
    <row r="473" spans="2:3" x14ac:dyDescent="0.25">
      <c r="B473" s="463"/>
      <c r="C473" s="463"/>
    </row>
    <row r="474" spans="2:3" x14ac:dyDescent="0.25">
      <c r="B474" s="463"/>
      <c r="C474" s="463"/>
    </row>
    <row r="475" spans="2:3" x14ac:dyDescent="0.25">
      <c r="B475" s="463"/>
      <c r="C475" s="463"/>
    </row>
    <row r="476" spans="2:3" x14ac:dyDescent="0.25">
      <c r="B476" s="463"/>
      <c r="C476" s="463"/>
    </row>
    <row r="477" spans="2:3" x14ac:dyDescent="0.25">
      <c r="B477" s="463"/>
      <c r="C477" s="463"/>
    </row>
    <row r="478" spans="2:3" x14ac:dyDescent="0.25">
      <c r="B478" s="463"/>
      <c r="C478" s="463"/>
    </row>
    <row r="479" spans="2:3" x14ac:dyDescent="0.25">
      <c r="B479" s="463"/>
      <c r="C479" s="463"/>
    </row>
    <row r="480" spans="2:3" x14ac:dyDescent="0.25">
      <c r="B480" s="463"/>
      <c r="C480" s="463"/>
    </row>
    <row r="481" spans="2:3" x14ac:dyDescent="0.25">
      <c r="B481" s="463"/>
      <c r="C481" s="463"/>
    </row>
    <row r="482" spans="2:3" x14ac:dyDescent="0.25">
      <c r="B482" s="463"/>
      <c r="C482" s="463"/>
    </row>
    <row r="483" spans="2:3" x14ac:dyDescent="0.25">
      <c r="B483" s="463"/>
      <c r="C483" s="463"/>
    </row>
    <row r="484" spans="2:3" x14ac:dyDescent="0.25">
      <c r="B484" s="463"/>
      <c r="C484" s="463"/>
    </row>
    <row r="485" spans="2:3" x14ac:dyDescent="0.25">
      <c r="B485" s="463"/>
      <c r="C485" s="463"/>
    </row>
    <row r="486" spans="2:3" x14ac:dyDescent="0.25">
      <c r="B486" s="463"/>
      <c r="C486" s="463"/>
    </row>
    <row r="487" spans="2:3" x14ac:dyDescent="0.25">
      <c r="B487" s="463"/>
      <c r="C487" s="463"/>
    </row>
    <row r="488" spans="2:3" x14ac:dyDescent="0.25">
      <c r="B488" s="463"/>
      <c r="C488" s="463"/>
    </row>
    <row r="489" spans="2:3" x14ac:dyDescent="0.25">
      <c r="B489" s="463"/>
      <c r="C489" s="463"/>
    </row>
    <row r="490" spans="2:3" x14ac:dyDescent="0.25">
      <c r="B490" s="463"/>
      <c r="C490" s="463"/>
    </row>
    <row r="491" spans="2:3" x14ac:dyDescent="0.25">
      <c r="B491" s="463"/>
      <c r="C491" s="463"/>
    </row>
    <row r="492" spans="2:3" x14ac:dyDescent="0.25">
      <c r="B492" s="463"/>
      <c r="C492" s="463"/>
    </row>
    <row r="493" spans="2:3" x14ac:dyDescent="0.25">
      <c r="B493" s="463"/>
      <c r="C493" s="463"/>
    </row>
    <row r="494" spans="2:3" x14ac:dyDescent="0.25">
      <c r="B494" s="463"/>
      <c r="C494" s="463"/>
    </row>
    <row r="495" spans="2:3" x14ac:dyDescent="0.25">
      <c r="B495" s="463"/>
      <c r="C495" s="463"/>
    </row>
    <row r="496" spans="2:3" x14ac:dyDescent="0.25">
      <c r="B496" s="463"/>
      <c r="C496" s="463"/>
    </row>
    <row r="497" spans="2:3" x14ac:dyDescent="0.25">
      <c r="B497" s="463"/>
      <c r="C497" s="463"/>
    </row>
    <row r="498" spans="2:3" x14ac:dyDescent="0.25">
      <c r="B498" s="463"/>
      <c r="C498" s="463"/>
    </row>
    <row r="499" spans="2:3" x14ac:dyDescent="0.25">
      <c r="B499" s="463"/>
      <c r="C499" s="463"/>
    </row>
    <row r="500" spans="2:3" x14ac:dyDescent="0.25">
      <c r="B500" s="463"/>
      <c r="C500" s="463"/>
    </row>
    <row r="501" spans="2:3" x14ac:dyDescent="0.25">
      <c r="B501" s="463"/>
      <c r="C501" s="463"/>
    </row>
    <row r="502" spans="2:3" x14ac:dyDescent="0.25">
      <c r="B502" s="463"/>
      <c r="C502" s="463"/>
    </row>
    <row r="503" spans="2:3" x14ac:dyDescent="0.25">
      <c r="B503" s="463"/>
      <c r="C503" s="463"/>
    </row>
    <row r="504" spans="2:3" x14ac:dyDescent="0.25">
      <c r="B504" s="463"/>
      <c r="C504" s="463"/>
    </row>
    <row r="505" spans="2:3" x14ac:dyDescent="0.25">
      <c r="B505" s="463"/>
      <c r="C505" s="463"/>
    </row>
    <row r="506" spans="2:3" x14ac:dyDescent="0.25">
      <c r="B506" s="463"/>
      <c r="C506" s="463"/>
    </row>
    <row r="507" spans="2:3" x14ac:dyDescent="0.25">
      <c r="B507" s="463"/>
      <c r="C507" s="463"/>
    </row>
    <row r="508" spans="2:3" x14ac:dyDescent="0.25">
      <c r="B508" s="463"/>
      <c r="C508" s="463"/>
    </row>
    <row r="509" spans="2:3" x14ac:dyDescent="0.25">
      <c r="B509" s="463"/>
      <c r="C509" s="463"/>
    </row>
    <row r="510" spans="2:3" x14ac:dyDescent="0.25">
      <c r="B510" s="463"/>
      <c r="C510" s="463"/>
    </row>
    <row r="511" spans="2:3" x14ac:dyDescent="0.25">
      <c r="B511" s="463"/>
      <c r="C511" s="463"/>
    </row>
    <row r="512" spans="2:3" x14ac:dyDescent="0.25">
      <c r="B512" s="463"/>
      <c r="C512" s="463"/>
    </row>
    <row r="513" spans="2:3" x14ac:dyDescent="0.25">
      <c r="B513" s="463"/>
      <c r="C513" s="463"/>
    </row>
    <row r="514" spans="2:3" x14ac:dyDescent="0.25">
      <c r="B514" s="463"/>
      <c r="C514" s="463"/>
    </row>
    <row r="515" spans="2:3" x14ac:dyDescent="0.25">
      <c r="B515" s="463"/>
      <c r="C515" s="463"/>
    </row>
    <row r="516" spans="2:3" x14ac:dyDescent="0.25">
      <c r="B516" s="463"/>
      <c r="C516" s="463"/>
    </row>
    <row r="517" spans="2:3" x14ac:dyDescent="0.25">
      <c r="B517" s="463"/>
      <c r="C517" s="463"/>
    </row>
    <row r="518" spans="2:3" x14ac:dyDescent="0.25">
      <c r="B518" s="463"/>
      <c r="C518" s="463"/>
    </row>
    <row r="519" spans="2:3" x14ac:dyDescent="0.25">
      <c r="B519" s="463"/>
      <c r="C519" s="463"/>
    </row>
    <row r="520" spans="2:3" x14ac:dyDescent="0.25">
      <c r="B520" s="463"/>
      <c r="C520" s="463"/>
    </row>
    <row r="521" spans="2:3" x14ac:dyDescent="0.25">
      <c r="B521" s="463"/>
      <c r="C521" s="463"/>
    </row>
    <row r="522" spans="2:3" x14ac:dyDescent="0.25">
      <c r="B522" s="463"/>
      <c r="C522" s="463"/>
    </row>
    <row r="523" spans="2:3" x14ac:dyDescent="0.25">
      <c r="B523" s="463"/>
      <c r="C523" s="463"/>
    </row>
    <row r="524" spans="2:3" x14ac:dyDescent="0.25">
      <c r="B524" s="463"/>
      <c r="C524" s="463"/>
    </row>
    <row r="525" spans="2:3" x14ac:dyDescent="0.25">
      <c r="B525" s="463"/>
      <c r="C525" s="463"/>
    </row>
    <row r="526" spans="2:3" x14ac:dyDescent="0.25">
      <c r="B526" s="463"/>
      <c r="C526" s="463"/>
    </row>
    <row r="527" spans="2:3" x14ac:dyDescent="0.25">
      <c r="B527" s="463"/>
      <c r="C527" s="463"/>
    </row>
    <row r="528" spans="2:3" x14ac:dyDescent="0.25">
      <c r="B528" s="463"/>
      <c r="C528" s="463"/>
    </row>
    <row r="529" spans="2:3" x14ac:dyDescent="0.25">
      <c r="B529" s="463"/>
      <c r="C529" s="463"/>
    </row>
    <row r="530" spans="2:3" x14ac:dyDescent="0.25">
      <c r="B530" s="463"/>
      <c r="C530" s="463"/>
    </row>
    <row r="531" spans="2:3" x14ac:dyDescent="0.25">
      <c r="B531" s="463"/>
      <c r="C531" s="463"/>
    </row>
    <row r="532" spans="2:3" x14ac:dyDescent="0.25">
      <c r="B532" s="463"/>
      <c r="C532" s="463"/>
    </row>
    <row r="533" spans="2:3" x14ac:dyDescent="0.25">
      <c r="B533" s="463"/>
      <c r="C533" s="463"/>
    </row>
    <row r="534" spans="2:3" x14ac:dyDescent="0.25">
      <c r="B534" s="463"/>
      <c r="C534" s="463"/>
    </row>
    <row r="535" spans="2:3" x14ac:dyDescent="0.25">
      <c r="B535" s="463"/>
      <c r="C535" s="463"/>
    </row>
    <row r="536" spans="2:3" x14ac:dyDescent="0.25">
      <c r="B536" s="463"/>
      <c r="C536" s="463"/>
    </row>
    <row r="537" spans="2:3" x14ac:dyDescent="0.25">
      <c r="B537" s="463"/>
      <c r="C537" s="463"/>
    </row>
    <row r="538" spans="2:3" x14ac:dyDescent="0.25">
      <c r="B538" s="463"/>
      <c r="C538" s="463"/>
    </row>
    <row r="539" spans="2:3" x14ac:dyDescent="0.25">
      <c r="B539" s="463"/>
      <c r="C539" s="463"/>
    </row>
    <row r="540" spans="2:3" x14ac:dyDescent="0.25">
      <c r="B540" s="463"/>
      <c r="C540" s="463"/>
    </row>
    <row r="541" spans="2:3" x14ac:dyDescent="0.25">
      <c r="B541" s="463"/>
      <c r="C541" s="463"/>
    </row>
    <row r="542" spans="2:3" x14ac:dyDescent="0.25">
      <c r="B542" s="463"/>
      <c r="C542" s="463"/>
    </row>
    <row r="543" spans="2:3" x14ac:dyDescent="0.25">
      <c r="B543" s="463"/>
      <c r="C543" s="463"/>
    </row>
    <row r="544" spans="2:3" x14ac:dyDescent="0.25">
      <c r="B544" s="463"/>
      <c r="C544" s="463"/>
    </row>
    <row r="545" spans="2:3" x14ac:dyDescent="0.25">
      <c r="B545" s="463"/>
      <c r="C545" s="463"/>
    </row>
    <row r="546" spans="2:3" x14ac:dyDescent="0.25">
      <c r="B546" s="463"/>
      <c r="C546" s="463"/>
    </row>
    <row r="547" spans="2:3" x14ac:dyDescent="0.25">
      <c r="B547" s="463"/>
      <c r="C547" s="463"/>
    </row>
    <row r="548" spans="2:3" x14ac:dyDescent="0.25">
      <c r="B548" s="463"/>
      <c r="C548" s="463"/>
    </row>
    <row r="549" spans="2:3" x14ac:dyDescent="0.25">
      <c r="B549" s="463"/>
      <c r="C549" s="463"/>
    </row>
    <row r="550" spans="2:3" x14ac:dyDescent="0.25">
      <c r="B550" s="463"/>
      <c r="C550" s="463"/>
    </row>
    <row r="551" spans="2:3" x14ac:dyDescent="0.25">
      <c r="B551" s="463"/>
      <c r="C551" s="463"/>
    </row>
    <row r="552" spans="2:3" x14ac:dyDescent="0.25">
      <c r="B552" s="463"/>
      <c r="C552" s="463"/>
    </row>
    <row r="553" spans="2:3" x14ac:dyDescent="0.25">
      <c r="B553" s="463"/>
      <c r="C553" s="463"/>
    </row>
    <row r="554" spans="2:3" x14ac:dyDescent="0.25">
      <c r="B554" s="463"/>
      <c r="C554" s="463"/>
    </row>
    <row r="555" spans="2:3" x14ac:dyDescent="0.25">
      <c r="B555" s="463"/>
      <c r="C555" s="463"/>
    </row>
    <row r="556" spans="2:3" x14ac:dyDescent="0.25">
      <c r="B556" s="463"/>
      <c r="C556" s="463"/>
    </row>
    <row r="557" spans="2:3" x14ac:dyDescent="0.25">
      <c r="B557" s="463"/>
      <c r="C557" s="463"/>
    </row>
    <row r="558" spans="2:3" x14ac:dyDescent="0.25">
      <c r="B558" s="463"/>
      <c r="C558" s="463"/>
    </row>
    <row r="559" spans="2:3" x14ac:dyDescent="0.25">
      <c r="B559" s="463"/>
      <c r="C559" s="463"/>
    </row>
    <row r="560" spans="2:3" x14ac:dyDescent="0.25">
      <c r="B560" s="463"/>
      <c r="C560" s="463"/>
    </row>
    <row r="561" spans="2:3" x14ac:dyDescent="0.25">
      <c r="B561" s="463"/>
      <c r="C561" s="463"/>
    </row>
    <row r="562" spans="2:3" x14ac:dyDescent="0.25">
      <c r="B562" s="463"/>
      <c r="C562" s="463"/>
    </row>
    <row r="563" spans="2:3" x14ac:dyDescent="0.25">
      <c r="B563" s="463"/>
      <c r="C563" s="463"/>
    </row>
    <row r="564" spans="2:3" x14ac:dyDescent="0.25">
      <c r="B564" s="463"/>
      <c r="C564" s="463"/>
    </row>
    <row r="565" spans="2:3" x14ac:dyDescent="0.25">
      <c r="B565" s="463"/>
      <c r="C565" s="463"/>
    </row>
    <row r="566" spans="2:3" x14ac:dyDescent="0.25">
      <c r="B566" s="463"/>
      <c r="C566" s="463"/>
    </row>
    <row r="567" spans="2:3" x14ac:dyDescent="0.25">
      <c r="B567" s="463"/>
      <c r="C567" s="463"/>
    </row>
    <row r="568" spans="2:3" x14ac:dyDescent="0.25">
      <c r="B568" s="463"/>
      <c r="C568" s="463"/>
    </row>
    <row r="569" spans="2:3" x14ac:dyDescent="0.25">
      <c r="B569" s="463"/>
      <c r="C569" s="463"/>
    </row>
    <row r="570" spans="2:3" x14ac:dyDescent="0.25">
      <c r="B570" s="463"/>
      <c r="C570" s="463"/>
    </row>
    <row r="571" spans="2:3" x14ac:dyDescent="0.25">
      <c r="B571" s="463"/>
      <c r="C571" s="463"/>
    </row>
    <row r="572" spans="2:3" x14ac:dyDescent="0.25">
      <c r="B572" s="463"/>
      <c r="C572" s="463"/>
    </row>
    <row r="573" spans="2:3" x14ac:dyDescent="0.25">
      <c r="B573" s="463"/>
      <c r="C573" s="463"/>
    </row>
    <row r="574" spans="2:3" x14ac:dyDescent="0.25">
      <c r="B574" s="463"/>
      <c r="C574" s="463"/>
    </row>
    <row r="575" spans="2:3" x14ac:dyDescent="0.25">
      <c r="B575" s="463"/>
      <c r="C575" s="463"/>
    </row>
    <row r="576" spans="2:3" x14ac:dyDescent="0.25">
      <c r="B576" s="463"/>
      <c r="C576" s="463"/>
    </row>
    <row r="577" spans="2:3" x14ac:dyDescent="0.25">
      <c r="B577" s="463"/>
      <c r="C577" s="463"/>
    </row>
    <row r="578" spans="2:3" x14ac:dyDescent="0.25">
      <c r="B578" s="463"/>
      <c r="C578" s="463"/>
    </row>
    <row r="579" spans="2:3" x14ac:dyDescent="0.25">
      <c r="B579" s="463"/>
      <c r="C579" s="463"/>
    </row>
    <row r="580" spans="2:3" x14ac:dyDescent="0.25">
      <c r="B580" s="463"/>
      <c r="C580" s="463"/>
    </row>
    <row r="581" spans="2:3" x14ac:dyDescent="0.25">
      <c r="B581" s="463"/>
      <c r="C581" s="463"/>
    </row>
    <row r="582" spans="2:3" x14ac:dyDescent="0.25">
      <c r="B582" s="463"/>
      <c r="C582" s="463"/>
    </row>
    <row r="583" spans="2:3" x14ac:dyDescent="0.25">
      <c r="B583" s="463"/>
      <c r="C583" s="463"/>
    </row>
    <row r="584" spans="2:3" x14ac:dyDescent="0.25">
      <c r="B584" s="463"/>
      <c r="C584" s="463"/>
    </row>
    <row r="585" spans="2:3" x14ac:dyDescent="0.25">
      <c r="B585" s="463"/>
      <c r="C585" s="463"/>
    </row>
    <row r="586" spans="2:3" x14ac:dyDescent="0.25">
      <c r="B586" s="463"/>
      <c r="C586" s="463"/>
    </row>
    <row r="587" spans="2:3" x14ac:dyDescent="0.25">
      <c r="B587" s="463"/>
      <c r="C587" s="463"/>
    </row>
    <row r="588" spans="2:3" x14ac:dyDescent="0.25">
      <c r="B588" s="463"/>
      <c r="C588" s="463"/>
    </row>
    <row r="589" spans="2:3" x14ac:dyDescent="0.25">
      <c r="B589" s="463"/>
      <c r="C589" s="463"/>
    </row>
    <row r="590" spans="2:3" x14ac:dyDescent="0.25">
      <c r="B590" s="463"/>
      <c r="C590" s="463"/>
    </row>
    <row r="591" spans="2:3" x14ac:dyDescent="0.25">
      <c r="B591" s="463"/>
      <c r="C591" s="463"/>
    </row>
    <row r="592" spans="2:3" x14ac:dyDescent="0.25">
      <c r="B592" s="463"/>
      <c r="C592" s="463"/>
    </row>
    <row r="593" spans="2:3" x14ac:dyDescent="0.25">
      <c r="B593" s="463"/>
      <c r="C593" s="463"/>
    </row>
    <row r="594" spans="2:3" x14ac:dyDescent="0.25">
      <c r="B594" s="463"/>
      <c r="C594" s="463"/>
    </row>
    <row r="595" spans="2:3" x14ac:dyDescent="0.25">
      <c r="B595" s="463"/>
      <c r="C595" s="463"/>
    </row>
    <row r="596" spans="2:3" x14ac:dyDescent="0.25">
      <c r="B596" s="463"/>
      <c r="C596" s="463"/>
    </row>
    <row r="597" spans="2:3" x14ac:dyDescent="0.25">
      <c r="B597" s="463"/>
      <c r="C597" s="463"/>
    </row>
    <row r="598" spans="2:3" x14ac:dyDescent="0.25">
      <c r="B598" s="463"/>
      <c r="C598" s="463"/>
    </row>
    <row r="599" spans="2:3" x14ac:dyDescent="0.25">
      <c r="B599" s="463"/>
      <c r="C599" s="463"/>
    </row>
    <row r="600" spans="2:3" x14ac:dyDescent="0.25">
      <c r="B600" s="463"/>
      <c r="C600" s="463"/>
    </row>
    <row r="601" spans="2:3" x14ac:dyDescent="0.25">
      <c r="B601" s="463"/>
      <c r="C601" s="463"/>
    </row>
    <row r="602" spans="2:3" x14ac:dyDescent="0.25">
      <c r="B602" s="463"/>
      <c r="C602" s="463"/>
    </row>
    <row r="603" spans="2:3" x14ac:dyDescent="0.25">
      <c r="B603" s="463"/>
      <c r="C603" s="463"/>
    </row>
    <row r="604" spans="2:3" x14ac:dyDescent="0.25">
      <c r="B604" s="463"/>
      <c r="C604" s="463"/>
    </row>
    <row r="605" spans="2:3" x14ac:dyDescent="0.25">
      <c r="B605" s="463"/>
      <c r="C605" s="463"/>
    </row>
    <row r="606" spans="2:3" x14ac:dyDescent="0.25">
      <c r="B606" s="463"/>
      <c r="C606" s="463"/>
    </row>
    <row r="607" spans="2:3" x14ac:dyDescent="0.25">
      <c r="B607" s="463"/>
      <c r="C607" s="463"/>
    </row>
    <row r="608" spans="2:3" x14ac:dyDescent="0.25">
      <c r="B608" s="463"/>
      <c r="C608" s="463"/>
    </row>
    <row r="609" spans="2:3" x14ac:dyDescent="0.25">
      <c r="B609" s="463"/>
      <c r="C609" s="463"/>
    </row>
    <row r="610" spans="2:3" x14ac:dyDescent="0.25">
      <c r="B610" s="463"/>
      <c r="C610" s="463"/>
    </row>
    <row r="611" spans="2:3" x14ac:dyDescent="0.25">
      <c r="B611" s="463"/>
      <c r="C611" s="463"/>
    </row>
    <row r="612" spans="2:3" x14ac:dyDescent="0.25">
      <c r="B612" s="463"/>
      <c r="C612" s="463"/>
    </row>
    <row r="613" spans="2:3" x14ac:dyDescent="0.25">
      <c r="B613" s="463"/>
      <c r="C613" s="463"/>
    </row>
    <row r="614" spans="2:3" x14ac:dyDescent="0.25">
      <c r="B614" s="463"/>
      <c r="C614" s="463"/>
    </row>
    <row r="615" spans="2:3" x14ac:dyDescent="0.25">
      <c r="B615" s="463"/>
      <c r="C615" s="463"/>
    </row>
    <row r="616" spans="2:3" x14ac:dyDescent="0.25">
      <c r="B616" s="463"/>
      <c r="C616" s="463"/>
    </row>
    <row r="617" spans="2:3" x14ac:dyDescent="0.25">
      <c r="B617" s="463"/>
      <c r="C617" s="463"/>
    </row>
    <row r="618" spans="2:3" x14ac:dyDescent="0.25">
      <c r="B618" s="463"/>
      <c r="C618" s="463"/>
    </row>
    <row r="619" spans="2:3" x14ac:dyDescent="0.25">
      <c r="B619" s="463"/>
      <c r="C619" s="463"/>
    </row>
    <row r="620" spans="2:3" x14ac:dyDescent="0.25">
      <c r="B620" s="463"/>
      <c r="C620" s="463"/>
    </row>
    <row r="621" spans="2:3" x14ac:dyDescent="0.25">
      <c r="B621" s="463"/>
      <c r="C621" s="463"/>
    </row>
    <row r="622" spans="2:3" x14ac:dyDescent="0.25">
      <c r="B622" s="463"/>
      <c r="C622" s="463"/>
    </row>
    <row r="623" spans="2:3" x14ac:dyDescent="0.25">
      <c r="B623" s="463"/>
      <c r="C623" s="463"/>
    </row>
    <row r="624" spans="2:3" x14ac:dyDescent="0.25">
      <c r="B624" s="463"/>
      <c r="C624" s="463"/>
    </row>
    <row r="625" spans="2:3" x14ac:dyDescent="0.25">
      <c r="B625" s="463"/>
      <c r="C625" s="463"/>
    </row>
    <row r="626" spans="2:3" x14ac:dyDescent="0.25">
      <c r="B626" s="463"/>
      <c r="C626" s="463"/>
    </row>
    <row r="627" spans="2:3" x14ac:dyDescent="0.25">
      <c r="B627" s="463"/>
      <c r="C627" s="463"/>
    </row>
    <row r="628" spans="2:3" x14ac:dyDescent="0.25">
      <c r="B628" s="463"/>
      <c r="C628" s="463"/>
    </row>
    <row r="629" spans="2:3" x14ac:dyDescent="0.25">
      <c r="B629" s="463"/>
      <c r="C629" s="463"/>
    </row>
    <row r="630" spans="2:3" x14ac:dyDescent="0.25">
      <c r="B630" s="463"/>
      <c r="C630" s="463"/>
    </row>
    <row r="631" spans="2:3" x14ac:dyDescent="0.25">
      <c r="B631" s="463"/>
      <c r="C631" s="463"/>
    </row>
    <row r="632" spans="2:3" x14ac:dyDescent="0.25">
      <c r="B632" s="463"/>
      <c r="C632" s="463"/>
    </row>
    <row r="633" spans="2:3" x14ac:dyDescent="0.25">
      <c r="B633" s="463"/>
      <c r="C633" s="463"/>
    </row>
    <row r="634" spans="2:3" x14ac:dyDescent="0.25">
      <c r="B634" s="463"/>
      <c r="C634" s="463"/>
    </row>
    <row r="635" spans="2:3" x14ac:dyDescent="0.25">
      <c r="B635" s="463"/>
      <c r="C635" s="463"/>
    </row>
    <row r="636" spans="2:3" x14ac:dyDescent="0.25">
      <c r="B636" s="463"/>
      <c r="C636" s="463"/>
    </row>
    <row r="637" spans="2:3" x14ac:dyDescent="0.25">
      <c r="B637" s="463"/>
      <c r="C637" s="463"/>
    </row>
    <row r="638" spans="2:3" x14ac:dyDescent="0.25">
      <c r="B638" s="463"/>
      <c r="C638" s="463"/>
    </row>
    <row r="639" spans="2:3" x14ac:dyDescent="0.25">
      <c r="B639" s="463"/>
      <c r="C639" s="463"/>
    </row>
    <row r="640" spans="2:3" x14ac:dyDescent="0.25">
      <c r="B640" s="463"/>
      <c r="C640" s="463"/>
    </row>
    <row r="641" spans="2:3" x14ac:dyDescent="0.25">
      <c r="B641" s="463"/>
      <c r="C641" s="463"/>
    </row>
    <row r="642" spans="2:3" x14ac:dyDescent="0.25">
      <c r="B642" s="463"/>
      <c r="C642" s="463"/>
    </row>
    <row r="643" spans="2:3" x14ac:dyDescent="0.25">
      <c r="B643" s="463"/>
      <c r="C643" s="463"/>
    </row>
    <row r="644" spans="2:3" x14ac:dyDescent="0.25">
      <c r="B644" s="463"/>
      <c r="C644" s="463"/>
    </row>
    <row r="645" spans="2:3" x14ac:dyDescent="0.25">
      <c r="B645" s="463"/>
      <c r="C645" s="463"/>
    </row>
    <row r="646" spans="2:3" x14ac:dyDescent="0.25">
      <c r="B646" s="463"/>
      <c r="C646" s="463"/>
    </row>
    <row r="647" spans="2:3" x14ac:dyDescent="0.25">
      <c r="B647" s="463"/>
      <c r="C647" s="463"/>
    </row>
    <row r="648" spans="2:3" x14ac:dyDescent="0.25">
      <c r="B648" s="463"/>
      <c r="C648" s="463"/>
    </row>
    <row r="649" spans="2:3" x14ac:dyDescent="0.25">
      <c r="B649" s="463"/>
      <c r="C649" s="463"/>
    </row>
    <row r="650" spans="2:3" x14ac:dyDescent="0.25">
      <c r="B650" s="463"/>
      <c r="C650" s="463"/>
    </row>
    <row r="651" spans="2:3" x14ac:dyDescent="0.25">
      <c r="B651" s="463"/>
      <c r="C651" s="463"/>
    </row>
    <row r="652" spans="2:3" x14ac:dyDescent="0.25">
      <c r="B652" s="463"/>
      <c r="C652" s="463"/>
    </row>
    <row r="653" spans="2:3" x14ac:dyDescent="0.25">
      <c r="B653" s="463"/>
      <c r="C653" s="463"/>
    </row>
    <row r="654" spans="2:3" x14ac:dyDescent="0.25">
      <c r="B654" s="463"/>
      <c r="C654" s="463"/>
    </row>
    <row r="655" spans="2:3" x14ac:dyDescent="0.25">
      <c r="B655" s="463"/>
      <c r="C655" s="463"/>
    </row>
    <row r="656" spans="2:3" x14ac:dyDescent="0.25">
      <c r="B656" s="463"/>
      <c r="C656" s="463"/>
    </row>
    <row r="657" spans="2:3" x14ac:dyDescent="0.25">
      <c r="B657" s="463"/>
      <c r="C657" s="463"/>
    </row>
    <row r="658" spans="2:3" x14ac:dyDescent="0.25">
      <c r="B658" s="463"/>
      <c r="C658" s="463"/>
    </row>
    <row r="659" spans="2:3" x14ac:dyDescent="0.25">
      <c r="B659" s="463"/>
      <c r="C659" s="463"/>
    </row>
    <row r="660" spans="2:3" x14ac:dyDescent="0.25">
      <c r="B660" s="463"/>
      <c r="C660" s="463"/>
    </row>
    <row r="661" spans="2:3" x14ac:dyDescent="0.25">
      <c r="B661" s="463"/>
      <c r="C661" s="463"/>
    </row>
    <row r="662" spans="2:3" x14ac:dyDescent="0.25">
      <c r="B662" s="463"/>
      <c r="C662" s="463"/>
    </row>
    <row r="663" spans="2:3" x14ac:dyDescent="0.25">
      <c r="B663" s="463"/>
      <c r="C663" s="463"/>
    </row>
    <row r="664" spans="2:3" x14ac:dyDescent="0.25">
      <c r="B664" s="463"/>
      <c r="C664" s="463"/>
    </row>
    <row r="665" spans="2:3" x14ac:dyDescent="0.25">
      <c r="B665" s="463"/>
      <c r="C665" s="463"/>
    </row>
    <row r="666" spans="2:3" x14ac:dyDescent="0.25">
      <c r="B666" s="463"/>
      <c r="C666" s="463"/>
    </row>
    <row r="667" spans="2:3" x14ac:dyDescent="0.25">
      <c r="B667" s="463"/>
      <c r="C667" s="463"/>
    </row>
    <row r="668" spans="2:3" x14ac:dyDescent="0.25">
      <c r="B668" s="463"/>
      <c r="C668" s="463"/>
    </row>
    <row r="669" spans="2:3" x14ac:dyDescent="0.25">
      <c r="B669" s="463"/>
      <c r="C669" s="463"/>
    </row>
    <row r="670" spans="2:3" x14ac:dyDescent="0.25">
      <c r="B670" s="463"/>
      <c r="C670" s="463"/>
    </row>
    <row r="671" spans="2:3" x14ac:dyDescent="0.25">
      <c r="B671" s="463"/>
      <c r="C671" s="463"/>
    </row>
    <row r="672" spans="2:3" x14ac:dyDescent="0.25">
      <c r="B672" s="463"/>
      <c r="C672" s="463"/>
    </row>
    <row r="673" spans="2:3" x14ac:dyDescent="0.25">
      <c r="B673" s="463"/>
      <c r="C673" s="463"/>
    </row>
    <row r="674" spans="2:3" x14ac:dyDescent="0.25">
      <c r="B674" s="463"/>
      <c r="C674" s="463"/>
    </row>
    <row r="675" spans="2:3" x14ac:dyDescent="0.25">
      <c r="B675" s="463"/>
      <c r="C675" s="463"/>
    </row>
    <row r="676" spans="2:3" x14ac:dyDescent="0.25">
      <c r="B676" s="463"/>
      <c r="C676" s="463"/>
    </row>
    <row r="677" spans="2:3" x14ac:dyDescent="0.25">
      <c r="B677" s="463"/>
      <c r="C677" s="463"/>
    </row>
    <row r="678" spans="2:3" x14ac:dyDescent="0.25">
      <c r="B678" s="463"/>
      <c r="C678" s="463"/>
    </row>
    <row r="679" spans="2:3" x14ac:dyDescent="0.25">
      <c r="B679" s="463"/>
      <c r="C679" s="463"/>
    </row>
    <row r="680" spans="2:3" x14ac:dyDescent="0.25">
      <c r="B680" s="463"/>
      <c r="C680" s="463"/>
    </row>
    <row r="681" spans="2:3" x14ac:dyDescent="0.25">
      <c r="B681" s="463"/>
      <c r="C681" s="463"/>
    </row>
    <row r="682" spans="2:3" x14ac:dyDescent="0.25">
      <c r="B682" s="463"/>
      <c r="C682" s="463"/>
    </row>
    <row r="683" spans="2:3" x14ac:dyDescent="0.25">
      <c r="B683" s="463"/>
      <c r="C683" s="463"/>
    </row>
    <row r="684" spans="2:3" x14ac:dyDescent="0.25">
      <c r="B684" s="463"/>
      <c r="C684" s="463"/>
    </row>
    <row r="685" spans="2:3" x14ac:dyDescent="0.25">
      <c r="B685" s="463"/>
      <c r="C685" s="463"/>
    </row>
    <row r="686" spans="2:3" x14ac:dyDescent="0.25">
      <c r="B686" s="463"/>
      <c r="C686" s="463"/>
    </row>
    <row r="687" spans="2:3" x14ac:dyDescent="0.25">
      <c r="B687" s="463"/>
      <c r="C687" s="463"/>
    </row>
    <row r="688" spans="2:3" x14ac:dyDescent="0.25">
      <c r="B688" s="463"/>
      <c r="C688" s="463"/>
    </row>
    <row r="689" spans="2:3" x14ac:dyDescent="0.25">
      <c r="B689" s="463"/>
      <c r="C689" s="463"/>
    </row>
    <row r="690" spans="2:3" x14ac:dyDescent="0.25">
      <c r="B690" s="463"/>
      <c r="C690" s="463"/>
    </row>
    <row r="691" spans="2:3" x14ac:dyDescent="0.25">
      <c r="B691" s="463"/>
      <c r="C691" s="463"/>
    </row>
    <row r="692" spans="2:3" x14ac:dyDescent="0.25">
      <c r="B692" s="463"/>
      <c r="C692" s="463"/>
    </row>
    <row r="693" spans="2:3" x14ac:dyDescent="0.25">
      <c r="B693" s="463"/>
      <c r="C693" s="463"/>
    </row>
    <row r="694" spans="2:3" x14ac:dyDescent="0.25">
      <c r="B694" s="463"/>
      <c r="C694" s="463"/>
    </row>
    <row r="695" spans="2:3" x14ac:dyDescent="0.25">
      <c r="B695" s="463"/>
      <c r="C695" s="463"/>
    </row>
    <row r="696" spans="2:3" x14ac:dyDescent="0.25">
      <c r="B696" s="463"/>
      <c r="C696" s="463"/>
    </row>
    <row r="697" spans="2:3" x14ac:dyDescent="0.25">
      <c r="B697" s="463"/>
      <c r="C697" s="463"/>
    </row>
    <row r="698" spans="2:3" x14ac:dyDescent="0.25">
      <c r="B698" s="463"/>
      <c r="C698" s="463"/>
    </row>
    <row r="699" spans="2:3" x14ac:dyDescent="0.25">
      <c r="B699" s="463"/>
      <c r="C699" s="463"/>
    </row>
    <row r="700" spans="2:3" x14ac:dyDescent="0.25">
      <c r="B700" s="463"/>
      <c r="C700" s="463"/>
    </row>
    <row r="701" spans="2:3" x14ac:dyDescent="0.25">
      <c r="B701" s="463"/>
      <c r="C701" s="463"/>
    </row>
    <row r="702" spans="2:3" x14ac:dyDescent="0.25">
      <c r="B702" s="463"/>
      <c r="C702" s="463"/>
    </row>
    <row r="703" spans="2:3" x14ac:dyDescent="0.25">
      <c r="B703" s="463"/>
      <c r="C703" s="463"/>
    </row>
    <row r="704" spans="2:3" x14ac:dyDescent="0.25">
      <c r="B704" s="463"/>
      <c r="C704" s="463"/>
    </row>
    <row r="705" spans="2:3" x14ac:dyDescent="0.25">
      <c r="B705" s="463"/>
      <c r="C705" s="463"/>
    </row>
    <row r="706" spans="2:3" x14ac:dyDescent="0.25">
      <c r="B706" s="463"/>
      <c r="C706" s="463"/>
    </row>
    <row r="707" spans="2:3" x14ac:dyDescent="0.25">
      <c r="B707" s="463"/>
      <c r="C707" s="463"/>
    </row>
    <row r="708" spans="2:3" x14ac:dyDescent="0.25">
      <c r="B708" s="463"/>
      <c r="C708" s="463"/>
    </row>
    <row r="709" spans="2:3" x14ac:dyDescent="0.25">
      <c r="B709" s="463"/>
      <c r="C709" s="463"/>
    </row>
    <row r="710" spans="2:3" x14ac:dyDescent="0.25">
      <c r="B710" s="463"/>
      <c r="C710" s="463"/>
    </row>
    <row r="711" spans="2:3" x14ac:dyDescent="0.25">
      <c r="B711" s="463"/>
      <c r="C711" s="463"/>
    </row>
    <row r="712" spans="2:3" x14ac:dyDescent="0.25">
      <c r="B712" s="463"/>
      <c r="C712" s="463"/>
    </row>
    <row r="713" spans="2:3" x14ac:dyDescent="0.25">
      <c r="B713" s="463"/>
      <c r="C713" s="463"/>
    </row>
    <row r="714" spans="2:3" x14ac:dyDescent="0.25">
      <c r="B714" s="463"/>
      <c r="C714" s="463"/>
    </row>
    <row r="715" spans="2:3" x14ac:dyDescent="0.25">
      <c r="B715" s="463"/>
      <c r="C715" s="463"/>
    </row>
    <row r="716" spans="2:3" x14ac:dyDescent="0.25">
      <c r="B716" s="463"/>
      <c r="C716" s="463"/>
    </row>
    <row r="717" spans="2:3" x14ac:dyDescent="0.25">
      <c r="B717" s="463"/>
      <c r="C717" s="463"/>
    </row>
    <row r="718" spans="2:3" x14ac:dyDescent="0.25">
      <c r="B718" s="463"/>
      <c r="C718" s="463"/>
    </row>
    <row r="719" spans="2:3" x14ac:dyDescent="0.25">
      <c r="B719" s="463"/>
      <c r="C719" s="463"/>
    </row>
    <row r="720" spans="2:3" x14ac:dyDescent="0.25">
      <c r="B720" s="463"/>
      <c r="C720" s="463"/>
    </row>
    <row r="721" spans="2:3" x14ac:dyDescent="0.25">
      <c r="B721" s="463"/>
      <c r="C721" s="463"/>
    </row>
    <row r="722" spans="2:3" x14ac:dyDescent="0.25">
      <c r="B722" s="463"/>
      <c r="C722" s="463"/>
    </row>
    <row r="723" spans="2:3" x14ac:dyDescent="0.25">
      <c r="B723" s="463"/>
      <c r="C723" s="463"/>
    </row>
    <row r="724" spans="2:3" x14ac:dyDescent="0.25">
      <c r="B724" s="463"/>
      <c r="C724" s="463"/>
    </row>
    <row r="725" spans="2:3" x14ac:dyDescent="0.25">
      <c r="B725" s="463"/>
      <c r="C725" s="463"/>
    </row>
    <row r="726" spans="2:3" x14ac:dyDescent="0.25">
      <c r="B726" s="463"/>
      <c r="C726" s="463"/>
    </row>
    <row r="727" spans="2:3" x14ac:dyDescent="0.25">
      <c r="B727" s="463"/>
      <c r="C727" s="463"/>
    </row>
    <row r="728" spans="2:3" x14ac:dyDescent="0.25">
      <c r="B728" s="463"/>
      <c r="C728" s="463"/>
    </row>
    <row r="729" spans="2:3" x14ac:dyDescent="0.25">
      <c r="B729" s="463"/>
      <c r="C729" s="463"/>
    </row>
    <row r="730" spans="2:3" x14ac:dyDescent="0.25">
      <c r="B730" s="463"/>
      <c r="C730" s="463"/>
    </row>
    <row r="731" spans="2:3" x14ac:dyDescent="0.25">
      <c r="B731" s="463"/>
      <c r="C731" s="463"/>
    </row>
    <row r="732" spans="2:3" x14ac:dyDescent="0.25">
      <c r="B732" s="463"/>
      <c r="C732" s="463"/>
    </row>
    <row r="733" spans="2:3" x14ac:dyDescent="0.25">
      <c r="B733" s="463"/>
      <c r="C733" s="463"/>
    </row>
    <row r="734" spans="2:3" x14ac:dyDescent="0.25">
      <c r="B734" s="463"/>
      <c r="C734" s="463"/>
    </row>
    <row r="735" spans="2:3" x14ac:dyDescent="0.25">
      <c r="B735" s="463"/>
      <c r="C735" s="463"/>
    </row>
    <row r="736" spans="2:3" x14ac:dyDescent="0.25">
      <c r="B736" s="463"/>
      <c r="C736" s="463"/>
    </row>
    <row r="737" spans="2:3" x14ac:dyDescent="0.25">
      <c r="B737" s="463"/>
      <c r="C737" s="463"/>
    </row>
    <row r="738" spans="2:3" x14ac:dyDescent="0.25">
      <c r="B738" s="463"/>
      <c r="C738" s="463"/>
    </row>
    <row r="739" spans="2:3" x14ac:dyDescent="0.25">
      <c r="B739" s="463"/>
      <c r="C739" s="463"/>
    </row>
    <row r="740" spans="2:3" x14ac:dyDescent="0.25">
      <c r="B740" s="463"/>
      <c r="C740" s="463"/>
    </row>
    <row r="741" spans="2:3" x14ac:dyDescent="0.25">
      <c r="B741" s="463"/>
      <c r="C741" s="463"/>
    </row>
    <row r="742" spans="2:3" x14ac:dyDescent="0.25">
      <c r="B742" s="463"/>
      <c r="C742" s="463"/>
    </row>
    <row r="743" spans="2:3" x14ac:dyDescent="0.25">
      <c r="B743" s="463"/>
      <c r="C743" s="463"/>
    </row>
    <row r="744" spans="2:3" x14ac:dyDescent="0.25">
      <c r="B744" s="463"/>
      <c r="C744" s="463"/>
    </row>
    <row r="745" spans="2:3" x14ac:dyDescent="0.25">
      <c r="B745" s="463"/>
      <c r="C745" s="463"/>
    </row>
    <row r="746" spans="2:3" x14ac:dyDescent="0.25">
      <c r="B746" s="463"/>
      <c r="C746" s="463"/>
    </row>
    <row r="747" spans="2:3" x14ac:dyDescent="0.25">
      <c r="B747" s="463"/>
      <c r="C747" s="463"/>
    </row>
    <row r="748" spans="2:3" x14ac:dyDescent="0.25">
      <c r="B748" s="463"/>
      <c r="C748" s="463"/>
    </row>
    <row r="749" spans="2:3" x14ac:dyDescent="0.25">
      <c r="B749" s="463"/>
      <c r="C749" s="463"/>
    </row>
    <row r="750" spans="2:3" x14ac:dyDescent="0.25">
      <c r="B750" s="463"/>
      <c r="C750" s="463"/>
    </row>
    <row r="751" spans="2:3" x14ac:dyDescent="0.25">
      <c r="B751" s="463"/>
      <c r="C751" s="463"/>
    </row>
    <row r="752" spans="2:3" x14ac:dyDescent="0.25">
      <c r="B752" s="463"/>
      <c r="C752" s="463"/>
    </row>
    <row r="753" spans="2:3" x14ac:dyDescent="0.25">
      <c r="B753" s="463"/>
      <c r="C753" s="463"/>
    </row>
    <row r="754" spans="2:3" x14ac:dyDescent="0.25">
      <c r="B754" s="463"/>
      <c r="C754" s="463"/>
    </row>
    <row r="755" spans="2:3" x14ac:dyDescent="0.25">
      <c r="B755" s="463"/>
      <c r="C755" s="463"/>
    </row>
    <row r="756" spans="2:3" x14ac:dyDescent="0.25">
      <c r="B756" s="463"/>
      <c r="C756" s="463"/>
    </row>
    <row r="757" spans="2:3" x14ac:dyDescent="0.25">
      <c r="B757" s="463"/>
      <c r="C757" s="463"/>
    </row>
    <row r="758" spans="2:3" x14ac:dyDescent="0.25">
      <c r="B758" s="463"/>
      <c r="C758" s="463"/>
    </row>
    <row r="759" spans="2:3" x14ac:dyDescent="0.25">
      <c r="B759" s="463"/>
      <c r="C759" s="463"/>
    </row>
    <row r="760" spans="2:3" x14ac:dyDescent="0.25">
      <c r="B760" s="463"/>
      <c r="C760" s="463"/>
    </row>
    <row r="761" spans="2:3" x14ac:dyDescent="0.25">
      <c r="B761" s="463"/>
      <c r="C761" s="463"/>
    </row>
    <row r="762" spans="2:3" x14ac:dyDescent="0.25">
      <c r="B762" s="463"/>
      <c r="C762" s="463"/>
    </row>
    <row r="763" spans="2:3" x14ac:dyDescent="0.25">
      <c r="B763" s="463"/>
      <c r="C763" s="463"/>
    </row>
    <row r="764" spans="2:3" x14ac:dyDescent="0.25">
      <c r="B764" s="463"/>
      <c r="C764" s="463"/>
    </row>
    <row r="765" spans="2:3" x14ac:dyDescent="0.25">
      <c r="B765" s="463"/>
      <c r="C765" s="463"/>
    </row>
    <row r="766" spans="2:3" x14ac:dyDescent="0.25">
      <c r="B766" s="463"/>
      <c r="C766" s="463"/>
    </row>
    <row r="767" spans="2:3" x14ac:dyDescent="0.25">
      <c r="B767" s="463"/>
      <c r="C767" s="463"/>
    </row>
    <row r="768" spans="2:3" x14ac:dyDescent="0.25">
      <c r="B768" s="463"/>
      <c r="C768" s="463"/>
    </row>
    <row r="769" spans="2:3" x14ac:dyDescent="0.25">
      <c r="B769" s="463"/>
      <c r="C769" s="463"/>
    </row>
    <row r="770" spans="2:3" x14ac:dyDescent="0.25">
      <c r="B770" s="463"/>
      <c r="C770" s="463"/>
    </row>
    <row r="771" spans="2:3" x14ac:dyDescent="0.25">
      <c r="B771" s="463"/>
      <c r="C771" s="463"/>
    </row>
    <row r="772" spans="2:3" x14ac:dyDescent="0.25">
      <c r="B772" s="463"/>
      <c r="C772" s="463"/>
    </row>
    <row r="773" spans="2:3" x14ac:dyDescent="0.25">
      <c r="B773" s="463"/>
      <c r="C773" s="463"/>
    </row>
    <row r="774" spans="2:3" x14ac:dyDescent="0.25">
      <c r="B774" s="463"/>
      <c r="C774" s="463"/>
    </row>
    <row r="775" spans="2:3" x14ac:dyDescent="0.25">
      <c r="B775" s="463"/>
      <c r="C775" s="463"/>
    </row>
    <row r="776" spans="2:3" x14ac:dyDescent="0.25">
      <c r="B776" s="463"/>
      <c r="C776" s="463"/>
    </row>
    <row r="777" spans="2:3" x14ac:dyDescent="0.25">
      <c r="B777" s="463"/>
      <c r="C777" s="463"/>
    </row>
    <row r="778" spans="2:3" x14ac:dyDescent="0.25">
      <c r="B778" s="463"/>
      <c r="C778" s="463"/>
    </row>
    <row r="779" spans="2:3" x14ac:dyDescent="0.25">
      <c r="B779" s="463"/>
      <c r="C779" s="463"/>
    </row>
    <row r="780" spans="2:3" x14ac:dyDescent="0.25">
      <c r="B780" s="463"/>
      <c r="C780" s="463"/>
    </row>
    <row r="781" spans="2:3" x14ac:dyDescent="0.25">
      <c r="B781" s="463"/>
      <c r="C781" s="463"/>
    </row>
    <row r="782" spans="2:3" x14ac:dyDescent="0.25">
      <c r="B782" s="463"/>
      <c r="C782" s="463"/>
    </row>
    <row r="783" spans="2:3" x14ac:dyDescent="0.25">
      <c r="B783" s="463"/>
      <c r="C783" s="463"/>
    </row>
    <row r="784" spans="2:3" x14ac:dyDescent="0.25">
      <c r="B784" s="463"/>
      <c r="C784" s="463"/>
    </row>
    <row r="785" spans="2:3" x14ac:dyDescent="0.25">
      <c r="B785" s="463"/>
      <c r="C785" s="463"/>
    </row>
    <row r="786" spans="2:3" x14ac:dyDescent="0.25">
      <c r="B786" s="463"/>
      <c r="C786" s="463"/>
    </row>
    <row r="787" spans="2:3" x14ac:dyDescent="0.25">
      <c r="B787" s="463"/>
      <c r="C787" s="463"/>
    </row>
    <row r="788" spans="2:3" x14ac:dyDescent="0.25">
      <c r="B788" s="463"/>
      <c r="C788" s="463"/>
    </row>
    <row r="789" spans="2:3" x14ac:dyDescent="0.25">
      <c r="B789" s="463"/>
      <c r="C789" s="463"/>
    </row>
    <row r="790" spans="2:3" x14ac:dyDescent="0.25">
      <c r="B790" s="463"/>
      <c r="C790" s="463"/>
    </row>
    <row r="791" spans="2:3" x14ac:dyDescent="0.25">
      <c r="B791" s="463"/>
      <c r="C791" s="463"/>
    </row>
    <row r="792" spans="2:3" x14ac:dyDescent="0.25">
      <c r="B792" s="463"/>
      <c r="C792" s="463"/>
    </row>
    <row r="793" spans="2:3" x14ac:dyDescent="0.25">
      <c r="B793" s="463"/>
      <c r="C793" s="463"/>
    </row>
    <row r="794" spans="2:3" x14ac:dyDescent="0.25">
      <c r="B794" s="463"/>
      <c r="C794" s="463"/>
    </row>
    <row r="795" spans="2:3" x14ac:dyDescent="0.25">
      <c r="B795" s="463"/>
      <c r="C795" s="463"/>
    </row>
    <row r="796" spans="2:3" x14ac:dyDescent="0.25">
      <c r="B796" s="463"/>
      <c r="C796" s="463"/>
    </row>
    <row r="797" spans="2:3" x14ac:dyDescent="0.25">
      <c r="B797" s="463"/>
      <c r="C797" s="463"/>
    </row>
    <row r="798" spans="2:3" x14ac:dyDescent="0.25">
      <c r="B798" s="463"/>
      <c r="C798" s="463"/>
    </row>
    <row r="799" spans="2:3" x14ac:dyDescent="0.25">
      <c r="B799" s="463"/>
      <c r="C799" s="463"/>
    </row>
    <row r="800" spans="2:3" x14ac:dyDescent="0.25">
      <c r="B800" s="463"/>
      <c r="C800" s="463"/>
    </row>
    <row r="801" spans="2:3" x14ac:dyDescent="0.25">
      <c r="B801" s="463"/>
      <c r="C801" s="463"/>
    </row>
    <row r="802" spans="2:3" x14ac:dyDescent="0.25">
      <c r="B802" s="463"/>
      <c r="C802" s="463"/>
    </row>
    <row r="803" spans="2:3" x14ac:dyDescent="0.25">
      <c r="B803" s="463"/>
      <c r="C803" s="463"/>
    </row>
    <row r="804" spans="2:3" x14ac:dyDescent="0.25">
      <c r="B804" s="463"/>
      <c r="C804" s="463"/>
    </row>
    <row r="805" spans="2:3" x14ac:dyDescent="0.25">
      <c r="B805" s="463"/>
      <c r="C805" s="463"/>
    </row>
    <row r="806" spans="2:3" x14ac:dyDescent="0.25">
      <c r="B806" s="463"/>
      <c r="C806" s="463"/>
    </row>
    <row r="807" spans="2:3" x14ac:dyDescent="0.25">
      <c r="B807" s="463"/>
      <c r="C807" s="463"/>
    </row>
    <row r="808" spans="2:3" x14ac:dyDescent="0.25">
      <c r="B808" s="463"/>
      <c r="C808" s="463"/>
    </row>
    <row r="809" spans="2:3" x14ac:dyDescent="0.25">
      <c r="B809" s="463"/>
      <c r="C809" s="463"/>
    </row>
    <row r="810" spans="2:3" x14ac:dyDescent="0.25">
      <c r="B810" s="463"/>
      <c r="C810" s="463"/>
    </row>
    <row r="811" spans="2:3" x14ac:dyDescent="0.25">
      <c r="B811" s="463"/>
      <c r="C811" s="463"/>
    </row>
    <row r="812" spans="2:3" x14ac:dyDescent="0.25">
      <c r="B812" s="463"/>
      <c r="C812" s="463"/>
    </row>
    <row r="813" spans="2:3" x14ac:dyDescent="0.25">
      <c r="B813" s="463"/>
      <c r="C813" s="463"/>
    </row>
    <row r="814" spans="2:3" x14ac:dyDescent="0.25">
      <c r="B814" s="463"/>
      <c r="C814" s="463"/>
    </row>
    <row r="815" spans="2:3" x14ac:dyDescent="0.25">
      <c r="B815" s="463"/>
      <c r="C815" s="463"/>
    </row>
    <row r="816" spans="2:3" x14ac:dyDescent="0.25">
      <c r="B816" s="463"/>
      <c r="C816" s="463"/>
    </row>
    <row r="817" spans="2:3" x14ac:dyDescent="0.25">
      <c r="B817" s="463"/>
      <c r="C817" s="463"/>
    </row>
    <row r="818" spans="2:3" x14ac:dyDescent="0.25">
      <c r="B818" s="463"/>
      <c r="C818" s="463"/>
    </row>
    <row r="819" spans="2:3" x14ac:dyDescent="0.25">
      <c r="B819" s="463"/>
      <c r="C819" s="463"/>
    </row>
    <row r="820" spans="2:3" x14ac:dyDescent="0.25">
      <c r="B820" s="463"/>
      <c r="C820" s="463"/>
    </row>
    <row r="821" spans="2:3" x14ac:dyDescent="0.25">
      <c r="B821" s="463"/>
      <c r="C821" s="463"/>
    </row>
    <row r="822" spans="2:3" x14ac:dyDescent="0.25">
      <c r="B822" s="463"/>
      <c r="C822" s="463"/>
    </row>
    <row r="823" spans="2:3" x14ac:dyDescent="0.25">
      <c r="B823" s="463"/>
      <c r="C823" s="463"/>
    </row>
    <row r="824" spans="2:3" x14ac:dyDescent="0.25">
      <c r="B824" s="463"/>
      <c r="C824" s="463"/>
    </row>
    <row r="825" spans="2:3" x14ac:dyDescent="0.25">
      <c r="B825" s="463"/>
      <c r="C825" s="463"/>
    </row>
    <row r="826" spans="2:3" x14ac:dyDescent="0.25">
      <c r="B826" s="463"/>
      <c r="C826" s="463"/>
    </row>
    <row r="827" spans="2:3" x14ac:dyDescent="0.25">
      <c r="B827" s="463"/>
      <c r="C827" s="463"/>
    </row>
    <row r="828" spans="2:3" x14ac:dyDescent="0.25">
      <c r="B828" s="463"/>
      <c r="C828" s="463"/>
    </row>
    <row r="829" spans="2:3" x14ac:dyDescent="0.25">
      <c r="B829" s="463"/>
      <c r="C829" s="463"/>
    </row>
    <row r="830" spans="2:3" x14ac:dyDescent="0.25">
      <c r="B830" s="463"/>
      <c r="C830" s="463"/>
    </row>
    <row r="831" spans="2:3" x14ac:dyDescent="0.25">
      <c r="B831" s="463"/>
      <c r="C831" s="463"/>
    </row>
    <row r="832" spans="2:3" x14ac:dyDescent="0.25">
      <c r="B832" s="463"/>
      <c r="C832" s="463"/>
    </row>
    <row r="833" spans="2:3" x14ac:dyDescent="0.25">
      <c r="B833" s="463"/>
      <c r="C833" s="463"/>
    </row>
    <row r="834" spans="2:3" x14ac:dyDescent="0.25">
      <c r="B834" s="463"/>
      <c r="C834" s="463"/>
    </row>
    <row r="835" spans="2:3" x14ac:dyDescent="0.25">
      <c r="B835" s="463"/>
      <c r="C835" s="463"/>
    </row>
    <row r="836" spans="2:3" x14ac:dyDescent="0.25">
      <c r="B836" s="463"/>
      <c r="C836" s="463"/>
    </row>
    <row r="837" spans="2:3" x14ac:dyDescent="0.25">
      <c r="B837" s="463"/>
      <c r="C837" s="463"/>
    </row>
    <row r="838" spans="2:3" x14ac:dyDescent="0.25">
      <c r="B838" s="463"/>
      <c r="C838" s="463"/>
    </row>
    <row r="839" spans="2:3" x14ac:dyDescent="0.25">
      <c r="B839" s="463"/>
      <c r="C839" s="463"/>
    </row>
    <row r="840" spans="2:3" x14ac:dyDescent="0.25">
      <c r="B840" s="463"/>
      <c r="C840" s="463"/>
    </row>
    <row r="841" spans="2:3" x14ac:dyDescent="0.25">
      <c r="B841" s="463"/>
      <c r="C841" s="463"/>
    </row>
    <row r="842" spans="2:3" x14ac:dyDescent="0.25">
      <c r="B842" s="463"/>
      <c r="C842" s="463"/>
    </row>
    <row r="843" spans="2:3" x14ac:dyDescent="0.25">
      <c r="B843" s="463"/>
      <c r="C843" s="463"/>
    </row>
    <row r="844" spans="2:3" x14ac:dyDescent="0.25">
      <c r="B844" s="463"/>
      <c r="C844" s="463"/>
    </row>
    <row r="845" spans="2:3" x14ac:dyDescent="0.25">
      <c r="B845" s="463"/>
      <c r="C845" s="463"/>
    </row>
    <row r="846" spans="2:3" x14ac:dyDescent="0.25">
      <c r="B846" s="463"/>
      <c r="C846" s="463"/>
    </row>
    <row r="847" spans="2:3" x14ac:dyDescent="0.25">
      <c r="B847" s="463"/>
      <c r="C847" s="463"/>
    </row>
    <row r="848" spans="2:3" x14ac:dyDescent="0.25">
      <c r="B848" s="463"/>
      <c r="C848" s="463"/>
    </row>
    <row r="849" spans="2:3" x14ac:dyDescent="0.25">
      <c r="B849" s="463"/>
      <c r="C849" s="463"/>
    </row>
    <row r="850" spans="2:3" x14ac:dyDescent="0.25">
      <c r="B850" s="463"/>
      <c r="C850" s="463"/>
    </row>
    <row r="851" spans="2:3" x14ac:dyDescent="0.25">
      <c r="B851" s="463"/>
      <c r="C851" s="463"/>
    </row>
    <row r="852" spans="2:3" x14ac:dyDescent="0.25">
      <c r="B852" s="463"/>
      <c r="C852" s="463"/>
    </row>
    <row r="853" spans="2:3" x14ac:dyDescent="0.25">
      <c r="B853" s="463"/>
      <c r="C853" s="463"/>
    </row>
    <row r="854" spans="2:3" x14ac:dyDescent="0.25">
      <c r="B854" s="463"/>
      <c r="C854" s="463"/>
    </row>
    <row r="855" spans="2:3" x14ac:dyDescent="0.25">
      <c r="B855" s="463"/>
      <c r="C855" s="463"/>
    </row>
    <row r="856" spans="2:3" x14ac:dyDescent="0.25">
      <c r="B856" s="463"/>
      <c r="C856" s="463"/>
    </row>
    <row r="857" spans="2:3" x14ac:dyDescent="0.25">
      <c r="B857" s="463"/>
      <c r="C857" s="463"/>
    </row>
    <row r="858" spans="2:3" x14ac:dyDescent="0.25">
      <c r="B858" s="463"/>
      <c r="C858" s="463"/>
    </row>
    <row r="859" spans="2:3" x14ac:dyDescent="0.25">
      <c r="B859" s="463"/>
      <c r="C859" s="463"/>
    </row>
    <row r="860" spans="2:3" x14ac:dyDescent="0.25">
      <c r="B860" s="463"/>
      <c r="C860" s="463"/>
    </row>
    <row r="861" spans="2:3" x14ac:dyDescent="0.25">
      <c r="B861" s="463"/>
      <c r="C861" s="463"/>
    </row>
    <row r="862" spans="2:3" x14ac:dyDescent="0.25">
      <c r="B862" s="463"/>
      <c r="C862" s="463"/>
    </row>
    <row r="863" spans="2:3" x14ac:dyDescent="0.25">
      <c r="B863" s="463"/>
      <c r="C863" s="463"/>
    </row>
    <row r="864" spans="2:3" x14ac:dyDescent="0.25">
      <c r="B864" s="463"/>
      <c r="C864" s="463"/>
    </row>
    <row r="865" spans="2:3" x14ac:dyDescent="0.25">
      <c r="B865" s="463"/>
      <c r="C865" s="463"/>
    </row>
    <row r="866" spans="2:3" x14ac:dyDescent="0.25">
      <c r="B866" s="463"/>
      <c r="C866" s="463"/>
    </row>
    <row r="867" spans="2:3" x14ac:dyDescent="0.25">
      <c r="B867" s="463"/>
      <c r="C867" s="463"/>
    </row>
    <row r="868" spans="2:3" x14ac:dyDescent="0.25">
      <c r="B868" s="463"/>
      <c r="C868" s="463"/>
    </row>
    <row r="869" spans="2:3" x14ac:dyDescent="0.25">
      <c r="B869" s="463"/>
      <c r="C869" s="463"/>
    </row>
    <row r="870" spans="2:3" x14ac:dyDescent="0.25">
      <c r="B870" s="463"/>
      <c r="C870" s="463"/>
    </row>
    <row r="871" spans="2:3" x14ac:dyDescent="0.25">
      <c r="B871" s="463"/>
      <c r="C871" s="463"/>
    </row>
    <row r="872" spans="2:3" x14ac:dyDescent="0.25">
      <c r="B872" s="463"/>
      <c r="C872" s="463"/>
    </row>
    <row r="873" spans="2:3" x14ac:dyDescent="0.25">
      <c r="B873" s="463"/>
      <c r="C873" s="463"/>
    </row>
    <row r="874" spans="2:3" x14ac:dyDescent="0.25">
      <c r="B874" s="463"/>
      <c r="C874" s="463"/>
    </row>
    <row r="875" spans="2:3" x14ac:dyDescent="0.25">
      <c r="B875" s="463"/>
      <c r="C875" s="463"/>
    </row>
    <row r="876" spans="2:3" x14ac:dyDescent="0.25">
      <c r="B876" s="463"/>
      <c r="C876" s="463"/>
    </row>
    <row r="877" spans="2:3" x14ac:dyDescent="0.25">
      <c r="B877" s="463"/>
      <c r="C877" s="463"/>
    </row>
    <row r="878" spans="2:3" x14ac:dyDescent="0.25">
      <c r="B878" s="463"/>
      <c r="C878" s="463"/>
    </row>
    <row r="879" spans="2:3" x14ac:dyDescent="0.25">
      <c r="B879" s="463"/>
      <c r="C879" s="463"/>
    </row>
    <row r="880" spans="2:3" x14ac:dyDescent="0.25">
      <c r="B880" s="463"/>
      <c r="C880" s="463"/>
    </row>
    <row r="881" spans="2:3" x14ac:dyDescent="0.25">
      <c r="B881" s="463"/>
      <c r="C881" s="463"/>
    </row>
    <row r="882" spans="2:3" x14ac:dyDescent="0.25">
      <c r="B882" s="463"/>
      <c r="C882" s="463"/>
    </row>
    <row r="883" spans="2:3" x14ac:dyDescent="0.25">
      <c r="B883" s="463"/>
      <c r="C883" s="463"/>
    </row>
    <row r="884" spans="2:3" x14ac:dyDescent="0.25">
      <c r="B884" s="463"/>
      <c r="C884" s="463"/>
    </row>
    <row r="885" spans="2:3" x14ac:dyDescent="0.25">
      <c r="B885" s="463"/>
      <c r="C885" s="463"/>
    </row>
    <row r="886" spans="2:3" x14ac:dyDescent="0.25">
      <c r="B886" s="463"/>
      <c r="C886" s="463"/>
    </row>
    <row r="887" spans="2:3" x14ac:dyDescent="0.25">
      <c r="B887" s="463"/>
      <c r="C887" s="463"/>
    </row>
    <row r="888" spans="2:3" x14ac:dyDescent="0.25">
      <c r="B888" s="463"/>
      <c r="C888" s="463"/>
    </row>
    <row r="889" spans="2:3" x14ac:dyDescent="0.25">
      <c r="B889" s="463"/>
      <c r="C889" s="463"/>
    </row>
    <row r="890" spans="2:3" x14ac:dyDescent="0.25">
      <c r="B890" s="463"/>
      <c r="C890" s="463"/>
    </row>
    <row r="891" spans="2:3" x14ac:dyDescent="0.25">
      <c r="B891" s="463"/>
      <c r="C891" s="463"/>
    </row>
    <row r="892" spans="2:3" x14ac:dyDescent="0.25">
      <c r="B892" s="463"/>
      <c r="C892" s="463"/>
    </row>
    <row r="893" spans="2:3" x14ac:dyDescent="0.25">
      <c r="B893" s="463"/>
      <c r="C893" s="463"/>
    </row>
    <row r="894" spans="2:3" x14ac:dyDescent="0.25">
      <c r="B894" s="463"/>
      <c r="C894" s="463"/>
    </row>
    <row r="895" spans="2:3" x14ac:dyDescent="0.25">
      <c r="B895" s="463"/>
      <c r="C895" s="463"/>
    </row>
    <row r="896" spans="2:3" x14ac:dyDescent="0.25">
      <c r="B896" s="463"/>
      <c r="C896" s="463"/>
    </row>
    <row r="897" spans="2:3" x14ac:dyDescent="0.25">
      <c r="B897" s="463"/>
      <c r="C897" s="463"/>
    </row>
    <row r="898" spans="2:3" x14ac:dyDescent="0.25">
      <c r="B898" s="463"/>
      <c r="C898" s="463"/>
    </row>
    <row r="899" spans="2:3" x14ac:dyDescent="0.25">
      <c r="B899" s="463"/>
      <c r="C899" s="463"/>
    </row>
    <row r="900" spans="2:3" x14ac:dyDescent="0.25">
      <c r="B900" s="463"/>
      <c r="C900" s="463"/>
    </row>
    <row r="901" spans="2:3" x14ac:dyDescent="0.25">
      <c r="B901" s="463"/>
      <c r="C901" s="463"/>
    </row>
    <row r="902" spans="2:3" x14ac:dyDescent="0.25">
      <c r="B902" s="463"/>
      <c r="C902" s="463"/>
    </row>
    <row r="903" spans="2:3" x14ac:dyDescent="0.25">
      <c r="B903" s="463"/>
      <c r="C903" s="463"/>
    </row>
    <row r="904" spans="2:3" x14ac:dyDescent="0.25">
      <c r="B904" s="463"/>
      <c r="C904" s="463"/>
    </row>
    <row r="905" spans="2:3" x14ac:dyDescent="0.25">
      <c r="B905" s="463"/>
      <c r="C905" s="463"/>
    </row>
    <row r="906" spans="2:3" x14ac:dyDescent="0.25">
      <c r="B906" s="463"/>
      <c r="C906" s="463"/>
    </row>
    <row r="907" spans="2:3" x14ac:dyDescent="0.25">
      <c r="B907" s="463"/>
      <c r="C907" s="463"/>
    </row>
    <row r="908" spans="2:3" x14ac:dyDescent="0.25">
      <c r="B908" s="463"/>
      <c r="C908" s="463"/>
    </row>
    <row r="909" spans="2:3" x14ac:dyDescent="0.25">
      <c r="B909" s="463"/>
      <c r="C909" s="463"/>
    </row>
    <row r="910" spans="2:3" x14ac:dyDescent="0.25">
      <c r="B910" s="463"/>
      <c r="C910" s="463"/>
    </row>
    <row r="911" spans="2:3" x14ac:dyDescent="0.25">
      <c r="B911" s="463"/>
      <c r="C911" s="463"/>
    </row>
    <row r="912" spans="2:3" x14ac:dyDescent="0.25">
      <c r="B912" s="463"/>
      <c r="C912" s="463"/>
    </row>
    <row r="913" spans="2:3" x14ac:dyDescent="0.25">
      <c r="B913" s="463"/>
      <c r="C913" s="463"/>
    </row>
    <row r="914" spans="2:3" x14ac:dyDescent="0.25">
      <c r="B914" s="463"/>
      <c r="C914" s="463"/>
    </row>
    <row r="915" spans="2:3" x14ac:dyDescent="0.25">
      <c r="B915" s="463"/>
      <c r="C915" s="463"/>
    </row>
    <row r="916" spans="2:3" x14ac:dyDescent="0.25">
      <c r="B916" s="463"/>
      <c r="C916" s="463"/>
    </row>
    <row r="917" spans="2:3" x14ac:dyDescent="0.25">
      <c r="B917" s="463"/>
      <c r="C917" s="463"/>
    </row>
    <row r="918" spans="2:3" x14ac:dyDescent="0.25">
      <c r="B918" s="463"/>
      <c r="C918" s="463"/>
    </row>
    <row r="919" spans="2:3" x14ac:dyDescent="0.25">
      <c r="B919" s="463"/>
      <c r="C919" s="463"/>
    </row>
    <row r="920" spans="2:3" x14ac:dyDescent="0.25">
      <c r="B920" s="463"/>
      <c r="C920" s="463"/>
    </row>
    <row r="921" spans="2:3" x14ac:dyDescent="0.25">
      <c r="B921" s="463"/>
      <c r="C921" s="463"/>
    </row>
    <row r="922" spans="2:3" x14ac:dyDescent="0.25">
      <c r="B922" s="463"/>
      <c r="C922" s="463"/>
    </row>
    <row r="923" spans="2:3" x14ac:dyDescent="0.25">
      <c r="B923" s="463"/>
      <c r="C923" s="463"/>
    </row>
    <row r="924" spans="2:3" x14ac:dyDescent="0.25">
      <c r="B924" s="463"/>
      <c r="C924" s="463"/>
    </row>
    <row r="925" spans="2:3" x14ac:dyDescent="0.25">
      <c r="B925" s="463"/>
      <c r="C925" s="463"/>
    </row>
    <row r="926" spans="2:3" x14ac:dyDescent="0.25">
      <c r="B926" s="463"/>
      <c r="C926" s="463"/>
    </row>
    <row r="927" spans="2:3" x14ac:dyDescent="0.25">
      <c r="B927" s="463"/>
      <c r="C927" s="463"/>
    </row>
    <row r="928" spans="2:3" x14ac:dyDescent="0.25">
      <c r="B928" s="463"/>
      <c r="C928" s="463"/>
    </row>
    <row r="929" spans="2:3" x14ac:dyDescent="0.25">
      <c r="B929" s="463"/>
      <c r="C929" s="463"/>
    </row>
    <row r="930" spans="2:3" x14ac:dyDescent="0.25">
      <c r="B930" s="463"/>
      <c r="C930" s="463"/>
    </row>
    <row r="931" spans="2:3" x14ac:dyDescent="0.25">
      <c r="B931" s="463"/>
      <c r="C931" s="463"/>
    </row>
    <row r="932" spans="2:3" x14ac:dyDescent="0.25">
      <c r="B932" s="463"/>
      <c r="C932" s="463"/>
    </row>
    <row r="933" spans="2:3" x14ac:dyDescent="0.25">
      <c r="B933" s="463"/>
      <c r="C933" s="463"/>
    </row>
    <row r="934" spans="2:3" x14ac:dyDescent="0.25">
      <c r="B934" s="463"/>
      <c r="C934" s="463"/>
    </row>
    <row r="935" spans="2:3" x14ac:dyDescent="0.25">
      <c r="B935" s="463"/>
      <c r="C935" s="463"/>
    </row>
    <row r="936" spans="2:3" x14ac:dyDescent="0.25">
      <c r="B936" s="463"/>
      <c r="C936" s="463"/>
    </row>
    <row r="937" spans="2:3" x14ac:dyDescent="0.25">
      <c r="B937" s="463"/>
      <c r="C937" s="463"/>
    </row>
    <row r="938" spans="2:3" x14ac:dyDescent="0.25">
      <c r="B938" s="463"/>
      <c r="C938" s="463"/>
    </row>
    <row r="939" spans="2:3" x14ac:dyDescent="0.25">
      <c r="B939" s="463"/>
      <c r="C939" s="463"/>
    </row>
    <row r="940" spans="2:3" x14ac:dyDescent="0.25">
      <c r="B940" s="463"/>
      <c r="C940" s="463"/>
    </row>
    <row r="941" spans="2:3" x14ac:dyDescent="0.25">
      <c r="B941" s="463"/>
      <c r="C941" s="463"/>
    </row>
    <row r="942" spans="2:3" x14ac:dyDescent="0.25">
      <c r="B942" s="463"/>
      <c r="C942" s="463"/>
    </row>
    <row r="943" spans="2:3" x14ac:dyDescent="0.25">
      <c r="B943" s="463"/>
      <c r="C943" s="463"/>
    </row>
    <row r="944" spans="2:3" x14ac:dyDescent="0.25">
      <c r="B944" s="463"/>
      <c r="C944" s="463"/>
    </row>
    <row r="945" spans="2:3" x14ac:dyDescent="0.25">
      <c r="B945" s="463"/>
      <c r="C945" s="463"/>
    </row>
    <row r="946" spans="2:3" x14ac:dyDescent="0.25">
      <c r="B946" s="463"/>
      <c r="C946" s="463"/>
    </row>
    <row r="947" spans="2:3" x14ac:dyDescent="0.25">
      <c r="B947" s="463"/>
      <c r="C947" s="463"/>
    </row>
    <row r="948" spans="2:3" x14ac:dyDescent="0.25">
      <c r="B948" s="463"/>
      <c r="C948" s="463"/>
    </row>
    <row r="949" spans="2:3" x14ac:dyDescent="0.25">
      <c r="B949" s="463"/>
      <c r="C949" s="463"/>
    </row>
    <row r="950" spans="2:3" x14ac:dyDescent="0.25">
      <c r="B950" s="463"/>
      <c r="C950" s="463"/>
    </row>
    <row r="951" spans="2:3" x14ac:dyDescent="0.25">
      <c r="B951" s="463"/>
      <c r="C951" s="463"/>
    </row>
    <row r="952" spans="2:3" x14ac:dyDescent="0.25">
      <c r="B952" s="463"/>
      <c r="C952" s="463"/>
    </row>
    <row r="953" spans="2:3" x14ac:dyDescent="0.25">
      <c r="B953" s="463"/>
      <c r="C953" s="463"/>
    </row>
    <row r="954" spans="2:3" x14ac:dyDescent="0.25">
      <c r="B954" s="463"/>
      <c r="C954" s="463"/>
    </row>
    <row r="955" spans="2:3" x14ac:dyDescent="0.25">
      <c r="B955" s="463"/>
      <c r="C955" s="463"/>
    </row>
    <row r="956" spans="2:3" x14ac:dyDescent="0.25">
      <c r="B956" s="463"/>
      <c r="C956" s="463"/>
    </row>
    <row r="957" spans="2:3" x14ac:dyDescent="0.25">
      <c r="B957" s="463"/>
      <c r="C957" s="463"/>
    </row>
    <row r="958" spans="2:3" x14ac:dyDescent="0.25">
      <c r="B958" s="463"/>
      <c r="C958" s="463"/>
    </row>
    <row r="959" spans="2:3" x14ac:dyDescent="0.25">
      <c r="B959" s="463"/>
      <c r="C959" s="463"/>
    </row>
    <row r="960" spans="2:3" x14ac:dyDescent="0.25">
      <c r="B960" s="463"/>
      <c r="C960" s="463"/>
    </row>
    <row r="961" spans="2:3" x14ac:dyDescent="0.25">
      <c r="B961" s="463"/>
      <c r="C961" s="463"/>
    </row>
    <row r="962" spans="2:3" x14ac:dyDescent="0.25">
      <c r="B962" s="463"/>
      <c r="C962" s="463"/>
    </row>
    <row r="963" spans="2:3" x14ac:dyDescent="0.25">
      <c r="B963" s="463"/>
      <c r="C963" s="463"/>
    </row>
    <row r="964" spans="2:3" x14ac:dyDescent="0.25">
      <c r="B964" s="463"/>
      <c r="C964" s="463"/>
    </row>
    <row r="965" spans="2:3" x14ac:dyDescent="0.25">
      <c r="B965" s="463"/>
      <c r="C965" s="463"/>
    </row>
    <row r="966" spans="2:3" x14ac:dyDescent="0.25">
      <c r="B966" s="463"/>
      <c r="C966" s="463"/>
    </row>
    <row r="967" spans="2:3" x14ac:dyDescent="0.25">
      <c r="B967" s="463"/>
      <c r="C967" s="463"/>
    </row>
    <row r="968" spans="2:3" x14ac:dyDescent="0.25">
      <c r="B968" s="463"/>
      <c r="C968" s="463"/>
    </row>
    <row r="969" spans="2:3" x14ac:dyDescent="0.25">
      <c r="B969" s="463"/>
      <c r="C969" s="463"/>
    </row>
    <row r="970" spans="2:3" x14ac:dyDescent="0.25">
      <c r="B970" s="463"/>
      <c r="C970" s="463"/>
    </row>
    <row r="971" spans="2:3" x14ac:dyDescent="0.25">
      <c r="B971" s="463"/>
      <c r="C971" s="463"/>
    </row>
    <row r="972" spans="2:3" x14ac:dyDescent="0.25">
      <c r="B972" s="463"/>
      <c r="C972" s="463"/>
    </row>
    <row r="973" spans="2:3" x14ac:dyDescent="0.25">
      <c r="B973" s="463"/>
      <c r="C973" s="463"/>
    </row>
    <row r="974" spans="2:3" x14ac:dyDescent="0.25">
      <c r="B974" s="463"/>
      <c r="C974" s="463"/>
    </row>
    <row r="975" spans="2:3" x14ac:dyDescent="0.25">
      <c r="B975" s="463"/>
      <c r="C975" s="463"/>
    </row>
    <row r="976" spans="2:3" x14ac:dyDescent="0.25">
      <c r="B976" s="463"/>
      <c r="C976" s="463"/>
    </row>
    <row r="977" spans="2:3" x14ac:dyDescent="0.25">
      <c r="B977" s="463"/>
      <c r="C977" s="463"/>
    </row>
    <row r="978" spans="2:3" x14ac:dyDescent="0.25">
      <c r="B978" s="463"/>
      <c r="C978" s="463"/>
    </row>
    <row r="979" spans="2:3" x14ac:dyDescent="0.25">
      <c r="B979" s="463"/>
      <c r="C979" s="463"/>
    </row>
    <row r="980" spans="2:3" x14ac:dyDescent="0.25">
      <c r="B980" s="463"/>
      <c r="C980" s="463"/>
    </row>
    <row r="981" spans="2:3" x14ac:dyDescent="0.25">
      <c r="B981" s="463"/>
      <c r="C981" s="463"/>
    </row>
    <row r="982" spans="2:3" x14ac:dyDescent="0.25">
      <c r="B982" s="463"/>
      <c r="C982" s="463"/>
    </row>
    <row r="983" spans="2:3" x14ac:dyDescent="0.25">
      <c r="B983" s="463"/>
      <c r="C983" s="463"/>
    </row>
    <row r="984" spans="2:3" x14ac:dyDescent="0.25">
      <c r="B984" s="463"/>
      <c r="C984" s="463"/>
    </row>
    <row r="985" spans="2:3" x14ac:dyDescent="0.25">
      <c r="B985" s="463"/>
      <c r="C985" s="463"/>
    </row>
    <row r="986" spans="2:3" x14ac:dyDescent="0.25">
      <c r="B986" s="463"/>
      <c r="C986" s="463"/>
    </row>
    <row r="987" spans="2:3" x14ac:dyDescent="0.25">
      <c r="B987" s="463"/>
      <c r="C987" s="463"/>
    </row>
    <row r="988" spans="2:3" x14ac:dyDescent="0.25">
      <c r="B988" s="463"/>
      <c r="C988" s="463"/>
    </row>
    <row r="989" spans="2:3" x14ac:dyDescent="0.25">
      <c r="B989" s="463"/>
      <c r="C989" s="463"/>
    </row>
    <row r="990" spans="2:3" x14ac:dyDescent="0.25">
      <c r="B990" s="463"/>
      <c r="C990" s="463"/>
    </row>
    <row r="991" spans="2:3" x14ac:dyDescent="0.25">
      <c r="B991" s="463"/>
      <c r="C991" s="463"/>
    </row>
    <row r="992" spans="2:3" x14ac:dyDescent="0.25">
      <c r="B992" s="463"/>
      <c r="C992" s="463"/>
    </row>
    <row r="993" spans="2:3" x14ac:dyDescent="0.25">
      <c r="B993" s="463"/>
      <c r="C993" s="463"/>
    </row>
    <row r="994" spans="2:3" x14ac:dyDescent="0.25">
      <c r="B994" s="463"/>
      <c r="C994" s="463"/>
    </row>
    <row r="995" spans="2:3" x14ac:dyDescent="0.25">
      <c r="B995" s="463"/>
      <c r="C995" s="463"/>
    </row>
    <row r="996" spans="2:3" x14ac:dyDescent="0.25">
      <c r="B996" s="463"/>
      <c r="C996" s="463"/>
    </row>
    <row r="997" spans="2:3" x14ac:dyDescent="0.25">
      <c r="B997" s="463"/>
      <c r="C997" s="463"/>
    </row>
    <row r="998" spans="2:3" x14ac:dyDescent="0.25">
      <c r="B998" s="463"/>
      <c r="C998" s="463"/>
    </row>
    <row r="999" spans="2:3" x14ac:dyDescent="0.25">
      <c r="B999" s="463"/>
      <c r="C999" s="463"/>
    </row>
    <row r="1000" spans="2:3" x14ac:dyDescent="0.25">
      <c r="B1000" s="463"/>
      <c r="C1000" s="463"/>
    </row>
    <row r="1001" spans="2:3" x14ac:dyDescent="0.25">
      <c r="B1001" s="463"/>
      <c r="C1001" s="463"/>
    </row>
    <row r="1002" spans="2:3" x14ac:dyDescent="0.25">
      <c r="B1002" s="463"/>
      <c r="C1002" s="463"/>
    </row>
    <row r="1003" spans="2:3" x14ac:dyDescent="0.25">
      <c r="B1003" s="463"/>
      <c r="C1003" s="463"/>
    </row>
    <row r="1004" spans="2:3" x14ac:dyDescent="0.25">
      <c r="B1004" s="463"/>
      <c r="C1004" s="463"/>
    </row>
    <row r="1005" spans="2:3" x14ac:dyDescent="0.25">
      <c r="B1005" s="463"/>
      <c r="C1005" s="463"/>
    </row>
    <row r="1006" spans="2:3" x14ac:dyDescent="0.25">
      <c r="B1006" s="463"/>
      <c r="C1006" s="463"/>
    </row>
    <row r="1007" spans="2:3" x14ac:dyDescent="0.25">
      <c r="B1007" s="463"/>
      <c r="C1007" s="463"/>
    </row>
    <row r="1008" spans="2:3" x14ac:dyDescent="0.25">
      <c r="B1008" s="463"/>
      <c r="C1008" s="463"/>
    </row>
    <row r="1009" spans="2:3" x14ac:dyDescent="0.25">
      <c r="B1009" s="463"/>
      <c r="C1009" s="463"/>
    </row>
    <row r="1010" spans="2:3" x14ac:dyDescent="0.25">
      <c r="B1010" s="463"/>
      <c r="C1010" s="463"/>
    </row>
    <row r="1011" spans="2:3" x14ac:dyDescent="0.25">
      <c r="B1011" s="463"/>
      <c r="C1011" s="463"/>
    </row>
    <row r="1012" spans="2:3" x14ac:dyDescent="0.25">
      <c r="B1012" s="463"/>
      <c r="C1012" s="463"/>
    </row>
    <row r="1013" spans="2:3" x14ac:dyDescent="0.25">
      <c r="B1013" s="463"/>
      <c r="C1013" s="463"/>
    </row>
    <row r="1014" spans="2:3" x14ac:dyDescent="0.25">
      <c r="B1014" s="463"/>
      <c r="C1014" s="463"/>
    </row>
    <row r="1015" spans="2:3" x14ac:dyDescent="0.25">
      <c r="B1015" s="463"/>
      <c r="C1015" s="463"/>
    </row>
    <row r="1016" spans="2:3" x14ac:dyDescent="0.25">
      <c r="B1016" s="463"/>
      <c r="C1016" s="463"/>
    </row>
    <row r="1017" spans="2:3" x14ac:dyDescent="0.25">
      <c r="B1017" s="463"/>
      <c r="C1017" s="463"/>
    </row>
    <row r="1018" spans="2:3" x14ac:dyDescent="0.25">
      <c r="B1018" s="463"/>
      <c r="C1018" s="463"/>
    </row>
    <row r="1019" spans="2:3" x14ac:dyDescent="0.25">
      <c r="B1019" s="463"/>
      <c r="C1019" s="463"/>
    </row>
    <row r="1020" spans="2:3" x14ac:dyDescent="0.25">
      <c r="B1020" s="463"/>
      <c r="C1020" s="463"/>
    </row>
    <row r="1021" spans="2:3" x14ac:dyDescent="0.25">
      <c r="B1021" s="463"/>
      <c r="C1021" s="463"/>
    </row>
    <row r="1022" spans="2:3" x14ac:dyDescent="0.25">
      <c r="B1022" s="463"/>
      <c r="C1022" s="463"/>
    </row>
    <row r="1023" spans="2:3" x14ac:dyDescent="0.25">
      <c r="B1023" s="463"/>
      <c r="C1023" s="463"/>
    </row>
    <row r="1024" spans="2:3" x14ac:dyDescent="0.25">
      <c r="B1024" s="463"/>
      <c r="C1024" s="463"/>
    </row>
    <row r="1025" spans="2:3" x14ac:dyDescent="0.25">
      <c r="B1025" s="463"/>
      <c r="C1025" s="463"/>
    </row>
    <row r="1026" spans="2:3" x14ac:dyDescent="0.25">
      <c r="B1026" s="463"/>
      <c r="C1026" s="463"/>
    </row>
    <row r="1027" spans="2:3" x14ac:dyDescent="0.25">
      <c r="B1027" s="463"/>
      <c r="C1027" s="463"/>
    </row>
    <row r="1028" spans="2:3" x14ac:dyDescent="0.25">
      <c r="B1028" s="463"/>
      <c r="C1028" s="463"/>
    </row>
    <row r="1029" spans="2:3" x14ac:dyDescent="0.25">
      <c r="B1029" s="463"/>
      <c r="C1029" s="463"/>
    </row>
    <row r="1030" spans="2:3" x14ac:dyDescent="0.25">
      <c r="B1030" s="463"/>
      <c r="C1030" s="463"/>
    </row>
    <row r="1031" spans="2:3" x14ac:dyDescent="0.25">
      <c r="B1031" s="463"/>
      <c r="C1031" s="463"/>
    </row>
    <row r="1032" spans="2:3" x14ac:dyDescent="0.25">
      <c r="B1032" s="463"/>
      <c r="C1032" s="463"/>
    </row>
    <row r="1033" spans="2:3" x14ac:dyDescent="0.25">
      <c r="B1033" s="463"/>
      <c r="C1033" s="463"/>
    </row>
    <row r="1034" spans="2:3" x14ac:dyDescent="0.25">
      <c r="B1034" s="463"/>
      <c r="C1034" s="463"/>
    </row>
    <row r="1035" spans="2:3" x14ac:dyDescent="0.25">
      <c r="B1035" s="463"/>
      <c r="C1035" s="463"/>
    </row>
    <row r="1036" spans="2:3" x14ac:dyDescent="0.25">
      <c r="B1036" s="463"/>
      <c r="C1036" s="463"/>
    </row>
    <row r="1037" spans="2:3" x14ac:dyDescent="0.25">
      <c r="B1037" s="463"/>
      <c r="C1037" s="463"/>
    </row>
    <row r="1038" spans="2:3" x14ac:dyDescent="0.25">
      <c r="B1038" s="463"/>
      <c r="C1038" s="463"/>
    </row>
    <row r="1039" spans="2:3" x14ac:dyDescent="0.25">
      <c r="B1039" s="463"/>
      <c r="C1039" s="463"/>
    </row>
    <row r="1040" spans="2:3" x14ac:dyDescent="0.25">
      <c r="B1040" s="463"/>
      <c r="C1040" s="463"/>
    </row>
    <row r="1041" spans="2:3" x14ac:dyDescent="0.25">
      <c r="B1041" s="463"/>
      <c r="C1041" s="463"/>
    </row>
    <row r="1042" spans="2:3" x14ac:dyDescent="0.25">
      <c r="B1042" s="463"/>
      <c r="C1042" s="463"/>
    </row>
    <row r="1043" spans="2:3" x14ac:dyDescent="0.25">
      <c r="B1043" s="463"/>
      <c r="C1043" s="463"/>
    </row>
    <row r="1044" spans="2:3" x14ac:dyDescent="0.25">
      <c r="B1044" s="463"/>
      <c r="C1044" s="463"/>
    </row>
    <row r="1045" spans="2:3" x14ac:dyDescent="0.25">
      <c r="B1045" s="463"/>
      <c r="C1045" s="463"/>
    </row>
    <row r="1046" spans="2:3" x14ac:dyDescent="0.25">
      <c r="B1046" s="463"/>
      <c r="C1046" s="463"/>
    </row>
    <row r="1047" spans="2:3" x14ac:dyDescent="0.25">
      <c r="B1047" s="463"/>
      <c r="C1047" s="463"/>
    </row>
    <row r="1048" spans="2:3" x14ac:dyDescent="0.25">
      <c r="B1048" s="463"/>
      <c r="C1048" s="463"/>
    </row>
    <row r="1049" spans="2:3" x14ac:dyDescent="0.25">
      <c r="B1049" s="463"/>
      <c r="C1049" s="463"/>
    </row>
    <row r="1050" spans="2:3" x14ac:dyDescent="0.25">
      <c r="B1050" s="463"/>
      <c r="C1050" s="463"/>
    </row>
    <row r="1051" spans="2:3" x14ac:dyDescent="0.25">
      <c r="B1051" s="463"/>
      <c r="C1051" s="463"/>
    </row>
    <row r="1052" spans="2:3" x14ac:dyDescent="0.25">
      <c r="B1052" s="463"/>
      <c r="C1052" s="463"/>
    </row>
    <row r="1053" spans="2:3" x14ac:dyDescent="0.25">
      <c r="B1053" s="463"/>
      <c r="C1053" s="463"/>
    </row>
    <row r="1054" spans="2:3" x14ac:dyDescent="0.25">
      <c r="B1054" s="463"/>
      <c r="C1054" s="463"/>
    </row>
    <row r="1055" spans="2:3" x14ac:dyDescent="0.25">
      <c r="B1055" s="463"/>
      <c r="C1055" s="463"/>
    </row>
    <row r="1056" spans="2:3" x14ac:dyDescent="0.25">
      <c r="B1056" s="463"/>
      <c r="C1056" s="463"/>
    </row>
    <row r="1057" spans="2:3" x14ac:dyDescent="0.25">
      <c r="B1057" s="463"/>
      <c r="C1057" s="463"/>
    </row>
    <row r="1058" spans="2:3" x14ac:dyDescent="0.25">
      <c r="B1058" s="463"/>
      <c r="C1058" s="463"/>
    </row>
    <row r="1059" spans="2:3" x14ac:dyDescent="0.25">
      <c r="B1059" s="463"/>
      <c r="C1059" s="463"/>
    </row>
    <row r="1060" spans="2:3" x14ac:dyDescent="0.25">
      <c r="B1060" s="463"/>
      <c r="C1060" s="463"/>
    </row>
    <row r="1061" spans="2:3" x14ac:dyDescent="0.25">
      <c r="B1061" s="463"/>
      <c r="C1061" s="463"/>
    </row>
    <row r="1062" spans="2:3" x14ac:dyDescent="0.25">
      <c r="B1062" s="463"/>
      <c r="C1062" s="463"/>
    </row>
    <row r="1063" spans="2:3" x14ac:dyDescent="0.25">
      <c r="B1063" s="463"/>
      <c r="C1063" s="463"/>
    </row>
    <row r="1064" spans="2:3" x14ac:dyDescent="0.25">
      <c r="B1064" s="463"/>
      <c r="C1064" s="463"/>
    </row>
    <row r="1065" spans="2:3" x14ac:dyDescent="0.25">
      <c r="B1065" s="463"/>
      <c r="C1065" s="463"/>
    </row>
    <row r="1066" spans="2:3" x14ac:dyDescent="0.25">
      <c r="B1066" s="463"/>
      <c r="C1066" s="463"/>
    </row>
    <row r="1067" spans="2:3" x14ac:dyDescent="0.25">
      <c r="B1067" s="463"/>
      <c r="C1067" s="463"/>
    </row>
    <row r="1068" spans="2:3" x14ac:dyDescent="0.25">
      <c r="B1068" s="463"/>
      <c r="C1068" s="463"/>
    </row>
    <row r="1069" spans="2:3" x14ac:dyDescent="0.25">
      <c r="B1069" s="463"/>
      <c r="C1069" s="463"/>
    </row>
    <row r="1070" spans="2:3" x14ac:dyDescent="0.25">
      <c r="B1070" s="463"/>
      <c r="C1070" s="463"/>
    </row>
    <row r="1071" spans="2:3" x14ac:dyDescent="0.25">
      <c r="B1071" s="463"/>
      <c r="C1071" s="463"/>
    </row>
    <row r="1072" spans="2:3" x14ac:dyDescent="0.25">
      <c r="B1072" s="463"/>
      <c r="C1072" s="463"/>
    </row>
    <row r="1073" spans="2:3" x14ac:dyDescent="0.25">
      <c r="B1073" s="463"/>
      <c r="C1073" s="463"/>
    </row>
    <row r="1074" spans="2:3" x14ac:dyDescent="0.25">
      <c r="B1074" s="463"/>
      <c r="C1074" s="463"/>
    </row>
    <row r="1075" spans="2:3" x14ac:dyDescent="0.25">
      <c r="B1075" s="463"/>
      <c r="C1075" s="463"/>
    </row>
    <row r="1076" spans="2:3" x14ac:dyDescent="0.25">
      <c r="B1076" s="463"/>
      <c r="C1076" s="463"/>
    </row>
    <row r="1077" spans="2:3" x14ac:dyDescent="0.25">
      <c r="B1077" s="463"/>
      <c r="C1077" s="463"/>
    </row>
    <row r="1078" spans="2:3" x14ac:dyDescent="0.25">
      <c r="B1078" s="463"/>
      <c r="C1078" s="463"/>
    </row>
    <row r="1079" spans="2:3" x14ac:dyDescent="0.25">
      <c r="B1079" s="463"/>
      <c r="C1079" s="463"/>
    </row>
    <row r="1080" spans="2:3" x14ac:dyDescent="0.25">
      <c r="B1080" s="463"/>
      <c r="C1080" s="463"/>
    </row>
    <row r="1081" spans="2:3" x14ac:dyDescent="0.25">
      <c r="B1081" s="463"/>
      <c r="C1081" s="463"/>
    </row>
    <row r="1082" spans="2:3" x14ac:dyDescent="0.25">
      <c r="B1082" s="463"/>
      <c r="C1082" s="463"/>
    </row>
    <row r="1083" spans="2:3" x14ac:dyDescent="0.25">
      <c r="B1083" s="463"/>
      <c r="C1083" s="463"/>
    </row>
    <row r="1084" spans="2:3" x14ac:dyDescent="0.25">
      <c r="B1084" s="463"/>
      <c r="C1084" s="463"/>
    </row>
    <row r="1085" spans="2:3" x14ac:dyDescent="0.25">
      <c r="B1085" s="463"/>
      <c r="C1085" s="463"/>
    </row>
    <row r="1086" spans="2:3" x14ac:dyDescent="0.25">
      <c r="B1086" s="463"/>
      <c r="C1086" s="463"/>
    </row>
    <row r="1087" spans="2:3" x14ac:dyDescent="0.25">
      <c r="B1087" s="463"/>
      <c r="C1087" s="463"/>
    </row>
    <row r="1088" spans="2:3" x14ac:dyDescent="0.25">
      <c r="B1088" s="463"/>
      <c r="C1088" s="463"/>
    </row>
    <row r="1089" spans="2:3" x14ac:dyDescent="0.25">
      <c r="B1089" s="463"/>
      <c r="C1089" s="463"/>
    </row>
    <row r="1090" spans="2:3" x14ac:dyDescent="0.25">
      <c r="B1090" s="463"/>
      <c r="C1090" s="463"/>
    </row>
    <row r="1091" spans="2:3" x14ac:dyDescent="0.25">
      <c r="B1091" s="463"/>
      <c r="C1091" s="463"/>
    </row>
    <row r="1092" spans="2:3" x14ac:dyDescent="0.25">
      <c r="B1092" s="463"/>
      <c r="C1092" s="463"/>
    </row>
    <row r="1093" spans="2:3" x14ac:dyDescent="0.25">
      <c r="B1093" s="463"/>
      <c r="C1093" s="463"/>
    </row>
    <row r="1094" spans="2:3" x14ac:dyDescent="0.25">
      <c r="B1094" s="463"/>
      <c r="C1094" s="463"/>
    </row>
    <row r="1095" spans="2:3" x14ac:dyDescent="0.25">
      <c r="B1095" s="463"/>
      <c r="C1095" s="463"/>
    </row>
    <row r="1096" spans="2:3" x14ac:dyDescent="0.25">
      <c r="B1096" s="463"/>
      <c r="C1096" s="463"/>
    </row>
    <row r="1097" spans="2:3" x14ac:dyDescent="0.25">
      <c r="B1097" s="463"/>
      <c r="C1097" s="463"/>
    </row>
    <row r="1098" spans="2:3" x14ac:dyDescent="0.25">
      <c r="B1098" s="463"/>
      <c r="C1098" s="463"/>
    </row>
    <row r="1099" spans="2:3" x14ac:dyDescent="0.25">
      <c r="B1099" s="463"/>
      <c r="C1099" s="463"/>
    </row>
    <row r="1100" spans="2:3" x14ac:dyDescent="0.25">
      <c r="B1100" s="463"/>
      <c r="C1100" s="463"/>
    </row>
    <row r="1101" spans="2:3" x14ac:dyDescent="0.25">
      <c r="B1101" s="463"/>
      <c r="C1101" s="463"/>
    </row>
    <row r="1102" spans="2:3" x14ac:dyDescent="0.25">
      <c r="B1102" s="463"/>
      <c r="C1102" s="463"/>
    </row>
    <row r="1103" spans="2:3" x14ac:dyDescent="0.25">
      <c r="B1103" s="463"/>
      <c r="C1103" s="463"/>
    </row>
    <row r="1104" spans="2:3" x14ac:dyDescent="0.25">
      <c r="B1104" s="463"/>
      <c r="C1104" s="463"/>
    </row>
    <row r="1105" spans="2:3" x14ac:dyDescent="0.25">
      <c r="B1105" s="463"/>
      <c r="C1105" s="463"/>
    </row>
    <row r="1106" spans="2:3" x14ac:dyDescent="0.25">
      <c r="B1106" s="463"/>
      <c r="C1106" s="463"/>
    </row>
    <row r="1107" spans="2:3" x14ac:dyDescent="0.25">
      <c r="B1107" s="463"/>
      <c r="C1107" s="463"/>
    </row>
    <row r="1108" spans="2:3" x14ac:dyDescent="0.25">
      <c r="B1108" s="463"/>
      <c r="C1108" s="463"/>
    </row>
    <row r="1109" spans="2:3" x14ac:dyDescent="0.25">
      <c r="B1109" s="463"/>
      <c r="C1109" s="463"/>
    </row>
    <row r="1110" spans="2:3" x14ac:dyDescent="0.25">
      <c r="B1110" s="463"/>
      <c r="C1110" s="463"/>
    </row>
    <row r="1111" spans="2:3" x14ac:dyDescent="0.25">
      <c r="B1111" s="463"/>
      <c r="C1111" s="463"/>
    </row>
    <row r="1112" spans="2:3" x14ac:dyDescent="0.25">
      <c r="B1112" s="463"/>
      <c r="C1112" s="463"/>
    </row>
    <row r="1113" spans="2:3" x14ac:dyDescent="0.25">
      <c r="B1113" s="463"/>
      <c r="C1113" s="463"/>
    </row>
    <row r="1114" spans="2:3" x14ac:dyDescent="0.25">
      <c r="B1114" s="463"/>
      <c r="C1114" s="463"/>
    </row>
    <row r="1115" spans="2:3" x14ac:dyDescent="0.25">
      <c r="B1115" s="463"/>
      <c r="C1115" s="463"/>
    </row>
    <row r="1116" spans="2:3" x14ac:dyDescent="0.25">
      <c r="B1116" s="463"/>
      <c r="C1116" s="463"/>
    </row>
    <row r="1117" spans="2:3" x14ac:dyDescent="0.25">
      <c r="B1117" s="463"/>
      <c r="C1117" s="463"/>
    </row>
    <row r="1118" spans="2:3" x14ac:dyDescent="0.25">
      <c r="B1118" s="463"/>
      <c r="C1118" s="463"/>
    </row>
    <row r="1119" spans="2:3" x14ac:dyDescent="0.25">
      <c r="B1119" s="463"/>
      <c r="C1119" s="463"/>
    </row>
    <row r="1120" spans="2:3" x14ac:dyDescent="0.25">
      <c r="B1120" s="463"/>
      <c r="C1120" s="463"/>
    </row>
    <row r="1121" spans="2:3" x14ac:dyDescent="0.25">
      <c r="B1121" s="463"/>
      <c r="C1121" s="463"/>
    </row>
    <row r="1122" spans="2:3" x14ac:dyDescent="0.25">
      <c r="B1122" s="463"/>
      <c r="C1122" s="463"/>
    </row>
    <row r="1123" spans="2:3" x14ac:dyDescent="0.25">
      <c r="B1123" s="463"/>
      <c r="C1123" s="463"/>
    </row>
    <row r="1124" spans="2:3" x14ac:dyDescent="0.25">
      <c r="B1124" s="463"/>
      <c r="C1124" s="463"/>
    </row>
    <row r="1125" spans="2:3" x14ac:dyDescent="0.25">
      <c r="B1125" s="463"/>
      <c r="C1125" s="463"/>
    </row>
    <row r="1126" spans="2:3" x14ac:dyDescent="0.25">
      <c r="B1126" s="463"/>
      <c r="C1126" s="463"/>
    </row>
    <row r="1127" spans="2:3" x14ac:dyDescent="0.25">
      <c r="B1127" s="463"/>
      <c r="C1127" s="463"/>
    </row>
    <row r="1128" spans="2:3" x14ac:dyDescent="0.25">
      <c r="B1128" s="463"/>
      <c r="C1128" s="463"/>
    </row>
    <row r="1129" spans="2:3" x14ac:dyDescent="0.25">
      <c r="B1129" s="463"/>
      <c r="C1129" s="463"/>
    </row>
    <row r="1130" spans="2:3" x14ac:dyDescent="0.25">
      <c r="B1130" s="463"/>
      <c r="C1130" s="463"/>
    </row>
    <row r="1131" spans="2:3" x14ac:dyDescent="0.25">
      <c r="B1131" s="463"/>
      <c r="C1131" s="463"/>
    </row>
    <row r="1132" spans="2:3" x14ac:dyDescent="0.25">
      <c r="B1132" s="463"/>
      <c r="C1132" s="463"/>
    </row>
    <row r="1133" spans="2:3" x14ac:dyDescent="0.25">
      <c r="B1133" s="463"/>
      <c r="C1133" s="463"/>
    </row>
    <row r="1134" spans="2:3" x14ac:dyDescent="0.25">
      <c r="B1134" s="463"/>
      <c r="C1134" s="463"/>
    </row>
    <row r="1135" spans="2:3" x14ac:dyDescent="0.25">
      <c r="B1135" s="463"/>
      <c r="C1135" s="463"/>
    </row>
    <row r="1136" spans="2:3" x14ac:dyDescent="0.25">
      <c r="B1136" s="463"/>
      <c r="C1136" s="463"/>
    </row>
    <row r="1137" spans="2:3" x14ac:dyDescent="0.25">
      <c r="B1137" s="463"/>
      <c r="C1137" s="463"/>
    </row>
    <row r="1138" spans="2:3" x14ac:dyDescent="0.25">
      <c r="B1138" s="463"/>
      <c r="C1138" s="463"/>
    </row>
    <row r="1139" spans="2:3" x14ac:dyDescent="0.25">
      <c r="B1139" s="463"/>
      <c r="C1139" s="463"/>
    </row>
    <row r="1140" spans="2:3" x14ac:dyDescent="0.25">
      <c r="B1140" s="463"/>
      <c r="C1140" s="463"/>
    </row>
    <row r="1141" spans="2:3" x14ac:dyDescent="0.25">
      <c r="B1141" s="463"/>
      <c r="C1141" s="463"/>
    </row>
    <row r="1142" spans="2:3" x14ac:dyDescent="0.25">
      <c r="B1142" s="463"/>
      <c r="C1142" s="463"/>
    </row>
    <row r="1143" spans="2:3" x14ac:dyDescent="0.25">
      <c r="B1143" s="463"/>
      <c r="C1143" s="463"/>
    </row>
    <row r="1144" spans="2:3" x14ac:dyDescent="0.25">
      <c r="B1144" s="463"/>
      <c r="C1144" s="463"/>
    </row>
    <row r="1145" spans="2:3" x14ac:dyDescent="0.25">
      <c r="B1145" s="463"/>
      <c r="C1145" s="463"/>
    </row>
    <row r="1146" spans="2:3" x14ac:dyDescent="0.25">
      <c r="B1146" s="463"/>
      <c r="C1146" s="463"/>
    </row>
    <row r="1147" spans="2:3" x14ac:dyDescent="0.25">
      <c r="B1147" s="463"/>
      <c r="C1147" s="463"/>
    </row>
    <row r="1148" spans="2:3" x14ac:dyDescent="0.25">
      <c r="B1148" s="463"/>
      <c r="C1148" s="463"/>
    </row>
    <row r="1149" spans="2:3" x14ac:dyDescent="0.25">
      <c r="B1149" s="463"/>
      <c r="C1149" s="463"/>
    </row>
    <row r="1150" spans="2:3" x14ac:dyDescent="0.25">
      <c r="B1150" s="463"/>
      <c r="C1150" s="463"/>
    </row>
    <row r="1151" spans="2:3" x14ac:dyDescent="0.25">
      <c r="B1151" s="463"/>
      <c r="C1151" s="463"/>
    </row>
    <row r="1152" spans="2:3" x14ac:dyDescent="0.25">
      <c r="B1152" s="463"/>
      <c r="C1152" s="463"/>
    </row>
    <row r="1153" spans="2:3" x14ac:dyDescent="0.25">
      <c r="B1153" s="463"/>
      <c r="C1153" s="463"/>
    </row>
    <row r="1154" spans="2:3" x14ac:dyDescent="0.25">
      <c r="B1154" s="463"/>
      <c r="C1154" s="463"/>
    </row>
    <row r="1155" spans="2:3" x14ac:dyDescent="0.25">
      <c r="B1155" s="463"/>
      <c r="C1155" s="463"/>
    </row>
    <row r="1156" spans="2:3" x14ac:dyDescent="0.25">
      <c r="B1156" s="463"/>
      <c r="C1156" s="463"/>
    </row>
    <row r="1157" spans="2:3" x14ac:dyDescent="0.25">
      <c r="B1157" s="463"/>
      <c r="C1157" s="463"/>
    </row>
    <row r="1158" spans="2:3" x14ac:dyDescent="0.25">
      <c r="B1158" s="463"/>
      <c r="C1158" s="463"/>
    </row>
    <row r="1159" spans="2:3" x14ac:dyDescent="0.25">
      <c r="B1159" s="463"/>
      <c r="C1159" s="463"/>
    </row>
    <row r="1160" spans="2:3" x14ac:dyDescent="0.25">
      <c r="B1160" s="463"/>
      <c r="C1160" s="463"/>
    </row>
    <row r="1161" spans="2:3" x14ac:dyDescent="0.25">
      <c r="B1161" s="463"/>
      <c r="C1161" s="463"/>
    </row>
    <row r="1162" spans="2:3" x14ac:dyDescent="0.25">
      <c r="B1162" s="463"/>
      <c r="C1162" s="463"/>
    </row>
    <row r="1163" spans="2:3" x14ac:dyDescent="0.25">
      <c r="B1163" s="463"/>
      <c r="C1163" s="463"/>
    </row>
    <row r="1164" spans="2:3" x14ac:dyDescent="0.25">
      <c r="B1164" s="463"/>
      <c r="C1164" s="463"/>
    </row>
    <row r="1165" spans="2:3" x14ac:dyDescent="0.25">
      <c r="B1165" s="463"/>
      <c r="C1165" s="463"/>
    </row>
    <row r="1166" spans="2:3" x14ac:dyDescent="0.25">
      <c r="B1166" s="463"/>
      <c r="C1166" s="463"/>
    </row>
    <row r="1167" spans="2:3" x14ac:dyDescent="0.25">
      <c r="B1167" s="463"/>
      <c r="C1167" s="463"/>
    </row>
    <row r="1168" spans="2:3" x14ac:dyDescent="0.25">
      <c r="B1168" s="463"/>
      <c r="C1168" s="463"/>
    </row>
    <row r="1169" spans="2:3" x14ac:dyDescent="0.25">
      <c r="B1169" s="463"/>
      <c r="C1169" s="463"/>
    </row>
    <row r="1170" spans="2:3" x14ac:dyDescent="0.25">
      <c r="B1170" s="463"/>
      <c r="C1170" s="463"/>
    </row>
    <row r="1171" spans="2:3" x14ac:dyDescent="0.25">
      <c r="B1171" s="463"/>
      <c r="C1171" s="463"/>
    </row>
    <row r="1172" spans="2:3" x14ac:dyDescent="0.25">
      <c r="B1172" s="463"/>
      <c r="C1172" s="463"/>
    </row>
    <row r="1173" spans="2:3" x14ac:dyDescent="0.25">
      <c r="B1173" s="463"/>
      <c r="C1173" s="463"/>
    </row>
    <row r="1174" spans="2:3" x14ac:dyDescent="0.25">
      <c r="B1174" s="463"/>
      <c r="C1174" s="463"/>
    </row>
    <row r="1175" spans="2:3" x14ac:dyDescent="0.25">
      <c r="B1175" s="463"/>
      <c r="C1175" s="463"/>
    </row>
    <row r="1176" spans="2:3" x14ac:dyDescent="0.25">
      <c r="B1176" s="463"/>
      <c r="C1176" s="463"/>
    </row>
    <row r="1177" spans="2:3" x14ac:dyDescent="0.25">
      <c r="B1177" s="463"/>
      <c r="C1177" s="463"/>
    </row>
    <row r="1178" spans="2:3" x14ac:dyDescent="0.25">
      <c r="B1178" s="463"/>
      <c r="C1178" s="463"/>
    </row>
    <row r="1179" spans="2:3" x14ac:dyDescent="0.25">
      <c r="B1179" s="463"/>
      <c r="C1179" s="463"/>
    </row>
    <row r="1180" spans="2:3" x14ac:dyDescent="0.25">
      <c r="B1180" s="463"/>
      <c r="C1180" s="463"/>
    </row>
    <row r="1181" spans="2:3" x14ac:dyDescent="0.25">
      <c r="B1181" s="463"/>
      <c r="C1181" s="463"/>
    </row>
    <row r="1182" spans="2:3" x14ac:dyDescent="0.25">
      <c r="B1182" s="463"/>
      <c r="C1182" s="463"/>
    </row>
    <row r="1183" spans="2:3" x14ac:dyDescent="0.25">
      <c r="B1183" s="463"/>
      <c r="C1183" s="463"/>
    </row>
    <row r="1184" spans="2:3" x14ac:dyDescent="0.25">
      <c r="B1184" s="463"/>
      <c r="C1184" s="463"/>
    </row>
    <row r="1185" spans="2:3" x14ac:dyDescent="0.25">
      <c r="B1185" s="463"/>
      <c r="C1185" s="463"/>
    </row>
    <row r="1186" spans="2:3" x14ac:dyDescent="0.25">
      <c r="B1186" s="463"/>
      <c r="C1186" s="463"/>
    </row>
    <row r="1187" spans="2:3" x14ac:dyDescent="0.25">
      <c r="B1187" s="463"/>
      <c r="C1187" s="463"/>
    </row>
    <row r="1188" spans="2:3" x14ac:dyDescent="0.25">
      <c r="B1188" s="463"/>
      <c r="C1188" s="463"/>
    </row>
    <row r="1189" spans="2:3" x14ac:dyDescent="0.25">
      <c r="B1189" s="463"/>
      <c r="C1189" s="463"/>
    </row>
    <row r="1190" spans="2:3" x14ac:dyDescent="0.25">
      <c r="B1190" s="463"/>
      <c r="C1190" s="463"/>
    </row>
    <row r="1191" spans="2:3" x14ac:dyDescent="0.25">
      <c r="B1191" s="463"/>
      <c r="C1191" s="463"/>
    </row>
    <row r="1192" spans="2:3" x14ac:dyDescent="0.25">
      <c r="B1192" s="463"/>
      <c r="C1192" s="463"/>
    </row>
    <row r="1193" spans="2:3" x14ac:dyDescent="0.25">
      <c r="B1193" s="463"/>
      <c r="C1193" s="463"/>
    </row>
    <row r="1194" spans="2:3" x14ac:dyDescent="0.25">
      <c r="B1194" s="463"/>
      <c r="C1194" s="463"/>
    </row>
    <row r="1195" spans="2:3" x14ac:dyDescent="0.25">
      <c r="B1195" s="463"/>
      <c r="C1195" s="463"/>
    </row>
    <row r="1196" spans="2:3" x14ac:dyDescent="0.25">
      <c r="B1196" s="463"/>
      <c r="C1196" s="463"/>
    </row>
    <row r="1197" spans="2:3" x14ac:dyDescent="0.25">
      <c r="B1197" s="463"/>
      <c r="C1197" s="463"/>
    </row>
    <row r="1198" spans="2:3" x14ac:dyDescent="0.25">
      <c r="B1198" s="463"/>
      <c r="C1198" s="463"/>
    </row>
    <row r="1199" spans="2:3" x14ac:dyDescent="0.25">
      <c r="B1199" s="463"/>
      <c r="C1199" s="463"/>
    </row>
    <row r="1200" spans="2:3" x14ac:dyDescent="0.25">
      <c r="B1200" s="463"/>
      <c r="C1200" s="463"/>
    </row>
    <row r="1201" spans="2:3" x14ac:dyDescent="0.25">
      <c r="B1201" s="463"/>
      <c r="C1201" s="463"/>
    </row>
    <row r="1202" spans="2:3" x14ac:dyDescent="0.25">
      <c r="B1202" s="463"/>
      <c r="C1202" s="463"/>
    </row>
    <row r="1203" spans="2:3" x14ac:dyDescent="0.25">
      <c r="B1203" s="463"/>
      <c r="C1203" s="463"/>
    </row>
    <row r="1204" spans="2:3" x14ac:dyDescent="0.25">
      <c r="B1204" s="463"/>
      <c r="C1204" s="463"/>
    </row>
    <row r="1205" spans="2:3" x14ac:dyDescent="0.25">
      <c r="B1205" s="463"/>
      <c r="C1205" s="463"/>
    </row>
    <row r="1206" spans="2:3" x14ac:dyDescent="0.25">
      <c r="B1206" s="463"/>
      <c r="C1206" s="463"/>
    </row>
    <row r="1207" spans="2:3" x14ac:dyDescent="0.25">
      <c r="B1207" s="463"/>
      <c r="C1207" s="463"/>
    </row>
    <row r="1208" spans="2:3" x14ac:dyDescent="0.25">
      <c r="B1208" s="463"/>
      <c r="C1208" s="463"/>
    </row>
    <row r="1209" spans="2:3" x14ac:dyDescent="0.25">
      <c r="B1209" s="463"/>
      <c r="C1209" s="463"/>
    </row>
    <row r="1210" spans="2:3" x14ac:dyDescent="0.25">
      <c r="B1210" s="463"/>
      <c r="C1210" s="463"/>
    </row>
    <row r="1211" spans="2:3" x14ac:dyDescent="0.25">
      <c r="B1211" s="463"/>
      <c r="C1211" s="463"/>
    </row>
    <row r="1212" spans="2:3" x14ac:dyDescent="0.25">
      <c r="B1212" s="463"/>
      <c r="C1212" s="463"/>
    </row>
    <row r="1213" spans="2:3" x14ac:dyDescent="0.25">
      <c r="B1213" s="463"/>
      <c r="C1213" s="463"/>
    </row>
    <row r="1214" spans="2:3" x14ac:dyDescent="0.25">
      <c r="B1214" s="463"/>
      <c r="C1214" s="463"/>
    </row>
    <row r="1215" spans="2:3" x14ac:dyDescent="0.25">
      <c r="B1215" s="463"/>
      <c r="C1215" s="463"/>
    </row>
    <row r="1216" spans="2:3" x14ac:dyDescent="0.25">
      <c r="B1216" s="463"/>
      <c r="C1216" s="463"/>
    </row>
    <row r="1217" spans="2:3" x14ac:dyDescent="0.25">
      <c r="B1217" s="463"/>
      <c r="C1217" s="463"/>
    </row>
    <row r="1218" spans="2:3" x14ac:dyDescent="0.25">
      <c r="B1218" s="463"/>
      <c r="C1218" s="463"/>
    </row>
    <row r="1219" spans="2:3" x14ac:dyDescent="0.25">
      <c r="B1219" s="463"/>
      <c r="C1219" s="463"/>
    </row>
    <row r="1220" spans="2:3" x14ac:dyDescent="0.25">
      <c r="B1220" s="463"/>
      <c r="C1220" s="463"/>
    </row>
    <row r="1221" spans="2:3" x14ac:dyDescent="0.25">
      <c r="B1221" s="463"/>
      <c r="C1221" s="463"/>
    </row>
    <row r="1222" spans="2:3" x14ac:dyDescent="0.25">
      <c r="B1222" s="463"/>
      <c r="C1222" s="463"/>
    </row>
    <row r="1223" spans="2:3" x14ac:dyDescent="0.25">
      <c r="B1223" s="463"/>
      <c r="C1223" s="463"/>
    </row>
    <row r="1224" spans="2:3" x14ac:dyDescent="0.25">
      <c r="B1224" s="463"/>
      <c r="C1224" s="463"/>
    </row>
    <row r="1225" spans="2:3" x14ac:dyDescent="0.25">
      <c r="B1225" s="463"/>
      <c r="C1225" s="463"/>
    </row>
    <row r="1226" spans="2:3" x14ac:dyDescent="0.25">
      <c r="B1226" s="463"/>
      <c r="C1226" s="463"/>
    </row>
    <row r="1227" spans="2:3" x14ac:dyDescent="0.25">
      <c r="B1227" s="463"/>
      <c r="C1227" s="463"/>
    </row>
    <row r="1228" spans="2:3" x14ac:dyDescent="0.25">
      <c r="B1228" s="463"/>
      <c r="C1228" s="463"/>
    </row>
    <row r="1229" spans="2:3" x14ac:dyDescent="0.25">
      <c r="B1229" s="463"/>
      <c r="C1229" s="463"/>
    </row>
    <row r="1230" spans="2:3" x14ac:dyDescent="0.25">
      <c r="B1230" s="463"/>
      <c r="C1230" s="463"/>
    </row>
    <row r="1231" spans="2:3" x14ac:dyDescent="0.25">
      <c r="B1231" s="463"/>
      <c r="C1231" s="463"/>
    </row>
    <row r="1232" spans="2:3" x14ac:dyDescent="0.25">
      <c r="B1232" s="463"/>
      <c r="C1232" s="463"/>
    </row>
    <row r="1233" spans="2:3" x14ac:dyDescent="0.25">
      <c r="B1233" s="463"/>
      <c r="C1233" s="463"/>
    </row>
    <row r="1234" spans="2:3" x14ac:dyDescent="0.25">
      <c r="B1234" s="463"/>
      <c r="C1234" s="463"/>
    </row>
    <row r="1235" spans="2:3" x14ac:dyDescent="0.25">
      <c r="B1235" s="463"/>
      <c r="C1235" s="463"/>
    </row>
    <row r="1236" spans="2:3" x14ac:dyDescent="0.25">
      <c r="B1236" s="463"/>
      <c r="C1236" s="463"/>
    </row>
    <row r="1237" spans="2:3" x14ac:dyDescent="0.25">
      <c r="B1237" s="463"/>
      <c r="C1237" s="463"/>
    </row>
    <row r="1238" spans="2:3" x14ac:dyDescent="0.25">
      <c r="B1238" s="463"/>
      <c r="C1238" s="463"/>
    </row>
    <row r="1239" spans="2:3" x14ac:dyDescent="0.25">
      <c r="B1239" s="463"/>
      <c r="C1239" s="463"/>
    </row>
    <row r="1240" spans="2:3" x14ac:dyDescent="0.25">
      <c r="B1240" s="463"/>
      <c r="C1240" s="463"/>
    </row>
    <row r="1241" spans="2:3" x14ac:dyDescent="0.25">
      <c r="B1241" s="463"/>
      <c r="C1241" s="463"/>
    </row>
    <row r="1242" spans="2:3" x14ac:dyDescent="0.25">
      <c r="B1242" s="463"/>
      <c r="C1242" s="463"/>
    </row>
    <row r="1243" spans="2:3" x14ac:dyDescent="0.25">
      <c r="B1243" s="463"/>
      <c r="C1243" s="463"/>
    </row>
    <row r="1244" spans="2:3" x14ac:dyDescent="0.25">
      <c r="B1244" s="463"/>
      <c r="C1244" s="463"/>
    </row>
    <row r="1245" spans="2:3" x14ac:dyDescent="0.25">
      <c r="B1245" s="463"/>
      <c r="C1245" s="463"/>
    </row>
    <row r="1246" spans="2:3" x14ac:dyDescent="0.25">
      <c r="B1246" s="463"/>
      <c r="C1246" s="463"/>
    </row>
    <row r="1247" spans="2:3" x14ac:dyDescent="0.25">
      <c r="B1247" s="463"/>
      <c r="C1247" s="463"/>
    </row>
    <row r="1248" spans="2:3" x14ac:dyDescent="0.25">
      <c r="B1248" s="463"/>
      <c r="C1248" s="463"/>
    </row>
    <row r="1249" spans="2:3" x14ac:dyDescent="0.25">
      <c r="B1249" s="463"/>
      <c r="C1249" s="463"/>
    </row>
    <row r="1250" spans="2:3" x14ac:dyDescent="0.25">
      <c r="B1250" s="463"/>
      <c r="C1250" s="463"/>
    </row>
    <row r="1251" spans="2:3" x14ac:dyDescent="0.25">
      <c r="B1251" s="463"/>
      <c r="C1251" s="463"/>
    </row>
    <row r="1252" spans="2:3" x14ac:dyDescent="0.25">
      <c r="B1252" s="463"/>
      <c r="C1252" s="463"/>
    </row>
    <row r="1253" spans="2:3" x14ac:dyDescent="0.25">
      <c r="B1253" s="463"/>
      <c r="C1253" s="463"/>
    </row>
    <row r="1254" spans="2:3" x14ac:dyDescent="0.25">
      <c r="B1254" s="463"/>
      <c r="C1254" s="463"/>
    </row>
    <row r="1255" spans="2:3" x14ac:dyDescent="0.25">
      <c r="B1255" s="463"/>
      <c r="C1255" s="463"/>
    </row>
    <row r="1256" spans="2:3" x14ac:dyDescent="0.25">
      <c r="B1256" s="463"/>
      <c r="C1256" s="463"/>
    </row>
    <row r="1257" spans="2:3" x14ac:dyDescent="0.25">
      <c r="B1257" s="463"/>
      <c r="C1257" s="463"/>
    </row>
    <row r="1258" spans="2:3" x14ac:dyDescent="0.25">
      <c r="B1258" s="463"/>
      <c r="C1258" s="463"/>
    </row>
    <row r="1259" spans="2:3" x14ac:dyDescent="0.25">
      <c r="B1259" s="463"/>
      <c r="C1259" s="463"/>
    </row>
    <row r="1260" spans="2:3" x14ac:dyDescent="0.25">
      <c r="B1260" s="463"/>
      <c r="C1260" s="463"/>
    </row>
    <row r="1261" spans="2:3" x14ac:dyDescent="0.25">
      <c r="B1261" s="463"/>
      <c r="C1261" s="463"/>
    </row>
    <row r="1262" spans="2:3" x14ac:dyDescent="0.25">
      <c r="B1262" s="463"/>
      <c r="C1262" s="463"/>
    </row>
    <row r="1263" spans="2:3" x14ac:dyDescent="0.25">
      <c r="B1263" s="463"/>
      <c r="C1263" s="463"/>
    </row>
    <row r="1264" spans="2:3" x14ac:dyDescent="0.25">
      <c r="B1264" s="463"/>
      <c r="C1264" s="463"/>
    </row>
    <row r="1265" spans="2:3" x14ac:dyDescent="0.25">
      <c r="B1265" s="463"/>
      <c r="C1265" s="463"/>
    </row>
    <row r="1266" spans="2:3" x14ac:dyDescent="0.25">
      <c r="B1266" s="463"/>
      <c r="C1266" s="463"/>
    </row>
    <row r="1267" spans="2:3" x14ac:dyDescent="0.25">
      <c r="B1267" s="463"/>
      <c r="C1267" s="463"/>
    </row>
    <row r="1268" spans="2:3" x14ac:dyDescent="0.25">
      <c r="B1268" s="463"/>
      <c r="C1268" s="463"/>
    </row>
    <row r="1269" spans="2:3" x14ac:dyDescent="0.25">
      <c r="B1269" s="463"/>
      <c r="C1269" s="463"/>
    </row>
    <row r="1270" spans="2:3" x14ac:dyDescent="0.25">
      <c r="B1270" s="463"/>
      <c r="C1270" s="463"/>
    </row>
    <row r="1271" spans="2:3" x14ac:dyDescent="0.25">
      <c r="B1271" s="463"/>
      <c r="C1271" s="463"/>
    </row>
    <row r="1272" spans="2:3" x14ac:dyDescent="0.25">
      <c r="B1272" s="463"/>
      <c r="C1272" s="463"/>
    </row>
    <row r="1273" spans="2:3" x14ac:dyDescent="0.25">
      <c r="B1273" s="463"/>
      <c r="C1273" s="463"/>
    </row>
    <row r="1274" spans="2:3" x14ac:dyDescent="0.25">
      <c r="B1274" s="463"/>
      <c r="C1274" s="463"/>
    </row>
    <row r="1275" spans="2:3" x14ac:dyDescent="0.25">
      <c r="B1275" s="463"/>
      <c r="C1275" s="463"/>
    </row>
    <row r="1276" spans="2:3" x14ac:dyDescent="0.25">
      <c r="B1276" s="463"/>
      <c r="C1276" s="463"/>
    </row>
    <row r="1277" spans="2:3" x14ac:dyDescent="0.25">
      <c r="B1277" s="463"/>
      <c r="C1277" s="463"/>
    </row>
    <row r="1278" spans="2:3" x14ac:dyDescent="0.25">
      <c r="B1278" s="463"/>
      <c r="C1278" s="463"/>
    </row>
    <row r="1279" spans="2:3" x14ac:dyDescent="0.25">
      <c r="B1279" s="463"/>
      <c r="C1279" s="463"/>
    </row>
    <row r="1280" spans="2:3" x14ac:dyDescent="0.25">
      <c r="B1280" s="463"/>
      <c r="C1280" s="463"/>
    </row>
    <row r="1281" spans="2:3" x14ac:dyDescent="0.25">
      <c r="B1281" s="463"/>
      <c r="C1281" s="463"/>
    </row>
    <row r="1282" spans="2:3" x14ac:dyDescent="0.25">
      <c r="B1282" s="463"/>
      <c r="C1282" s="463"/>
    </row>
    <row r="1283" spans="2:3" x14ac:dyDescent="0.25">
      <c r="B1283" s="463"/>
      <c r="C1283" s="463"/>
    </row>
    <row r="1284" spans="2:3" x14ac:dyDescent="0.25">
      <c r="B1284" s="463"/>
      <c r="C1284" s="463"/>
    </row>
    <row r="1285" spans="2:3" x14ac:dyDescent="0.25">
      <c r="B1285" s="463"/>
      <c r="C1285" s="463"/>
    </row>
    <row r="1286" spans="2:3" x14ac:dyDescent="0.25">
      <c r="B1286" s="463"/>
      <c r="C1286" s="463"/>
    </row>
    <row r="1287" spans="2:3" x14ac:dyDescent="0.25">
      <c r="B1287" s="463"/>
      <c r="C1287" s="463"/>
    </row>
    <row r="1288" spans="2:3" x14ac:dyDescent="0.25">
      <c r="B1288" s="463"/>
      <c r="C1288" s="463"/>
    </row>
    <row r="1289" spans="2:3" x14ac:dyDescent="0.25">
      <c r="B1289" s="463"/>
      <c r="C1289" s="463"/>
    </row>
    <row r="1290" spans="2:3" x14ac:dyDescent="0.25">
      <c r="B1290" s="463"/>
      <c r="C1290" s="463"/>
    </row>
    <row r="1291" spans="2:3" x14ac:dyDescent="0.25">
      <c r="B1291" s="463"/>
      <c r="C1291" s="463"/>
    </row>
    <row r="1292" spans="2:3" x14ac:dyDescent="0.25">
      <c r="B1292" s="463"/>
      <c r="C1292" s="463"/>
    </row>
    <row r="1293" spans="2:3" x14ac:dyDescent="0.25">
      <c r="B1293" s="463"/>
      <c r="C1293" s="463"/>
    </row>
    <row r="1294" spans="2:3" x14ac:dyDescent="0.25">
      <c r="B1294" s="463"/>
      <c r="C1294" s="463"/>
    </row>
    <row r="1295" spans="2:3" x14ac:dyDescent="0.25">
      <c r="B1295" s="463"/>
      <c r="C1295" s="463"/>
    </row>
    <row r="1296" spans="2:3" x14ac:dyDescent="0.25">
      <c r="B1296" s="463"/>
      <c r="C1296" s="463"/>
    </row>
    <row r="1297" spans="2:3" x14ac:dyDescent="0.25">
      <c r="B1297" s="463"/>
      <c r="C1297" s="463"/>
    </row>
    <row r="1298" spans="2:3" x14ac:dyDescent="0.25">
      <c r="B1298" s="463"/>
      <c r="C1298" s="463"/>
    </row>
    <row r="1299" spans="2:3" x14ac:dyDescent="0.25">
      <c r="B1299" s="463"/>
      <c r="C1299" s="463"/>
    </row>
    <row r="1300" spans="2:3" x14ac:dyDescent="0.25">
      <c r="B1300" s="463"/>
      <c r="C1300" s="463"/>
    </row>
    <row r="1301" spans="2:3" x14ac:dyDescent="0.25">
      <c r="B1301" s="463"/>
      <c r="C1301" s="463"/>
    </row>
    <row r="1302" spans="2:3" x14ac:dyDescent="0.25">
      <c r="B1302" s="463"/>
      <c r="C1302" s="463"/>
    </row>
    <row r="1303" spans="2:3" x14ac:dyDescent="0.25">
      <c r="B1303" s="463"/>
      <c r="C1303" s="463"/>
    </row>
    <row r="1304" spans="2:3" x14ac:dyDescent="0.25">
      <c r="B1304" s="463"/>
      <c r="C1304" s="463"/>
    </row>
    <row r="1305" spans="2:3" x14ac:dyDescent="0.25">
      <c r="B1305" s="463"/>
      <c r="C1305" s="463"/>
    </row>
    <row r="1306" spans="2:3" x14ac:dyDescent="0.25">
      <c r="B1306" s="463"/>
      <c r="C1306" s="463"/>
    </row>
    <row r="1307" spans="2:3" x14ac:dyDescent="0.25">
      <c r="B1307" s="463"/>
      <c r="C1307" s="463"/>
    </row>
    <row r="1308" spans="2:3" x14ac:dyDescent="0.25">
      <c r="B1308" s="463"/>
      <c r="C1308" s="463"/>
    </row>
    <row r="1309" spans="2:3" x14ac:dyDescent="0.25">
      <c r="B1309" s="463"/>
      <c r="C1309" s="463"/>
    </row>
    <row r="1310" spans="2:3" x14ac:dyDescent="0.25">
      <c r="B1310" s="463"/>
      <c r="C1310" s="463"/>
    </row>
    <row r="1311" spans="2:3" x14ac:dyDescent="0.25">
      <c r="B1311" s="463"/>
      <c r="C1311" s="463"/>
    </row>
    <row r="1312" spans="2:3" x14ac:dyDescent="0.25">
      <c r="B1312" s="463"/>
      <c r="C1312" s="463"/>
    </row>
    <row r="1313" spans="2:3" x14ac:dyDescent="0.25">
      <c r="B1313" s="463"/>
      <c r="C1313" s="463"/>
    </row>
    <row r="1314" spans="2:3" x14ac:dyDescent="0.25">
      <c r="B1314" s="463"/>
      <c r="C1314" s="463"/>
    </row>
    <row r="1315" spans="2:3" x14ac:dyDescent="0.25">
      <c r="B1315" s="463"/>
      <c r="C1315" s="463"/>
    </row>
    <row r="1316" spans="2:3" x14ac:dyDescent="0.25">
      <c r="B1316" s="463"/>
      <c r="C1316" s="463"/>
    </row>
    <row r="1317" spans="2:3" x14ac:dyDescent="0.25">
      <c r="B1317" s="463"/>
      <c r="C1317" s="463"/>
    </row>
    <row r="1318" spans="2:3" x14ac:dyDescent="0.25">
      <c r="B1318" s="463"/>
      <c r="C1318" s="463"/>
    </row>
    <row r="1319" spans="2:3" x14ac:dyDescent="0.25">
      <c r="B1319" s="463"/>
      <c r="C1319" s="463"/>
    </row>
    <row r="1320" spans="2:3" x14ac:dyDescent="0.25">
      <c r="B1320" s="463"/>
      <c r="C1320" s="463"/>
    </row>
    <row r="1321" spans="2:3" x14ac:dyDescent="0.25">
      <c r="B1321" s="463"/>
      <c r="C1321" s="463"/>
    </row>
    <row r="1322" spans="2:3" x14ac:dyDescent="0.25">
      <c r="B1322" s="463"/>
      <c r="C1322" s="463"/>
    </row>
    <row r="1323" spans="2:3" x14ac:dyDescent="0.25">
      <c r="B1323" s="463"/>
      <c r="C1323" s="463"/>
    </row>
    <row r="1324" spans="2:3" x14ac:dyDescent="0.25">
      <c r="B1324" s="463"/>
      <c r="C1324" s="463"/>
    </row>
    <row r="1325" spans="2:3" x14ac:dyDescent="0.25">
      <c r="B1325" s="463"/>
      <c r="C1325" s="463"/>
    </row>
    <row r="1326" spans="2:3" x14ac:dyDescent="0.25">
      <c r="B1326" s="463"/>
      <c r="C1326" s="463"/>
    </row>
    <row r="1327" spans="2:3" x14ac:dyDescent="0.25">
      <c r="B1327" s="463"/>
      <c r="C1327" s="463"/>
    </row>
    <row r="1328" spans="2:3" x14ac:dyDescent="0.25">
      <c r="B1328" s="463"/>
      <c r="C1328" s="463"/>
    </row>
    <row r="1329" spans="2:3" x14ac:dyDescent="0.25">
      <c r="B1329" s="463"/>
      <c r="C1329" s="463"/>
    </row>
    <row r="1330" spans="2:3" x14ac:dyDescent="0.25">
      <c r="B1330" s="463"/>
      <c r="C1330" s="463"/>
    </row>
    <row r="1331" spans="2:3" x14ac:dyDescent="0.25">
      <c r="B1331" s="463"/>
      <c r="C1331" s="463"/>
    </row>
    <row r="1332" spans="2:3" x14ac:dyDescent="0.25">
      <c r="B1332" s="463"/>
      <c r="C1332" s="463"/>
    </row>
    <row r="1333" spans="2:3" x14ac:dyDescent="0.25">
      <c r="B1333" s="463"/>
      <c r="C1333" s="463"/>
    </row>
    <row r="1334" spans="2:3" x14ac:dyDescent="0.25">
      <c r="B1334" s="463"/>
      <c r="C1334" s="463"/>
    </row>
    <row r="1335" spans="2:3" x14ac:dyDescent="0.25">
      <c r="B1335" s="463"/>
      <c r="C1335" s="463"/>
    </row>
    <row r="1336" spans="2:3" x14ac:dyDescent="0.25">
      <c r="B1336" s="463"/>
      <c r="C1336" s="463"/>
    </row>
    <row r="1337" spans="2:3" x14ac:dyDescent="0.25">
      <c r="B1337" s="463"/>
      <c r="C1337" s="463"/>
    </row>
    <row r="1338" spans="2:3" x14ac:dyDescent="0.25">
      <c r="B1338" s="463"/>
      <c r="C1338" s="463"/>
    </row>
    <row r="1339" spans="2:3" x14ac:dyDescent="0.25">
      <c r="B1339" s="463"/>
      <c r="C1339" s="463"/>
    </row>
    <row r="1340" spans="2:3" x14ac:dyDescent="0.25">
      <c r="B1340" s="463"/>
      <c r="C1340" s="463"/>
    </row>
    <row r="1341" spans="2:3" x14ac:dyDescent="0.25">
      <c r="B1341" s="463"/>
      <c r="C1341" s="463"/>
    </row>
    <row r="1342" spans="2:3" x14ac:dyDescent="0.25">
      <c r="B1342" s="463"/>
      <c r="C1342" s="463"/>
    </row>
    <row r="1343" spans="2:3" x14ac:dyDescent="0.25">
      <c r="B1343" s="463"/>
      <c r="C1343" s="463"/>
    </row>
    <row r="1344" spans="2:3" x14ac:dyDescent="0.25">
      <c r="B1344" s="463"/>
      <c r="C1344" s="463"/>
    </row>
    <row r="1345" spans="2:3" x14ac:dyDescent="0.25">
      <c r="B1345" s="463"/>
      <c r="C1345" s="463"/>
    </row>
    <row r="1346" spans="2:3" x14ac:dyDescent="0.25">
      <c r="B1346" s="463"/>
      <c r="C1346" s="463"/>
    </row>
    <row r="1347" spans="2:3" x14ac:dyDescent="0.25">
      <c r="B1347" s="463"/>
      <c r="C1347" s="463"/>
    </row>
    <row r="1348" spans="2:3" x14ac:dyDescent="0.25">
      <c r="B1348" s="463"/>
      <c r="C1348" s="463"/>
    </row>
    <row r="1349" spans="2:3" x14ac:dyDescent="0.25">
      <c r="B1349" s="463"/>
      <c r="C1349" s="463"/>
    </row>
    <row r="1350" spans="2:3" x14ac:dyDescent="0.25">
      <c r="B1350" s="463"/>
      <c r="C1350" s="463"/>
    </row>
    <row r="1351" spans="2:3" x14ac:dyDescent="0.25">
      <c r="B1351" s="463"/>
      <c r="C1351" s="463"/>
    </row>
    <row r="1352" spans="2:3" x14ac:dyDescent="0.25">
      <c r="B1352" s="463"/>
      <c r="C1352" s="463"/>
    </row>
    <row r="1353" spans="2:3" x14ac:dyDescent="0.25">
      <c r="B1353" s="463"/>
      <c r="C1353" s="463"/>
    </row>
    <row r="1354" spans="2:3" x14ac:dyDescent="0.25">
      <c r="B1354" s="463"/>
      <c r="C1354" s="463"/>
    </row>
    <row r="1355" spans="2:3" x14ac:dyDescent="0.25">
      <c r="B1355" s="463"/>
      <c r="C1355" s="463"/>
    </row>
    <row r="1356" spans="2:3" x14ac:dyDescent="0.25">
      <c r="B1356" s="463"/>
      <c r="C1356" s="463"/>
    </row>
    <row r="1357" spans="2:3" x14ac:dyDescent="0.25">
      <c r="B1357" s="463"/>
      <c r="C1357" s="463"/>
    </row>
    <row r="1358" spans="2:3" x14ac:dyDescent="0.25">
      <c r="B1358" s="463"/>
      <c r="C1358" s="463"/>
    </row>
    <row r="1359" spans="2:3" x14ac:dyDescent="0.25">
      <c r="B1359" s="463"/>
      <c r="C1359" s="463"/>
    </row>
    <row r="1360" spans="2:3" x14ac:dyDescent="0.25">
      <c r="B1360" s="463"/>
      <c r="C1360" s="463"/>
    </row>
    <row r="1361" spans="2:3" x14ac:dyDescent="0.25">
      <c r="B1361" s="463"/>
      <c r="C1361" s="463"/>
    </row>
    <row r="1362" spans="2:3" x14ac:dyDescent="0.25">
      <c r="B1362" s="463"/>
      <c r="C1362" s="463"/>
    </row>
    <row r="1363" spans="2:3" x14ac:dyDescent="0.25">
      <c r="B1363" s="463"/>
      <c r="C1363" s="463"/>
    </row>
    <row r="1364" spans="2:3" x14ac:dyDescent="0.25">
      <c r="B1364" s="463"/>
      <c r="C1364" s="463"/>
    </row>
    <row r="1365" spans="2:3" x14ac:dyDescent="0.25">
      <c r="B1365" s="463"/>
      <c r="C1365" s="463"/>
    </row>
    <row r="1366" spans="2:3" x14ac:dyDescent="0.25">
      <c r="B1366" s="463"/>
      <c r="C1366" s="463"/>
    </row>
    <row r="1367" spans="2:3" x14ac:dyDescent="0.25">
      <c r="B1367" s="463"/>
      <c r="C1367" s="463"/>
    </row>
    <row r="1368" spans="2:3" x14ac:dyDescent="0.25">
      <c r="B1368" s="463"/>
      <c r="C1368" s="463"/>
    </row>
    <row r="1369" spans="2:3" x14ac:dyDescent="0.25">
      <c r="B1369" s="463"/>
      <c r="C1369" s="463"/>
    </row>
    <row r="1370" spans="2:3" x14ac:dyDescent="0.25">
      <c r="B1370" s="463"/>
      <c r="C1370" s="463"/>
    </row>
    <row r="1371" spans="2:3" x14ac:dyDescent="0.25">
      <c r="B1371" s="463"/>
      <c r="C1371" s="463"/>
    </row>
    <row r="1372" spans="2:3" x14ac:dyDescent="0.25">
      <c r="B1372" s="463"/>
      <c r="C1372" s="463"/>
    </row>
    <row r="1373" spans="2:3" x14ac:dyDescent="0.25">
      <c r="B1373" s="463"/>
      <c r="C1373" s="463"/>
    </row>
    <row r="1374" spans="2:3" x14ac:dyDescent="0.25">
      <c r="B1374" s="463"/>
      <c r="C1374" s="463"/>
    </row>
    <row r="1375" spans="2:3" x14ac:dyDescent="0.25">
      <c r="B1375" s="463"/>
      <c r="C1375" s="463"/>
    </row>
    <row r="1376" spans="2:3" x14ac:dyDescent="0.25">
      <c r="B1376" s="463"/>
      <c r="C1376" s="463"/>
    </row>
    <row r="1377" spans="2:3" x14ac:dyDescent="0.25">
      <c r="B1377" s="463"/>
      <c r="C1377" s="463"/>
    </row>
    <row r="1378" spans="2:3" x14ac:dyDescent="0.25">
      <c r="B1378" s="463"/>
      <c r="C1378" s="463"/>
    </row>
    <row r="1379" spans="2:3" x14ac:dyDescent="0.25">
      <c r="B1379" s="463"/>
      <c r="C1379" s="463"/>
    </row>
    <row r="1380" spans="2:3" x14ac:dyDescent="0.25">
      <c r="B1380" s="463"/>
      <c r="C1380" s="463"/>
    </row>
    <row r="1381" spans="2:3" x14ac:dyDescent="0.25">
      <c r="B1381" s="463"/>
      <c r="C1381" s="463"/>
    </row>
    <row r="1382" spans="2:3" x14ac:dyDescent="0.25">
      <c r="B1382" s="463"/>
      <c r="C1382" s="463"/>
    </row>
    <row r="1383" spans="2:3" x14ac:dyDescent="0.25">
      <c r="B1383" s="463"/>
      <c r="C1383" s="463"/>
    </row>
    <row r="1384" spans="2:3" x14ac:dyDescent="0.25">
      <c r="B1384" s="463"/>
      <c r="C1384" s="463"/>
    </row>
    <row r="1385" spans="2:3" x14ac:dyDescent="0.25">
      <c r="B1385" s="463"/>
      <c r="C1385" s="463"/>
    </row>
    <row r="1386" spans="2:3" x14ac:dyDescent="0.25">
      <c r="B1386" s="463"/>
      <c r="C1386" s="463"/>
    </row>
    <row r="1387" spans="2:3" x14ac:dyDescent="0.25">
      <c r="B1387" s="463"/>
      <c r="C1387" s="463"/>
    </row>
    <row r="1388" spans="2:3" x14ac:dyDescent="0.25">
      <c r="B1388" s="463"/>
      <c r="C1388" s="463"/>
    </row>
    <row r="1389" spans="2:3" x14ac:dyDescent="0.25">
      <c r="B1389" s="463"/>
      <c r="C1389" s="463"/>
    </row>
    <row r="1390" spans="2:3" x14ac:dyDescent="0.25">
      <c r="B1390" s="463"/>
      <c r="C1390" s="463"/>
    </row>
    <row r="1391" spans="2:3" x14ac:dyDescent="0.25">
      <c r="B1391" s="463"/>
      <c r="C1391" s="463"/>
    </row>
    <row r="1392" spans="2:3" x14ac:dyDescent="0.25">
      <c r="B1392" s="463"/>
      <c r="C1392" s="463"/>
    </row>
    <row r="1393" spans="2:3" x14ac:dyDescent="0.25">
      <c r="B1393" s="463"/>
      <c r="C1393" s="463"/>
    </row>
    <row r="1394" spans="2:3" x14ac:dyDescent="0.25">
      <c r="B1394" s="463"/>
      <c r="C1394" s="463"/>
    </row>
    <row r="1395" spans="2:3" x14ac:dyDescent="0.25">
      <c r="B1395" s="463"/>
      <c r="C1395" s="463"/>
    </row>
    <row r="1396" spans="2:3" x14ac:dyDescent="0.25">
      <c r="B1396" s="463"/>
      <c r="C1396" s="463"/>
    </row>
    <row r="1397" spans="2:3" x14ac:dyDescent="0.25">
      <c r="B1397" s="463"/>
      <c r="C1397" s="463"/>
    </row>
    <row r="1398" spans="2:3" x14ac:dyDescent="0.25">
      <c r="B1398" s="463"/>
      <c r="C1398" s="463"/>
    </row>
    <row r="1399" spans="2:3" x14ac:dyDescent="0.25">
      <c r="B1399" s="463"/>
      <c r="C1399" s="463"/>
    </row>
    <row r="1400" spans="2:3" x14ac:dyDescent="0.25">
      <c r="B1400" s="463"/>
      <c r="C1400" s="463"/>
    </row>
    <row r="1401" spans="2:3" x14ac:dyDescent="0.25">
      <c r="B1401" s="463"/>
      <c r="C1401" s="463"/>
    </row>
    <row r="1402" spans="2:3" x14ac:dyDescent="0.25">
      <c r="B1402" s="463"/>
      <c r="C1402" s="463"/>
    </row>
    <row r="1403" spans="2:3" x14ac:dyDescent="0.25">
      <c r="B1403" s="463"/>
      <c r="C1403" s="463"/>
    </row>
    <row r="1404" spans="2:3" x14ac:dyDescent="0.25">
      <c r="B1404" s="463"/>
      <c r="C1404" s="463"/>
    </row>
    <row r="1405" spans="2:3" x14ac:dyDescent="0.25">
      <c r="B1405" s="463"/>
      <c r="C1405" s="463"/>
    </row>
    <row r="1406" spans="2:3" x14ac:dyDescent="0.25">
      <c r="B1406" s="463"/>
      <c r="C1406" s="463"/>
    </row>
    <row r="1407" spans="2:3" x14ac:dyDescent="0.25">
      <c r="B1407" s="463"/>
      <c r="C1407" s="463"/>
    </row>
    <row r="1408" spans="2:3" x14ac:dyDescent="0.25">
      <c r="B1408" s="463"/>
      <c r="C1408" s="463"/>
    </row>
    <row r="1409" spans="2:3" x14ac:dyDescent="0.25">
      <c r="B1409" s="463"/>
      <c r="C1409" s="463"/>
    </row>
    <row r="1410" spans="2:3" x14ac:dyDescent="0.25">
      <c r="B1410" s="463"/>
      <c r="C1410" s="463"/>
    </row>
    <row r="1411" spans="2:3" x14ac:dyDescent="0.25">
      <c r="B1411" s="463"/>
      <c r="C1411" s="463"/>
    </row>
    <row r="1412" spans="2:3" x14ac:dyDescent="0.25">
      <c r="B1412" s="463"/>
      <c r="C1412" s="463"/>
    </row>
    <row r="1413" spans="2:3" x14ac:dyDescent="0.25">
      <c r="B1413" s="463"/>
      <c r="C1413" s="463"/>
    </row>
    <row r="1414" spans="2:3" x14ac:dyDescent="0.25">
      <c r="B1414" s="463"/>
      <c r="C1414" s="463"/>
    </row>
    <row r="1415" spans="2:3" x14ac:dyDescent="0.25">
      <c r="B1415" s="463"/>
      <c r="C1415" s="463"/>
    </row>
    <row r="1416" spans="2:3" x14ac:dyDescent="0.25">
      <c r="B1416" s="463"/>
      <c r="C1416" s="463"/>
    </row>
    <row r="1417" spans="2:3" x14ac:dyDescent="0.25">
      <c r="B1417" s="463"/>
      <c r="C1417" s="463"/>
    </row>
    <row r="1418" spans="2:3" x14ac:dyDescent="0.25">
      <c r="B1418" s="463"/>
      <c r="C1418" s="463"/>
    </row>
    <row r="1419" spans="2:3" x14ac:dyDescent="0.25">
      <c r="B1419" s="463"/>
      <c r="C1419" s="463"/>
    </row>
    <row r="1420" spans="2:3" x14ac:dyDescent="0.25">
      <c r="B1420" s="463"/>
      <c r="C1420" s="463"/>
    </row>
    <row r="1421" spans="2:3" x14ac:dyDescent="0.25">
      <c r="B1421" s="463"/>
      <c r="C1421" s="463"/>
    </row>
    <row r="1422" spans="2:3" x14ac:dyDescent="0.25">
      <c r="B1422" s="463"/>
      <c r="C1422" s="463"/>
    </row>
    <row r="1423" spans="2:3" x14ac:dyDescent="0.25">
      <c r="B1423" s="463"/>
      <c r="C1423" s="463"/>
    </row>
    <row r="1424" spans="2:3" x14ac:dyDescent="0.25">
      <c r="B1424" s="463"/>
      <c r="C1424" s="463"/>
    </row>
    <row r="1425" spans="2:3" x14ac:dyDescent="0.25">
      <c r="B1425" s="463"/>
      <c r="C1425" s="463"/>
    </row>
    <row r="1426" spans="2:3" x14ac:dyDescent="0.25">
      <c r="B1426" s="463"/>
      <c r="C1426" s="463"/>
    </row>
    <row r="1427" spans="2:3" x14ac:dyDescent="0.25">
      <c r="B1427" s="463"/>
      <c r="C1427" s="463"/>
    </row>
    <row r="1428" spans="2:3" x14ac:dyDescent="0.25">
      <c r="B1428" s="463"/>
      <c r="C1428" s="463"/>
    </row>
    <row r="1429" spans="2:3" x14ac:dyDescent="0.25">
      <c r="B1429" s="463"/>
      <c r="C1429" s="463"/>
    </row>
    <row r="1430" spans="2:3" x14ac:dyDescent="0.25">
      <c r="B1430" s="463"/>
      <c r="C1430" s="463"/>
    </row>
    <row r="1431" spans="2:3" x14ac:dyDescent="0.25">
      <c r="B1431" s="463"/>
      <c r="C1431" s="463"/>
    </row>
    <row r="1432" spans="2:3" x14ac:dyDescent="0.25">
      <c r="B1432" s="463"/>
      <c r="C1432" s="463"/>
    </row>
    <row r="1433" spans="2:3" x14ac:dyDescent="0.25">
      <c r="B1433" s="463"/>
      <c r="C1433" s="463"/>
    </row>
    <row r="1434" spans="2:3" x14ac:dyDescent="0.25">
      <c r="B1434" s="463"/>
      <c r="C1434" s="463"/>
    </row>
    <row r="1435" spans="2:3" x14ac:dyDescent="0.25">
      <c r="B1435" s="463"/>
      <c r="C1435" s="463"/>
    </row>
    <row r="1436" spans="2:3" x14ac:dyDescent="0.25">
      <c r="B1436" s="463"/>
      <c r="C1436" s="463"/>
    </row>
    <row r="1437" spans="2:3" x14ac:dyDescent="0.25">
      <c r="B1437" s="463"/>
      <c r="C1437" s="463"/>
    </row>
    <row r="1438" spans="2:3" x14ac:dyDescent="0.25">
      <c r="B1438" s="463"/>
      <c r="C1438" s="463"/>
    </row>
    <row r="1439" spans="2:3" x14ac:dyDescent="0.25">
      <c r="B1439" s="463"/>
      <c r="C1439" s="463"/>
    </row>
    <row r="1440" spans="2:3" x14ac:dyDescent="0.25">
      <c r="B1440" s="463"/>
      <c r="C1440" s="463"/>
    </row>
    <row r="1441" spans="2:3" x14ac:dyDescent="0.25">
      <c r="B1441" s="463"/>
      <c r="C1441" s="463"/>
    </row>
    <row r="1442" spans="2:3" x14ac:dyDescent="0.25">
      <c r="B1442" s="463"/>
      <c r="C1442" s="463"/>
    </row>
    <row r="1443" spans="2:3" x14ac:dyDescent="0.25">
      <c r="B1443" s="463"/>
      <c r="C1443" s="463"/>
    </row>
    <row r="1444" spans="2:3" x14ac:dyDescent="0.25">
      <c r="B1444" s="463"/>
      <c r="C1444" s="463"/>
    </row>
    <row r="1445" spans="2:3" x14ac:dyDescent="0.25">
      <c r="B1445" s="463"/>
      <c r="C1445" s="463"/>
    </row>
    <row r="1446" spans="2:3" x14ac:dyDescent="0.25">
      <c r="B1446" s="463"/>
      <c r="C1446" s="463"/>
    </row>
    <row r="1447" spans="2:3" x14ac:dyDescent="0.25">
      <c r="B1447" s="463"/>
      <c r="C1447" s="463"/>
    </row>
    <row r="1448" spans="2:3" x14ac:dyDescent="0.25">
      <c r="B1448" s="463"/>
      <c r="C1448" s="463"/>
    </row>
    <row r="1449" spans="2:3" x14ac:dyDescent="0.25">
      <c r="B1449" s="463"/>
      <c r="C1449" s="463"/>
    </row>
    <row r="1450" spans="2:3" x14ac:dyDescent="0.25">
      <c r="B1450" s="463"/>
      <c r="C1450" s="463"/>
    </row>
    <row r="1451" spans="2:3" x14ac:dyDescent="0.25">
      <c r="B1451" s="463"/>
      <c r="C1451" s="463"/>
    </row>
    <row r="1452" spans="2:3" x14ac:dyDescent="0.25">
      <c r="B1452" s="463"/>
      <c r="C1452" s="463"/>
    </row>
    <row r="1453" spans="2:3" x14ac:dyDescent="0.25">
      <c r="B1453" s="463"/>
      <c r="C1453" s="463"/>
    </row>
    <row r="1454" spans="2:3" x14ac:dyDescent="0.25">
      <c r="B1454" s="463"/>
      <c r="C1454" s="463"/>
    </row>
    <row r="1455" spans="2:3" x14ac:dyDescent="0.25">
      <c r="B1455" s="463"/>
      <c r="C1455" s="463"/>
    </row>
    <row r="1456" spans="2:3" x14ac:dyDescent="0.25">
      <c r="B1456" s="463"/>
      <c r="C1456" s="463"/>
    </row>
    <row r="1457" spans="2:3" x14ac:dyDescent="0.25">
      <c r="B1457" s="463"/>
      <c r="C1457" s="463"/>
    </row>
    <row r="1458" spans="2:3" x14ac:dyDescent="0.25">
      <c r="B1458" s="463"/>
      <c r="C1458" s="463"/>
    </row>
    <row r="1459" spans="2:3" x14ac:dyDescent="0.25">
      <c r="B1459" s="463"/>
      <c r="C1459" s="463"/>
    </row>
    <row r="1460" spans="2:3" x14ac:dyDescent="0.25">
      <c r="B1460" s="463"/>
      <c r="C1460" s="463"/>
    </row>
    <row r="1461" spans="2:3" x14ac:dyDescent="0.25">
      <c r="B1461" s="463"/>
      <c r="C1461" s="463"/>
    </row>
    <row r="1462" spans="2:3" x14ac:dyDescent="0.25">
      <c r="B1462" s="463"/>
      <c r="C1462" s="463"/>
    </row>
    <row r="1463" spans="2:3" x14ac:dyDescent="0.25">
      <c r="B1463" s="463"/>
      <c r="C1463" s="463"/>
    </row>
    <row r="1464" spans="2:3" x14ac:dyDescent="0.25">
      <c r="B1464" s="463"/>
      <c r="C1464" s="463"/>
    </row>
    <row r="1465" spans="2:3" x14ac:dyDescent="0.25">
      <c r="B1465" s="463"/>
      <c r="C1465" s="463"/>
    </row>
    <row r="1466" spans="2:3" x14ac:dyDescent="0.25">
      <c r="B1466" s="463"/>
      <c r="C1466" s="463"/>
    </row>
    <row r="1467" spans="2:3" x14ac:dyDescent="0.25">
      <c r="B1467" s="463"/>
      <c r="C1467" s="463"/>
    </row>
    <row r="1468" spans="2:3" x14ac:dyDescent="0.25">
      <c r="B1468" s="463"/>
      <c r="C1468" s="463"/>
    </row>
    <row r="1469" spans="2:3" x14ac:dyDescent="0.25">
      <c r="B1469" s="463"/>
      <c r="C1469" s="463"/>
    </row>
    <row r="1470" spans="2:3" x14ac:dyDescent="0.25">
      <c r="B1470" s="463"/>
      <c r="C1470" s="463"/>
    </row>
    <row r="1471" spans="2:3" x14ac:dyDescent="0.25">
      <c r="B1471" s="463"/>
      <c r="C1471" s="463"/>
    </row>
    <row r="1472" spans="2:3" x14ac:dyDescent="0.25">
      <c r="B1472" s="463"/>
      <c r="C1472" s="463"/>
    </row>
    <row r="1473" spans="2:3" x14ac:dyDescent="0.25">
      <c r="B1473" s="463"/>
      <c r="C1473" s="463"/>
    </row>
    <row r="1474" spans="2:3" x14ac:dyDescent="0.25">
      <c r="B1474" s="463"/>
      <c r="C1474" s="463"/>
    </row>
    <row r="1475" spans="2:3" x14ac:dyDescent="0.25">
      <c r="B1475" s="463"/>
      <c r="C1475" s="463"/>
    </row>
    <row r="1476" spans="2:3" x14ac:dyDescent="0.25">
      <c r="B1476" s="463"/>
      <c r="C1476" s="463"/>
    </row>
    <row r="1477" spans="2:3" x14ac:dyDescent="0.25">
      <c r="B1477" s="463"/>
      <c r="C1477" s="463"/>
    </row>
    <row r="1478" spans="2:3" x14ac:dyDescent="0.25">
      <c r="B1478" s="463"/>
      <c r="C1478" s="463"/>
    </row>
    <row r="1479" spans="2:3" x14ac:dyDescent="0.25">
      <c r="B1479" s="463"/>
      <c r="C1479" s="463"/>
    </row>
    <row r="1480" spans="2:3" x14ac:dyDescent="0.25">
      <c r="B1480" s="463"/>
      <c r="C1480" s="463"/>
    </row>
    <row r="1481" spans="2:3" x14ac:dyDescent="0.25">
      <c r="B1481" s="463"/>
      <c r="C1481" s="463"/>
    </row>
    <row r="1482" spans="2:3" x14ac:dyDescent="0.25">
      <c r="B1482" s="463"/>
      <c r="C1482" s="463"/>
    </row>
    <row r="1483" spans="2:3" x14ac:dyDescent="0.25">
      <c r="B1483" s="463"/>
      <c r="C1483" s="463"/>
    </row>
    <row r="1484" spans="2:3" x14ac:dyDescent="0.25">
      <c r="B1484" s="463"/>
      <c r="C1484" s="463"/>
    </row>
    <row r="1485" spans="2:3" x14ac:dyDescent="0.25">
      <c r="B1485" s="463"/>
      <c r="C1485" s="463"/>
    </row>
    <row r="1486" spans="2:3" x14ac:dyDescent="0.25">
      <c r="B1486" s="463"/>
      <c r="C1486" s="463"/>
    </row>
    <row r="1487" spans="2:3" x14ac:dyDescent="0.25">
      <c r="B1487" s="463"/>
      <c r="C1487" s="463"/>
    </row>
    <row r="1488" spans="2:3" x14ac:dyDescent="0.25">
      <c r="B1488" s="463"/>
      <c r="C1488" s="463"/>
    </row>
    <row r="1489" spans="2:3" x14ac:dyDescent="0.25">
      <c r="B1489" s="463"/>
      <c r="C1489" s="463"/>
    </row>
    <row r="1490" spans="2:3" x14ac:dyDescent="0.25">
      <c r="B1490" s="463"/>
      <c r="C1490" s="463"/>
    </row>
    <row r="1491" spans="2:3" x14ac:dyDescent="0.25">
      <c r="B1491" s="463"/>
      <c r="C1491" s="463"/>
    </row>
    <row r="1492" spans="2:3" x14ac:dyDescent="0.25">
      <c r="B1492" s="463"/>
      <c r="C1492" s="463"/>
    </row>
    <row r="1493" spans="2:3" x14ac:dyDescent="0.25">
      <c r="B1493" s="463"/>
      <c r="C1493" s="463"/>
    </row>
    <row r="1494" spans="2:3" x14ac:dyDescent="0.25">
      <c r="B1494" s="463"/>
      <c r="C1494" s="463"/>
    </row>
    <row r="1495" spans="2:3" x14ac:dyDescent="0.25">
      <c r="B1495" s="463"/>
      <c r="C1495" s="463"/>
    </row>
    <row r="1496" spans="2:3" x14ac:dyDescent="0.25">
      <c r="B1496" s="463"/>
      <c r="C1496" s="463"/>
    </row>
    <row r="1497" spans="2:3" x14ac:dyDescent="0.25">
      <c r="B1497" s="463"/>
      <c r="C1497" s="463"/>
    </row>
    <row r="1498" spans="2:3" x14ac:dyDescent="0.25">
      <c r="B1498" s="463"/>
      <c r="C1498" s="463"/>
    </row>
    <row r="1499" spans="2:3" x14ac:dyDescent="0.25">
      <c r="B1499" s="463"/>
      <c r="C1499" s="463"/>
    </row>
    <row r="1500" spans="2:3" x14ac:dyDescent="0.25">
      <c r="B1500" s="463"/>
      <c r="C1500" s="463"/>
    </row>
    <row r="1501" spans="2:3" x14ac:dyDescent="0.25">
      <c r="B1501" s="463"/>
      <c r="C1501" s="463"/>
    </row>
    <row r="1502" spans="2:3" x14ac:dyDescent="0.25">
      <c r="B1502" s="463"/>
      <c r="C1502" s="463"/>
    </row>
    <row r="1503" spans="2:3" x14ac:dyDescent="0.25">
      <c r="B1503" s="463"/>
      <c r="C1503" s="463"/>
    </row>
    <row r="1504" spans="2:3" x14ac:dyDescent="0.25">
      <c r="B1504" s="463"/>
      <c r="C1504" s="463"/>
    </row>
    <row r="1505" spans="2:3" x14ac:dyDescent="0.25">
      <c r="B1505" s="463"/>
      <c r="C1505" s="463"/>
    </row>
    <row r="1506" spans="2:3" x14ac:dyDescent="0.25">
      <c r="B1506" s="463"/>
      <c r="C1506" s="463"/>
    </row>
    <row r="1507" spans="2:3" x14ac:dyDescent="0.25">
      <c r="B1507" s="463"/>
      <c r="C1507" s="463"/>
    </row>
    <row r="1508" spans="2:3" x14ac:dyDescent="0.25">
      <c r="B1508" s="463"/>
      <c r="C1508" s="463"/>
    </row>
    <row r="1509" spans="2:3" x14ac:dyDescent="0.25">
      <c r="B1509" s="463"/>
      <c r="C1509" s="463"/>
    </row>
    <row r="1510" spans="2:3" x14ac:dyDescent="0.25">
      <c r="B1510" s="463"/>
      <c r="C1510" s="463"/>
    </row>
    <row r="1511" spans="2:3" x14ac:dyDescent="0.25">
      <c r="B1511" s="463"/>
      <c r="C1511" s="463"/>
    </row>
    <row r="1512" spans="2:3" x14ac:dyDescent="0.25">
      <c r="B1512" s="463"/>
      <c r="C1512" s="463"/>
    </row>
    <row r="1513" spans="2:3" x14ac:dyDescent="0.25">
      <c r="B1513" s="463"/>
      <c r="C1513" s="463"/>
    </row>
    <row r="1514" spans="2:3" x14ac:dyDescent="0.25">
      <c r="B1514" s="463"/>
      <c r="C1514" s="463"/>
    </row>
    <row r="1515" spans="2:3" x14ac:dyDescent="0.25">
      <c r="B1515" s="463"/>
      <c r="C1515" s="463"/>
    </row>
    <row r="1516" spans="2:3" x14ac:dyDescent="0.25">
      <c r="B1516" s="463"/>
      <c r="C1516" s="463"/>
    </row>
    <row r="1517" spans="2:3" x14ac:dyDescent="0.25">
      <c r="B1517" s="463"/>
      <c r="C1517" s="463"/>
    </row>
    <row r="1518" spans="2:3" x14ac:dyDescent="0.25">
      <c r="B1518" s="463"/>
      <c r="C1518" s="463"/>
    </row>
    <row r="1519" spans="2:3" x14ac:dyDescent="0.25">
      <c r="B1519" s="463"/>
      <c r="C1519" s="463"/>
    </row>
    <row r="1520" spans="2:3" x14ac:dyDescent="0.25">
      <c r="B1520" s="463"/>
      <c r="C1520" s="463"/>
    </row>
    <row r="1521" spans="2:3" x14ac:dyDescent="0.25">
      <c r="B1521" s="463"/>
      <c r="C1521" s="463"/>
    </row>
    <row r="1522" spans="2:3" x14ac:dyDescent="0.25">
      <c r="B1522" s="463"/>
      <c r="C1522" s="463"/>
    </row>
    <row r="1523" spans="2:3" x14ac:dyDescent="0.25">
      <c r="B1523" s="463"/>
      <c r="C1523" s="463"/>
    </row>
    <row r="1524" spans="2:3" x14ac:dyDescent="0.25">
      <c r="B1524" s="463"/>
      <c r="C1524" s="463"/>
    </row>
    <row r="1525" spans="2:3" x14ac:dyDescent="0.25">
      <c r="B1525" s="463"/>
      <c r="C1525" s="463"/>
    </row>
    <row r="1526" spans="2:3" x14ac:dyDescent="0.25">
      <c r="B1526" s="463"/>
      <c r="C1526" s="463"/>
    </row>
    <row r="1527" spans="2:3" x14ac:dyDescent="0.25">
      <c r="B1527" s="463"/>
      <c r="C1527" s="463"/>
    </row>
    <row r="1528" spans="2:3" x14ac:dyDescent="0.25">
      <c r="B1528" s="463"/>
      <c r="C1528" s="463"/>
    </row>
    <row r="1529" spans="2:3" x14ac:dyDescent="0.25">
      <c r="B1529" s="463"/>
      <c r="C1529" s="463"/>
    </row>
    <row r="1530" spans="2:3" x14ac:dyDescent="0.25">
      <c r="B1530" s="463"/>
      <c r="C1530" s="463"/>
    </row>
    <row r="1531" spans="2:3" x14ac:dyDescent="0.25">
      <c r="B1531" s="463"/>
      <c r="C1531" s="463"/>
    </row>
    <row r="1532" spans="2:3" x14ac:dyDescent="0.25">
      <c r="B1532" s="463"/>
      <c r="C1532" s="463"/>
    </row>
    <row r="1533" spans="2:3" x14ac:dyDescent="0.25">
      <c r="B1533" s="463"/>
      <c r="C1533" s="463"/>
    </row>
    <row r="1534" spans="2:3" x14ac:dyDescent="0.25">
      <c r="B1534" s="463"/>
      <c r="C1534" s="463"/>
    </row>
    <row r="1535" spans="2:3" x14ac:dyDescent="0.25">
      <c r="B1535" s="463"/>
      <c r="C1535" s="463"/>
    </row>
    <row r="1536" spans="2:3" x14ac:dyDescent="0.25">
      <c r="B1536" s="463"/>
      <c r="C1536" s="463"/>
    </row>
    <row r="1537" spans="2:3" x14ac:dyDescent="0.25">
      <c r="B1537" s="463"/>
      <c r="C1537" s="463"/>
    </row>
    <row r="1538" spans="2:3" x14ac:dyDescent="0.25">
      <c r="B1538" s="463"/>
      <c r="C1538" s="463"/>
    </row>
    <row r="1539" spans="2:3" x14ac:dyDescent="0.25">
      <c r="B1539" s="463"/>
      <c r="C1539" s="463"/>
    </row>
    <row r="1540" spans="2:3" x14ac:dyDescent="0.25">
      <c r="B1540" s="463"/>
      <c r="C1540" s="463"/>
    </row>
    <row r="1541" spans="2:3" x14ac:dyDescent="0.25">
      <c r="B1541" s="463"/>
      <c r="C1541" s="463"/>
    </row>
    <row r="1542" spans="2:3" x14ac:dyDescent="0.25">
      <c r="B1542" s="463"/>
      <c r="C1542" s="463"/>
    </row>
    <row r="1543" spans="2:3" x14ac:dyDescent="0.25">
      <c r="B1543" s="463"/>
      <c r="C1543" s="463"/>
    </row>
    <row r="1544" spans="2:3" x14ac:dyDescent="0.25">
      <c r="B1544" s="463"/>
      <c r="C1544" s="463"/>
    </row>
    <row r="1545" spans="2:3" x14ac:dyDescent="0.25">
      <c r="B1545" s="463"/>
      <c r="C1545" s="463"/>
    </row>
    <row r="1546" spans="2:3" x14ac:dyDescent="0.25">
      <c r="B1546" s="463"/>
      <c r="C1546" s="463"/>
    </row>
    <row r="1547" spans="2:3" x14ac:dyDescent="0.25">
      <c r="B1547" s="463"/>
      <c r="C1547" s="463"/>
    </row>
    <row r="1548" spans="2:3" x14ac:dyDescent="0.25">
      <c r="B1548" s="463"/>
      <c r="C1548" s="463"/>
    </row>
    <row r="1549" spans="2:3" x14ac:dyDescent="0.25">
      <c r="B1549" s="463"/>
      <c r="C1549" s="463"/>
    </row>
    <row r="1550" spans="2:3" x14ac:dyDescent="0.25">
      <c r="B1550" s="463"/>
      <c r="C1550" s="463"/>
    </row>
    <row r="1551" spans="2:3" x14ac:dyDescent="0.25">
      <c r="B1551" s="463"/>
      <c r="C1551" s="463"/>
    </row>
    <row r="1552" spans="2:3" x14ac:dyDescent="0.25">
      <c r="B1552" s="463"/>
      <c r="C1552" s="463"/>
    </row>
    <row r="1553" spans="2:3" x14ac:dyDescent="0.25">
      <c r="B1553" s="463"/>
      <c r="C1553" s="463"/>
    </row>
    <row r="1554" spans="2:3" x14ac:dyDescent="0.25">
      <c r="B1554" s="463"/>
      <c r="C1554" s="463"/>
    </row>
    <row r="1555" spans="2:3" x14ac:dyDescent="0.25">
      <c r="B1555" s="463"/>
      <c r="C1555" s="463"/>
    </row>
    <row r="1556" spans="2:3" x14ac:dyDescent="0.25">
      <c r="B1556" s="463"/>
      <c r="C1556" s="463"/>
    </row>
    <row r="1557" spans="2:3" x14ac:dyDescent="0.25">
      <c r="B1557" s="463"/>
      <c r="C1557" s="463"/>
    </row>
    <row r="1558" spans="2:3" x14ac:dyDescent="0.25">
      <c r="B1558" s="463"/>
      <c r="C1558" s="463"/>
    </row>
    <row r="1559" spans="2:3" x14ac:dyDescent="0.25">
      <c r="B1559" s="463"/>
      <c r="C1559" s="463"/>
    </row>
    <row r="1560" spans="2:3" x14ac:dyDescent="0.25">
      <c r="B1560" s="463"/>
      <c r="C1560" s="463"/>
    </row>
    <row r="1561" spans="2:3" x14ac:dyDescent="0.25">
      <c r="B1561" s="463"/>
      <c r="C1561" s="463"/>
    </row>
    <row r="1562" spans="2:3" x14ac:dyDescent="0.25">
      <c r="B1562" s="463"/>
      <c r="C1562" s="463"/>
    </row>
    <row r="1563" spans="2:3" x14ac:dyDescent="0.25">
      <c r="B1563" s="463"/>
      <c r="C1563" s="463"/>
    </row>
    <row r="1564" spans="2:3" x14ac:dyDescent="0.25">
      <c r="B1564" s="463"/>
      <c r="C1564" s="463"/>
    </row>
    <row r="1565" spans="2:3" x14ac:dyDescent="0.25">
      <c r="B1565" s="463"/>
      <c r="C1565" s="463"/>
    </row>
    <row r="1566" spans="2:3" x14ac:dyDescent="0.25">
      <c r="B1566" s="463"/>
      <c r="C1566" s="463"/>
    </row>
    <row r="1567" spans="2:3" x14ac:dyDescent="0.25">
      <c r="B1567" s="463"/>
      <c r="C1567" s="463"/>
    </row>
    <row r="1568" spans="2:3" x14ac:dyDescent="0.25">
      <c r="B1568" s="463"/>
      <c r="C1568" s="463"/>
    </row>
    <row r="1569" spans="2:3" x14ac:dyDescent="0.25">
      <c r="B1569" s="463"/>
      <c r="C1569" s="463"/>
    </row>
    <row r="1570" spans="2:3" x14ac:dyDescent="0.25">
      <c r="B1570" s="463"/>
      <c r="C1570" s="463"/>
    </row>
    <row r="1571" spans="2:3" x14ac:dyDescent="0.25">
      <c r="B1571" s="463"/>
      <c r="C1571" s="463"/>
    </row>
    <row r="1572" spans="2:3" x14ac:dyDescent="0.25">
      <c r="B1572" s="463"/>
      <c r="C1572" s="463"/>
    </row>
    <row r="1573" spans="2:3" x14ac:dyDescent="0.25">
      <c r="B1573" s="463"/>
      <c r="C1573" s="463"/>
    </row>
    <row r="1574" spans="2:3" x14ac:dyDescent="0.25">
      <c r="B1574" s="463"/>
      <c r="C1574" s="463"/>
    </row>
    <row r="1575" spans="2:3" x14ac:dyDescent="0.25">
      <c r="B1575" s="463"/>
      <c r="C1575" s="463"/>
    </row>
    <row r="1576" spans="2:3" x14ac:dyDescent="0.25">
      <c r="B1576" s="463"/>
      <c r="C1576" s="463"/>
    </row>
    <row r="1577" spans="2:3" x14ac:dyDescent="0.25">
      <c r="B1577" s="463"/>
      <c r="C1577" s="463"/>
    </row>
    <row r="1578" spans="2:3" x14ac:dyDescent="0.25">
      <c r="B1578" s="463"/>
      <c r="C1578" s="463"/>
    </row>
    <row r="1579" spans="2:3" x14ac:dyDescent="0.25">
      <c r="B1579" s="463"/>
      <c r="C1579" s="463"/>
    </row>
    <row r="1580" spans="2:3" x14ac:dyDescent="0.25">
      <c r="B1580" s="463"/>
      <c r="C1580" s="463"/>
    </row>
    <row r="1581" spans="2:3" x14ac:dyDescent="0.25">
      <c r="B1581" s="463"/>
      <c r="C1581" s="463"/>
    </row>
    <row r="1582" spans="2:3" x14ac:dyDescent="0.25">
      <c r="B1582" s="463"/>
      <c r="C1582" s="463"/>
    </row>
    <row r="1583" spans="2:3" x14ac:dyDescent="0.25">
      <c r="B1583" s="463"/>
      <c r="C1583" s="463"/>
    </row>
    <row r="1584" spans="2:3" x14ac:dyDescent="0.25">
      <c r="B1584" s="463"/>
      <c r="C1584" s="463"/>
    </row>
    <row r="1585" spans="2:3" x14ac:dyDescent="0.25">
      <c r="B1585" s="463"/>
      <c r="C1585" s="463"/>
    </row>
    <row r="1586" spans="2:3" x14ac:dyDescent="0.25">
      <c r="B1586" s="463"/>
      <c r="C1586" s="463"/>
    </row>
    <row r="1587" spans="2:3" x14ac:dyDescent="0.25">
      <c r="B1587" s="463"/>
      <c r="C1587" s="463"/>
    </row>
    <row r="1588" spans="2:3" x14ac:dyDescent="0.25">
      <c r="B1588" s="463"/>
      <c r="C1588" s="463"/>
    </row>
    <row r="1589" spans="2:3" x14ac:dyDescent="0.25">
      <c r="B1589" s="463"/>
      <c r="C1589" s="463"/>
    </row>
    <row r="1590" spans="2:3" x14ac:dyDescent="0.25">
      <c r="B1590" s="463"/>
      <c r="C1590" s="463"/>
    </row>
    <row r="1591" spans="2:3" x14ac:dyDescent="0.25">
      <c r="B1591" s="463"/>
      <c r="C1591" s="463"/>
    </row>
    <row r="1592" spans="2:3" x14ac:dyDescent="0.25">
      <c r="B1592" s="463"/>
      <c r="C1592" s="463"/>
    </row>
    <row r="1593" spans="2:3" x14ac:dyDescent="0.25">
      <c r="B1593" s="463"/>
      <c r="C1593" s="463"/>
    </row>
    <row r="1594" spans="2:3" x14ac:dyDescent="0.25">
      <c r="B1594" s="463"/>
      <c r="C1594" s="463"/>
    </row>
    <row r="1595" spans="2:3" x14ac:dyDescent="0.25">
      <c r="B1595" s="463"/>
      <c r="C1595" s="463"/>
    </row>
    <row r="1596" spans="2:3" x14ac:dyDescent="0.25">
      <c r="B1596" s="463"/>
      <c r="C1596" s="463"/>
    </row>
    <row r="1597" spans="2:3" x14ac:dyDescent="0.25">
      <c r="B1597" s="463"/>
      <c r="C1597" s="463"/>
    </row>
    <row r="1598" spans="2:3" x14ac:dyDescent="0.25">
      <c r="B1598" s="463"/>
      <c r="C1598" s="463"/>
    </row>
    <row r="1599" spans="2:3" x14ac:dyDescent="0.25">
      <c r="B1599" s="463"/>
      <c r="C1599" s="463"/>
    </row>
    <row r="1600" spans="2:3" x14ac:dyDescent="0.25">
      <c r="B1600" s="463"/>
      <c r="C1600" s="463"/>
    </row>
    <row r="1601" spans="2:3" x14ac:dyDescent="0.25">
      <c r="B1601" s="463"/>
      <c r="C1601" s="463"/>
    </row>
    <row r="1602" spans="2:3" x14ac:dyDescent="0.25">
      <c r="B1602" s="463"/>
      <c r="C1602" s="463"/>
    </row>
    <row r="1603" spans="2:3" x14ac:dyDescent="0.25">
      <c r="B1603" s="463"/>
      <c r="C1603" s="463"/>
    </row>
    <row r="1604" spans="2:3" x14ac:dyDescent="0.25">
      <c r="B1604" s="463"/>
      <c r="C1604" s="463"/>
    </row>
    <row r="1605" spans="2:3" x14ac:dyDescent="0.25">
      <c r="B1605" s="463"/>
      <c r="C1605" s="463"/>
    </row>
    <row r="1606" spans="2:3" x14ac:dyDescent="0.25">
      <c r="B1606" s="463"/>
      <c r="C1606" s="463"/>
    </row>
    <row r="1607" spans="2:3" x14ac:dyDescent="0.25">
      <c r="B1607" s="463"/>
      <c r="C1607" s="463"/>
    </row>
    <row r="1608" spans="2:3" x14ac:dyDescent="0.25">
      <c r="B1608" s="463"/>
      <c r="C1608" s="463"/>
    </row>
    <row r="1609" spans="2:3" x14ac:dyDescent="0.25">
      <c r="B1609" s="463"/>
      <c r="C1609" s="463"/>
    </row>
    <row r="1610" spans="2:3" x14ac:dyDescent="0.25">
      <c r="B1610" s="463"/>
      <c r="C1610" s="463"/>
    </row>
    <row r="1611" spans="2:3" x14ac:dyDescent="0.25">
      <c r="B1611" s="463"/>
      <c r="C1611" s="463"/>
    </row>
    <row r="1612" spans="2:3" x14ac:dyDescent="0.25">
      <c r="B1612" s="463"/>
      <c r="C1612" s="463"/>
    </row>
    <row r="1613" spans="2:3" x14ac:dyDescent="0.25">
      <c r="B1613" s="463"/>
      <c r="C1613" s="463"/>
    </row>
    <row r="1614" spans="2:3" x14ac:dyDescent="0.25">
      <c r="B1614" s="463"/>
      <c r="C1614" s="463"/>
    </row>
    <row r="1615" spans="2:3" x14ac:dyDescent="0.25">
      <c r="B1615" s="463"/>
      <c r="C1615" s="463"/>
    </row>
    <row r="1616" spans="2:3" x14ac:dyDescent="0.25">
      <c r="B1616" s="463"/>
      <c r="C1616" s="463"/>
    </row>
    <row r="1617" spans="2:3" x14ac:dyDescent="0.25">
      <c r="B1617" s="463"/>
      <c r="C1617" s="463"/>
    </row>
    <row r="1618" spans="2:3" x14ac:dyDescent="0.25">
      <c r="B1618" s="463"/>
      <c r="C1618" s="463"/>
    </row>
    <row r="1619" spans="2:3" x14ac:dyDescent="0.25">
      <c r="B1619" s="463"/>
      <c r="C1619" s="463"/>
    </row>
    <row r="1620" spans="2:3" x14ac:dyDescent="0.25">
      <c r="B1620" s="463"/>
      <c r="C1620" s="463"/>
    </row>
    <row r="1621" spans="2:3" x14ac:dyDescent="0.25">
      <c r="B1621" s="463"/>
      <c r="C1621" s="463"/>
    </row>
    <row r="1622" spans="2:3" x14ac:dyDescent="0.25">
      <c r="B1622" s="463"/>
      <c r="C1622" s="463"/>
    </row>
    <row r="1623" spans="2:3" x14ac:dyDescent="0.25">
      <c r="B1623" s="463"/>
      <c r="C1623" s="463"/>
    </row>
    <row r="1624" spans="2:3" x14ac:dyDescent="0.25">
      <c r="B1624" s="463"/>
      <c r="C1624" s="463"/>
    </row>
    <row r="1625" spans="2:3" x14ac:dyDescent="0.25">
      <c r="B1625" s="463"/>
      <c r="C1625" s="463"/>
    </row>
    <row r="1626" spans="2:3" x14ac:dyDescent="0.25">
      <c r="B1626" s="463"/>
      <c r="C1626" s="463"/>
    </row>
    <row r="1627" spans="2:3" x14ac:dyDescent="0.25">
      <c r="B1627" s="463"/>
      <c r="C1627" s="463"/>
    </row>
    <row r="1628" spans="2:3" x14ac:dyDescent="0.25">
      <c r="B1628" s="463"/>
      <c r="C1628" s="463"/>
    </row>
    <row r="1629" spans="2:3" x14ac:dyDescent="0.25">
      <c r="B1629" s="463"/>
      <c r="C1629" s="463"/>
    </row>
    <row r="1630" spans="2:3" x14ac:dyDescent="0.25">
      <c r="B1630" s="463"/>
      <c r="C1630" s="463"/>
    </row>
    <row r="1631" spans="2:3" x14ac:dyDescent="0.25">
      <c r="B1631" s="463"/>
      <c r="C1631" s="463"/>
    </row>
    <row r="1632" spans="2:3" x14ac:dyDescent="0.25">
      <c r="B1632" s="463"/>
      <c r="C1632" s="463"/>
    </row>
    <row r="1633" spans="2:3" x14ac:dyDescent="0.25">
      <c r="B1633" s="463"/>
      <c r="C1633" s="463"/>
    </row>
    <row r="1634" spans="2:3" x14ac:dyDescent="0.25">
      <c r="B1634" s="463"/>
      <c r="C1634" s="463"/>
    </row>
    <row r="1635" spans="2:3" x14ac:dyDescent="0.25">
      <c r="B1635" s="463"/>
      <c r="C1635" s="463"/>
    </row>
    <row r="1636" spans="2:3" x14ac:dyDescent="0.25">
      <c r="B1636" s="463"/>
      <c r="C1636" s="463"/>
    </row>
    <row r="1637" spans="2:3" x14ac:dyDescent="0.25">
      <c r="B1637" s="463"/>
      <c r="C1637" s="463"/>
    </row>
    <row r="1638" spans="2:3" x14ac:dyDescent="0.25">
      <c r="B1638" s="463"/>
      <c r="C1638" s="463"/>
    </row>
    <row r="1639" spans="2:3" x14ac:dyDescent="0.25">
      <c r="B1639" s="463"/>
      <c r="C1639" s="463"/>
    </row>
    <row r="1640" spans="2:3" x14ac:dyDescent="0.25">
      <c r="B1640" s="463"/>
      <c r="C1640" s="463"/>
    </row>
    <row r="1641" spans="2:3" x14ac:dyDescent="0.25">
      <c r="B1641" s="463"/>
      <c r="C1641" s="463"/>
    </row>
    <row r="1642" spans="2:3" x14ac:dyDescent="0.25">
      <c r="B1642" s="463"/>
      <c r="C1642" s="463"/>
    </row>
    <row r="1643" spans="2:3" x14ac:dyDescent="0.25">
      <c r="B1643" s="463"/>
      <c r="C1643" s="463"/>
    </row>
    <row r="1644" spans="2:3" x14ac:dyDescent="0.25">
      <c r="B1644" s="463"/>
      <c r="C1644" s="463"/>
    </row>
    <row r="1645" spans="2:3" x14ac:dyDescent="0.25">
      <c r="B1645" s="463"/>
      <c r="C1645" s="463"/>
    </row>
    <row r="1646" spans="2:3" x14ac:dyDescent="0.25">
      <c r="B1646" s="463"/>
      <c r="C1646" s="463"/>
    </row>
    <row r="1647" spans="2:3" x14ac:dyDescent="0.25">
      <c r="B1647" s="463"/>
      <c r="C1647" s="463"/>
    </row>
    <row r="1648" spans="2:3" x14ac:dyDescent="0.25">
      <c r="B1648" s="463"/>
      <c r="C1648" s="463"/>
    </row>
    <row r="1649" spans="2:3" x14ac:dyDescent="0.25">
      <c r="B1649" s="463"/>
      <c r="C1649" s="463"/>
    </row>
    <row r="1650" spans="2:3" x14ac:dyDescent="0.25">
      <c r="B1650" s="463"/>
      <c r="C1650" s="463"/>
    </row>
    <row r="1651" spans="2:3" x14ac:dyDescent="0.25">
      <c r="B1651" s="463"/>
      <c r="C1651" s="463"/>
    </row>
    <row r="1652" spans="2:3" x14ac:dyDescent="0.25">
      <c r="B1652" s="463"/>
      <c r="C1652" s="463"/>
    </row>
    <row r="1653" spans="2:3" x14ac:dyDescent="0.25">
      <c r="B1653" s="463"/>
      <c r="C1653" s="463"/>
    </row>
    <row r="1654" spans="2:3" x14ac:dyDescent="0.25">
      <c r="B1654" s="463"/>
      <c r="C1654" s="463"/>
    </row>
    <row r="1655" spans="2:3" x14ac:dyDescent="0.25">
      <c r="B1655" s="463"/>
      <c r="C1655" s="463"/>
    </row>
    <row r="1656" spans="2:3" x14ac:dyDescent="0.25">
      <c r="B1656" s="463"/>
      <c r="C1656" s="463"/>
    </row>
    <row r="1657" spans="2:3" x14ac:dyDescent="0.25">
      <c r="B1657" s="463"/>
      <c r="C1657" s="463"/>
    </row>
    <row r="1658" spans="2:3" x14ac:dyDescent="0.25">
      <c r="B1658" s="463"/>
      <c r="C1658" s="463"/>
    </row>
    <row r="1659" spans="2:3" x14ac:dyDescent="0.25">
      <c r="B1659" s="463"/>
      <c r="C1659" s="463"/>
    </row>
    <row r="1660" spans="2:3" x14ac:dyDescent="0.25">
      <c r="B1660" s="463"/>
      <c r="C1660" s="463"/>
    </row>
    <row r="1661" spans="2:3" x14ac:dyDescent="0.25">
      <c r="B1661" s="463"/>
      <c r="C1661" s="463"/>
    </row>
    <row r="1662" spans="2:3" x14ac:dyDescent="0.25">
      <c r="B1662" s="463"/>
      <c r="C1662" s="463"/>
    </row>
    <row r="1663" spans="2:3" x14ac:dyDescent="0.25">
      <c r="B1663" s="463"/>
      <c r="C1663" s="463"/>
    </row>
    <row r="1664" spans="2:3" x14ac:dyDescent="0.25">
      <c r="B1664" s="463"/>
      <c r="C1664" s="463"/>
    </row>
    <row r="1665" spans="2:3" x14ac:dyDescent="0.25">
      <c r="B1665" s="463"/>
      <c r="C1665" s="463"/>
    </row>
    <row r="1666" spans="2:3" x14ac:dyDescent="0.25">
      <c r="B1666" s="463"/>
      <c r="C1666" s="463"/>
    </row>
    <row r="1667" spans="2:3" x14ac:dyDescent="0.25">
      <c r="B1667" s="463"/>
      <c r="C1667" s="463"/>
    </row>
    <row r="1668" spans="2:3" x14ac:dyDescent="0.25">
      <c r="B1668" s="463"/>
      <c r="C1668" s="463"/>
    </row>
    <row r="1669" spans="2:3" x14ac:dyDescent="0.25">
      <c r="B1669" s="463"/>
      <c r="C1669" s="463"/>
    </row>
    <row r="1670" spans="2:3" x14ac:dyDescent="0.25">
      <c r="B1670" s="463"/>
      <c r="C1670" s="463"/>
    </row>
    <row r="1671" spans="2:3" x14ac:dyDescent="0.25">
      <c r="B1671" s="463"/>
      <c r="C1671" s="463"/>
    </row>
    <row r="1672" spans="2:3" x14ac:dyDescent="0.25">
      <c r="B1672" s="463"/>
      <c r="C1672" s="463"/>
    </row>
    <row r="1673" spans="2:3" x14ac:dyDescent="0.25">
      <c r="B1673" s="463"/>
      <c r="C1673" s="463"/>
    </row>
    <row r="1674" spans="2:3" x14ac:dyDescent="0.25">
      <c r="B1674" s="463"/>
      <c r="C1674" s="463"/>
    </row>
    <row r="1675" spans="2:3" x14ac:dyDescent="0.25">
      <c r="B1675" s="463"/>
      <c r="C1675" s="463"/>
    </row>
    <row r="1676" spans="2:3" x14ac:dyDescent="0.25">
      <c r="B1676" s="463"/>
      <c r="C1676" s="463"/>
    </row>
    <row r="1677" spans="2:3" x14ac:dyDescent="0.25">
      <c r="B1677" s="463"/>
      <c r="C1677" s="463"/>
    </row>
    <row r="1678" spans="2:3" x14ac:dyDescent="0.25">
      <c r="B1678" s="463"/>
      <c r="C1678" s="463"/>
    </row>
    <row r="1679" spans="2:3" x14ac:dyDescent="0.25">
      <c r="B1679" s="463"/>
      <c r="C1679" s="463"/>
    </row>
    <row r="1680" spans="2:3" x14ac:dyDescent="0.25">
      <c r="B1680" s="463"/>
      <c r="C1680" s="463"/>
    </row>
    <row r="1681" spans="2:3" x14ac:dyDescent="0.25">
      <c r="B1681" s="463"/>
      <c r="C1681" s="463"/>
    </row>
    <row r="1682" spans="2:3" x14ac:dyDescent="0.25">
      <c r="B1682" s="463"/>
      <c r="C1682" s="463"/>
    </row>
    <row r="1683" spans="2:3" x14ac:dyDescent="0.25">
      <c r="B1683" s="463"/>
      <c r="C1683" s="463"/>
    </row>
    <row r="1684" spans="2:3" x14ac:dyDescent="0.25">
      <c r="B1684" s="463"/>
      <c r="C1684" s="463"/>
    </row>
    <row r="1685" spans="2:3" x14ac:dyDescent="0.25">
      <c r="B1685" s="463"/>
      <c r="C1685" s="463"/>
    </row>
    <row r="1686" spans="2:3" x14ac:dyDescent="0.25">
      <c r="B1686" s="463"/>
      <c r="C1686" s="463"/>
    </row>
    <row r="1687" spans="2:3" x14ac:dyDescent="0.25">
      <c r="B1687" s="463"/>
      <c r="C1687" s="463"/>
    </row>
    <row r="1688" spans="2:3" x14ac:dyDescent="0.25">
      <c r="B1688" s="463"/>
      <c r="C1688" s="463"/>
    </row>
    <row r="1689" spans="2:3" x14ac:dyDescent="0.25">
      <c r="B1689" s="463"/>
      <c r="C1689" s="463"/>
    </row>
    <row r="1690" spans="2:3" x14ac:dyDescent="0.25">
      <c r="B1690" s="463"/>
      <c r="C1690" s="463"/>
    </row>
    <row r="1691" spans="2:3" x14ac:dyDescent="0.25">
      <c r="B1691" s="463"/>
      <c r="C1691" s="463"/>
    </row>
    <row r="1692" spans="2:3" x14ac:dyDescent="0.25">
      <c r="B1692" s="463"/>
      <c r="C1692" s="463"/>
    </row>
    <row r="1693" spans="2:3" x14ac:dyDescent="0.25">
      <c r="B1693" s="463"/>
      <c r="C1693" s="463"/>
    </row>
    <row r="1694" spans="2:3" x14ac:dyDescent="0.25">
      <c r="B1694" s="463"/>
      <c r="C1694" s="463"/>
    </row>
    <row r="1695" spans="2:3" x14ac:dyDescent="0.25">
      <c r="B1695" s="463"/>
      <c r="C1695" s="463"/>
    </row>
    <row r="1696" spans="2:3" x14ac:dyDescent="0.25">
      <c r="B1696" s="463"/>
      <c r="C1696" s="463"/>
    </row>
    <row r="1697" spans="2:3" x14ac:dyDescent="0.25">
      <c r="B1697" s="463"/>
      <c r="C1697" s="463"/>
    </row>
    <row r="1698" spans="2:3" x14ac:dyDescent="0.25">
      <c r="B1698" s="463"/>
      <c r="C1698" s="463"/>
    </row>
    <row r="1699" spans="2:3" x14ac:dyDescent="0.25">
      <c r="B1699" s="463"/>
      <c r="C1699" s="463"/>
    </row>
    <row r="1700" spans="2:3" x14ac:dyDescent="0.25">
      <c r="B1700" s="463"/>
      <c r="C1700" s="463"/>
    </row>
    <row r="1701" spans="2:3" x14ac:dyDescent="0.25">
      <c r="B1701" s="463"/>
      <c r="C1701" s="463"/>
    </row>
    <row r="1702" spans="2:3" x14ac:dyDescent="0.25">
      <c r="B1702" s="463"/>
      <c r="C1702" s="463"/>
    </row>
    <row r="1703" spans="2:3" x14ac:dyDescent="0.25">
      <c r="B1703" s="463"/>
      <c r="C1703" s="463"/>
    </row>
    <row r="1704" spans="2:3" x14ac:dyDescent="0.25">
      <c r="B1704" s="463"/>
      <c r="C1704" s="463"/>
    </row>
    <row r="1705" spans="2:3" x14ac:dyDescent="0.25">
      <c r="B1705" s="463"/>
      <c r="C1705" s="463"/>
    </row>
    <row r="1706" spans="2:3" x14ac:dyDescent="0.25">
      <c r="B1706" s="463"/>
      <c r="C1706" s="463"/>
    </row>
    <row r="1707" spans="2:3" x14ac:dyDescent="0.25">
      <c r="B1707" s="463"/>
      <c r="C1707" s="463"/>
    </row>
    <row r="1708" spans="2:3" x14ac:dyDescent="0.25">
      <c r="B1708" s="463"/>
      <c r="C1708" s="463"/>
    </row>
    <row r="1709" spans="2:3" x14ac:dyDescent="0.25">
      <c r="B1709" s="463"/>
      <c r="C1709" s="463"/>
    </row>
    <row r="1710" spans="2:3" x14ac:dyDescent="0.25">
      <c r="B1710" s="463"/>
      <c r="C1710" s="463"/>
    </row>
    <row r="1711" spans="2:3" x14ac:dyDescent="0.25">
      <c r="B1711" s="463"/>
      <c r="C1711" s="463"/>
    </row>
    <row r="1712" spans="2:3" x14ac:dyDescent="0.25">
      <c r="B1712" s="463"/>
      <c r="C1712" s="463"/>
    </row>
    <row r="1713" spans="2:3" x14ac:dyDescent="0.25">
      <c r="B1713" s="463"/>
      <c r="C1713" s="463"/>
    </row>
    <row r="1714" spans="2:3" x14ac:dyDescent="0.25">
      <c r="B1714" s="463"/>
      <c r="C1714" s="463"/>
    </row>
    <row r="1715" spans="2:3" x14ac:dyDescent="0.25">
      <c r="B1715" s="463"/>
      <c r="C1715" s="463"/>
    </row>
    <row r="1716" spans="2:3" x14ac:dyDescent="0.25">
      <c r="B1716" s="463"/>
      <c r="C1716" s="463"/>
    </row>
    <row r="1717" spans="2:3" x14ac:dyDescent="0.25">
      <c r="B1717" s="463"/>
      <c r="C1717" s="463"/>
    </row>
    <row r="1718" spans="2:3" x14ac:dyDescent="0.25">
      <c r="B1718" s="463"/>
      <c r="C1718" s="463"/>
    </row>
    <row r="1719" spans="2:3" x14ac:dyDescent="0.25">
      <c r="B1719" s="463"/>
      <c r="C1719" s="463"/>
    </row>
    <row r="1720" spans="2:3" x14ac:dyDescent="0.25">
      <c r="B1720" s="463"/>
      <c r="C1720" s="463"/>
    </row>
    <row r="1721" spans="2:3" x14ac:dyDescent="0.25">
      <c r="B1721" s="463"/>
      <c r="C1721" s="463"/>
    </row>
    <row r="1722" spans="2:3" x14ac:dyDescent="0.25">
      <c r="B1722" s="463"/>
      <c r="C1722" s="463"/>
    </row>
    <row r="1723" spans="2:3" x14ac:dyDescent="0.25">
      <c r="B1723" s="463"/>
      <c r="C1723" s="463"/>
    </row>
    <row r="1724" spans="2:3" x14ac:dyDescent="0.25">
      <c r="B1724" s="463"/>
      <c r="C1724" s="463"/>
    </row>
    <row r="1725" spans="2:3" x14ac:dyDescent="0.25">
      <c r="B1725" s="463"/>
      <c r="C1725" s="463"/>
    </row>
    <row r="1726" spans="2:3" x14ac:dyDescent="0.25">
      <c r="B1726" s="463"/>
      <c r="C1726" s="463"/>
    </row>
    <row r="1727" spans="2:3" x14ac:dyDescent="0.25">
      <c r="B1727" s="463"/>
      <c r="C1727" s="463"/>
    </row>
    <row r="1728" spans="2:3" x14ac:dyDescent="0.25">
      <c r="B1728" s="463"/>
      <c r="C1728" s="463"/>
    </row>
    <row r="1729" spans="2:3" x14ac:dyDescent="0.25">
      <c r="B1729" s="463"/>
      <c r="C1729" s="463"/>
    </row>
    <row r="1730" spans="2:3" x14ac:dyDescent="0.25">
      <c r="B1730" s="463"/>
      <c r="C1730" s="463"/>
    </row>
    <row r="1731" spans="2:3" x14ac:dyDescent="0.25">
      <c r="B1731" s="463"/>
      <c r="C1731" s="463"/>
    </row>
    <row r="1732" spans="2:3" x14ac:dyDescent="0.25">
      <c r="B1732" s="463"/>
      <c r="C1732" s="463"/>
    </row>
    <row r="1733" spans="2:3" x14ac:dyDescent="0.25">
      <c r="B1733" s="463"/>
      <c r="C1733" s="463"/>
    </row>
    <row r="1734" spans="2:3" x14ac:dyDescent="0.25">
      <c r="B1734" s="463"/>
      <c r="C1734" s="463"/>
    </row>
    <row r="1735" spans="2:3" x14ac:dyDescent="0.25">
      <c r="B1735" s="463"/>
      <c r="C1735" s="463"/>
    </row>
    <row r="1736" spans="2:3" x14ac:dyDescent="0.25">
      <c r="B1736" s="463"/>
      <c r="C1736" s="463"/>
    </row>
    <row r="1737" spans="2:3" x14ac:dyDescent="0.25">
      <c r="B1737" s="463"/>
      <c r="C1737" s="463"/>
    </row>
    <row r="1738" spans="2:3" x14ac:dyDescent="0.25">
      <c r="B1738" s="463"/>
      <c r="C1738" s="463"/>
    </row>
    <row r="1739" spans="2:3" x14ac:dyDescent="0.25">
      <c r="B1739" s="463"/>
      <c r="C1739" s="463"/>
    </row>
    <row r="1740" spans="2:3" x14ac:dyDescent="0.25">
      <c r="B1740" s="463"/>
      <c r="C1740" s="463"/>
    </row>
    <row r="1741" spans="2:3" x14ac:dyDescent="0.25">
      <c r="B1741" s="463"/>
      <c r="C1741" s="463"/>
    </row>
    <row r="1742" spans="2:3" x14ac:dyDescent="0.25">
      <c r="B1742" s="463"/>
      <c r="C1742" s="463"/>
    </row>
    <row r="1743" spans="2:3" x14ac:dyDescent="0.25">
      <c r="B1743" s="463"/>
      <c r="C1743" s="463"/>
    </row>
    <row r="1744" spans="2:3" x14ac:dyDescent="0.25">
      <c r="B1744" s="463"/>
      <c r="C1744" s="463"/>
    </row>
    <row r="1745" spans="2:3" x14ac:dyDescent="0.25">
      <c r="B1745" s="463"/>
      <c r="C1745" s="463"/>
    </row>
    <row r="1746" spans="2:3" x14ac:dyDescent="0.25">
      <c r="B1746" s="463"/>
      <c r="C1746" s="463"/>
    </row>
    <row r="1747" spans="2:3" x14ac:dyDescent="0.25">
      <c r="B1747" s="463"/>
      <c r="C1747" s="463"/>
    </row>
    <row r="1748" spans="2:3" x14ac:dyDescent="0.25">
      <c r="B1748" s="463"/>
      <c r="C1748" s="463"/>
    </row>
    <row r="1749" spans="2:3" x14ac:dyDescent="0.25">
      <c r="B1749" s="463"/>
      <c r="C1749" s="463"/>
    </row>
    <row r="1750" spans="2:3" x14ac:dyDescent="0.25">
      <c r="B1750" s="463"/>
      <c r="C1750" s="463"/>
    </row>
    <row r="1751" spans="2:3" x14ac:dyDescent="0.25">
      <c r="B1751" s="463"/>
      <c r="C1751" s="463"/>
    </row>
    <row r="1752" spans="2:3" x14ac:dyDescent="0.25">
      <c r="B1752" s="463"/>
      <c r="C1752" s="463"/>
    </row>
    <row r="1753" spans="2:3" x14ac:dyDescent="0.25">
      <c r="B1753" s="463"/>
      <c r="C1753" s="463"/>
    </row>
    <row r="1754" spans="2:3" x14ac:dyDescent="0.25">
      <c r="B1754" s="463"/>
      <c r="C1754" s="463"/>
    </row>
    <row r="1755" spans="2:3" x14ac:dyDescent="0.25">
      <c r="B1755" s="463"/>
      <c r="C1755" s="463"/>
    </row>
    <row r="1756" spans="2:3" x14ac:dyDescent="0.25">
      <c r="B1756" s="463"/>
      <c r="C1756" s="463"/>
    </row>
    <row r="1757" spans="2:3" x14ac:dyDescent="0.25">
      <c r="B1757" s="463"/>
      <c r="C1757" s="463"/>
    </row>
    <row r="1758" spans="2:3" x14ac:dyDescent="0.25">
      <c r="B1758" s="463"/>
      <c r="C1758" s="463"/>
    </row>
    <row r="1759" spans="2:3" x14ac:dyDescent="0.25">
      <c r="B1759" s="463"/>
      <c r="C1759" s="463"/>
    </row>
    <row r="1760" spans="2:3" x14ac:dyDescent="0.25">
      <c r="B1760" s="463"/>
      <c r="C1760" s="463"/>
    </row>
    <row r="1761" spans="2:3" x14ac:dyDescent="0.25">
      <c r="B1761" s="463"/>
      <c r="C1761" s="463"/>
    </row>
    <row r="1762" spans="2:3" x14ac:dyDescent="0.25">
      <c r="B1762" s="463"/>
      <c r="C1762" s="463"/>
    </row>
    <row r="1763" spans="2:3" x14ac:dyDescent="0.25">
      <c r="B1763" s="463"/>
      <c r="C1763" s="463"/>
    </row>
    <row r="1764" spans="2:3" x14ac:dyDescent="0.25">
      <c r="B1764" s="463"/>
      <c r="C1764" s="463"/>
    </row>
    <row r="1765" spans="2:3" x14ac:dyDescent="0.25">
      <c r="B1765" s="463"/>
      <c r="C1765" s="463"/>
    </row>
    <row r="1766" spans="2:3" x14ac:dyDescent="0.25">
      <c r="B1766" s="463"/>
      <c r="C1766" s="463"/>
    </row>
    <row r="1767" spans="2:3" x14ac:dyDescent="0.25">
      <c r="B1767" s="463"/>
      <c r="C1767" s="463"/>
    </row>
    <row r="1768" spans="2:3" x14ac:dyDescent="0.25">
      <c r="B1768" s="463"/>
      <c r="C1768" s="463"/>
    </row>
    <row r="1769" spans="2:3" x14ac:dyDescent="0.25">
      <c r="B1769" s="463"/>
      <c r="C1769" s="463"/>
    </row>
    <row r="1770" spans="2:3" x14ac:dyDescent="0.25">
      <c r="B1770" s="463"/>
      <c r="C1770" s="463"/>
    </row>
    <row r="1771" spans="2:3" x14ac:dyDescent="0.25">
      <c r="B1771" s="463"/>
      <c r="C1771" s="463"/>
    </row>
    <row r="1772" spans="2:3" x14ac:dyDescent="0.25">
      <c r="B1772" s="463"/>
      <c r="C1772" s="463"/>
    </row>
    <row r="1773" spans="2:3" x14ac:dyDescent="0.25">
      <c r="B1773" s="463"/>
      <c r="C1773" s="463"/>
    </row>
    <row r="1774" spans="2:3" x14ac:dyDescent="0.25">
      <c r="B1774" s="463"/>
      <c r="C1774" s="463"/>
    </row>
    <row r="1775" spans="2:3" x14ac:dyDescent="0.25">
      <c r="B1775" s="463"/>
      <c r="C1775" s="463"/>
    </row>
    <row r="1776" spans="2:3" x14ac:dyDescent="0.25">
      <c r="B1776" s="463"/>
      <c r="C1776" s="463"/>
    </row>
    <row r="1777" spans="2:3" x14ac:dyDescent="0.25">
      <c r="B1777" s="463"/>
      <c r="C1777" s="463"/>
    </row>
    <row r="1778" spans="2:3" x14ac:dyDescent="0.25">
      <c r="B1778" s="463"/>
      <c r="C1778" s="463"/>
    </row>
    <row r="1779" spans="2:3" x14ac:dyDescent="0.25">
      <c r="B1779" s="463"/>
      <c r="C1779" s="463"/>
    </row>
    <row r="1780" spans="2:3" x14ac:dyDescent="0.25">
      <c r="B1780" s="463"/>
      <c r="C1780" s="463"/>
    </row>
    <row r="1781" spans="2:3" x14ac:dyDescent="0.25">
      <c r="B1781" s="463"/>
      <c r="C1781" s="463"/>
    </row>
    <row r="1782" spans="2:3" x14ac:dyDescent="0.25">
      <c r="B1782" s="463"/>
      <c r="C1782" s="463"/>
    </row>
    <row r="1783" spans="2:3" x14ac:dyDescent="0.25">
      <c r="B1783" s="463"/>
      <c r="C1783" s="463"/>
    </row>
    <row r="1784" spans="2:3" x14ac:dyDescent="0.25">
      <c r="B1784" s="463"/>
      <c r="C1784" s="463"/>
    </row>
    <row r="1785" spans="2:3" x14ac:dyDescent="0.25">
      <c r="B1785" s="463"/>
      <c r="C1785" s="463"/>
    </row>
    <row r="1786" spans="2:3" x14ac:dyDescent="0.25">
      <c r="B1786" s="463"/>
      <c r="C1786" s="463"/>
    </row>
    <row r="1787" spans="2:3" x14ac:dyDescent="0.25">
      <c r="B1787" s="463"/>
      <c r="C1787" s="463"/>
    </row>
    <row r="1788" spans="2:3" x14ac:dyDescent="0.25">
      <c r="B1788" s="463"/>
      <c r="C1788" s="463"/>
    </row>
    <row r="1789" spans="2:3" x14ac:dyDescent="0.25">
      <c r="B1789" s="463"/>
      <c r="C1789" s="463"/>
    </row>
    <row r="1790" spans="2:3" x14ac:dyDescent="0.25">
      <c r="B1790" s="463"/>
      <c r="C1790" s="463"/>
    </row>
    <row r="1791" spans="2:3" x14ac:dyDescent="0.25">
      <c r="B1791" s="463"/>
      <c r="C1791" s="463"/>
    </row>
    <row r="1792" spans="2:3" x14ac:dyDescent="0.25">
      <c r="B1792" s="463"/>
      <c r="C1792" s="463"/>
    </row>
    <row r="1793" spans="2:3" x14ac:dyDescent="0.25">
      <c r="B1793" s="463"/>
      <c r="C1793" s="463"/>
    </row>
    <row r="1794" spans="2:3" x14ac:dyDescent="0.25">
      <c r="B1794" s="463"/>
      <c r="C1794" s="463"/>
    </row>
    <row r="1795" spans="2:3" x14ac:dyDescent="0.25">
      <c r="B1795" s="463"/>
      <c r="C1795" s="463"/>
    </row>
    <row r="1796" spans="2:3" x14ac:dyDescent="0.25">
      <c r="B1796" s="463"/>
      <c r="C1796" s="463"/>
    </row>
    <row r="1797" spans="2:3" x14ac:dyDescent="0.25">
      <c r="B1797" s="463"/>
      <c r="C1797" s="463"/>
    </row>
    <row r="1798" spans="2:3" x14ac:dyDescent="0.25">
      <c r="B1798" s="463"/>
      <c r="C1798" s="463"/>
    </row>
    <row r="1799" spans="2:3" x14ac:dyDescent="0.25">
      <c r="B1799" s="463"/>
      <c r="C1799" s="463"/>
    </row>
    <row r="1800" spans="2:3" x14ac:dyDescent="0.25">
      <c r="B1800" s="463"/>
      <c r="C1800" s="463"/>
    </row>
    <row r="1801" spans="2:3" x14ac:dyDescent="0.25">
      <c r="B1801" s="463"/>
      <c r="C1801" s="463"/>
    </row>
    <row r="1802" spans="2:3" x14ac:dyDescent="0.25">
      <c r="B1802" s="463"/>
      <c r="C1802" s="463"/>
    </row>
    <row r="1803" spans="2:3" x14ac:dyDescent="0.25">
      <c r="B1803" s="463"/>
      <c r="C1803" s="463"/>
    </row>
    <row r="1804" spans="2:3" x14ac:dyDescent="0.25">
      <c r="B1804" s="463"/>
      <c r="C1804" s="463"/>
    </row>
    <row r="1805" spans="2:3" x14ac:dyDescent="0.25">
      <c r="B1805" s="463"/>
      <c r="C1805" s="463"/>
    </row>
    <row r="1806" spans="2:3" x14ac:dyDescent="0.25">
      <c r="B1806" s="463"/>
      <c r="C1806" s="463"/>
    </row>
    <row r="1807" spans="2:3" x14ac:dyDescent="0.25">
      <c r="B1807" s="463"/>
      <c r="C1807" s="463"/>
    </row>
    <row r="1808" spans="2:3" x14ac:dyDescent="0.25">
      <c r="B1808" s="463"/>
      <c r="C1808" s="463"/>
    </row>
    <row r="1809" spans="2:3" x14ac:dyDescent="0.25">
      <c r="B1809" s="463"/>
      <c r="C1809" s="463"/>
    </row>
    <row r="1810" spans="2:3" x14ac:dyDescent="0.25">
      <c r="B1810" s="463"/>
      <c r="C1810" s="463"/>
    </row>
    <row r="1811" spans="2:3" x14ac:dyDescent="0.25">
      <c r="B1811" s="463"/>
      <c r="C1811" s="463"/>
    </row>
    <row r="1812" spans="2:3" x14ac:dyDescent="0.25">
      <c r="B1812" s="463"/>
      <c r="C1812" s="463"/>
    </row>
    <row r="1813" spans="2:3" x14ac:dyDescent="0.25">
      <c r="B1813" s="463"/>
      <c r="C1813" s="463"/>
    </row>
    <row r="1814" spans="2:3" x14ac:dyDescent="0.25">
      <c r="B1814" s="463"/>
      <c r="C1814" s="463"/>
    </row>
    <row r="1815" spans="2:3" x14ac:dyDescent="0.25">
      <c r="B1815" s="463"/>
      <c r="C1815" s="463"/>
    </row>
    <row r="1816" spans="2:3" x14ac:dyDescent="0.25">
      <c r="B1816" s="463"/>
      <c r="C1816" s="463"/>
    </row>
    <row r="1817" spans="2:3" x14ac:dyDescent="0.25">
      <c r="B1817" s="463"/>
      <c r="C1817" s="463"/>
    </row>
    <row r="1818" spans="2:3" x14ac:dyDescent="0.25">
      <c r="B1818" s="463"/>
      <c r="C1818" s="463"/>
    </row>
    <row r="1819" spans="2:3" x14ac:dyDescent="0.25">
      <c r="B1819" s="463"/>
      <c r="C1819" s="463"/>
    </row>
    <row r="1820" spans="2:3" x14ac:dyDescent="0.25">
      <c r="B1820" s="463"/>
      <c r="C1820" s="463"/>
    </row>
    <row r="1821" spans="2:3" x14ac:dyDescent="0.25">
      <c r="B1821" s="463"/>
      <c r="C1821" s="463"/>
    </row>
    <row r="1822" spans="2:3" x14ac:dyDescent="0.25">
      <c r="B1822" s="463"/>
      <c r="C1822" s="463"/>
    </row>
    <row r="1823" spans="2:3" x14ac:dyDescent="0.25">
      <c r="B1823" s="463"/>
      <c r="C1823" s="463"/>
    </row>
    <row r="1824" spans="2:3" x14ac:dyDescent="0.25">
      <c r="B1824" s="463"/>
      <c r="C1824" s="463"/>
    </row>
    <row r="1825" spans="2:3" x14ac:dyDescent="0.25">
      <c r="B1825" s="463"/>
      <c r="C1825" s="463"/>
    </row>
    <row r="1826" spans="2:3" x14ac:dyDescent="0.25">
      <c r="B1826" s="463"/>
      <c r="C1826" s="463"/>
    </row>
    <row r="1827" spans="2:3" x14ac:dyDescent="0.25">
      <c r="B1827" s="463"/>
      <c r="C1827" s="463"/>
    </row>
    <row r="1828" spans="2:3" x14ac:dyDescent="0.25">
      <c r="B1828" s="463"/>
      <c r="C1828" s="463"/>
    </row>
    <row r="1829" spans="2:3" x14ac:dyDescent="0.25">
      <c r="B1829" s="463"/>
      <c r="C1829" s="463"/>
    </row>
    <row r="1830" spans="2:3" x14ac:dyDescent="0.25">
      <c r="B1830" s="463"/>
      <c r="C1830" s="463"/>
    </row>
    <row r="1831" spans="2:3" x14ac:dyDescent="0.25">
      <c r="B1831" s="463"/>
      <c r="C1831" s="463"/>
    </row>
    <row r="1832" spans="2:3" x14ac:dyDescent="0.25">
      <c r="B1832" s="463"/>
      <c r="C1832" s="463"/>
    </row>
    <row r="1833" spans="2:3" x14ac:dyDescent="0.25">
      <c r="B1833" s="463"/>
      <c r="C1833" s="463"/>
    </row>
    <row r="1834" spans="2:3" x14ac:dyDescent="0.25">
      <c r="B1834" s="463"/>
      <c r="C1834" s="463"/>
    </row>
    <row r="1835" spans="2:3" x14ac:dyDescent="0.25">
      <c r="B1835" s="463"/>
      <c r="C1835" s="463"/>
    </row>
    <row r="1836" spans="2:3" x14ac:dyDescent="0.25">
      <c r="B1836" s="463"/>
      <c r="C1836" s="463"/>
    </row>
    <row r="1837" spans="2:3" x14ac:dyDescent="0.25">
      <c r="B1837" s="463"/>
      <c r="C1837" s="463"/>
    </row>
    <row r="1838" spans="2:3" x14ac:dyDescent="0.25">
      <c r="B1838" s="463"/>
      <c r="C1838" s="463"/>
    </row>
    <row r="1839" spans="2:3" x14ac:dyDescent="0.25">
      <c r="B1839" s="463"/>
      <c r="C1839" s="463"/>
    </row>
    <row r="1840" spans="2:3" x14ac:dyDescent="0.25">
      <c r="B1840" s="463"/>
      <c r="C1840" s="463"/>
    </row>
    <row r="1841" spans="2:3" x14ac:dyDescent="0.25">
      <c r="B1841" s="463"/>
      <c r="C1841" s="463"/>
    </row>
    <row r="1842" spans="2:3" x14ac:dyDescent="0.25">
      <c r="B1842" s="463"/>
      <c r="C1842" s="463"/>
    </row>
    <row r="1843" spans="2:3" x14ac:dyDescent="0.25">
      <c r="B1843" s="463"/>
      <c r="C1843" s="463"/>
    </row>
    <row r="1844" spans="2:3" x14ac:dyDescent="0.25">
      <c r="B1844" s="463"/>
      <c r="C1844" s="463"/>
    </row>
    <row r="1845" spans="2:3" x14ac:dyDescent="0.25">
      <c r="B1845" s="463"/>
      <c r="C1845" s="463"/>
    </row>
    <row r="1846" spans="2:3" x14ac:dyDescent="0.25">
      <c r="B1846" s="463"/>
      <c r="C1846" s="463"/>
    </row>
    <row r="1847" spans="2:3" x14ac:dyDescent="0.25">
      <c r="B1847" s="463"/>
      <c r="C1847" s="463"/>
    </row>
    <row r="1848" spans="2:3" x14ac:dyDescent="0.25">
      <c r="B1848" s="463"/>
      <c r="C1848" s="463"/>
    </row>
    <row r="1849" spans="2:3" x14ac:dyDescent="0.25">
      <c r="B1849" s="463"/>
      <c r="C1849" s="463"/>
    </row>
    <row r="1850" spans="2:3" x14ac:dyDescent="0.25">
      <c r="B1850" s="463"/>
      <c r="C1850" s="463"/>
    </row>
    <row r="1851" spans="2:3" x14ac:dyDescent="0.25">
      <c r="B1851" s="463"/>
      <c r="C1851" s="463"/>
    </row>
    <row r="1852" spans="2:3" x14ac:dyDescent="0.25">
      <c r="B1852" s="463"/>
      <c r="C1852" s="463"/>
    </row>
    <row r="1853" spans="2:3" x14ac:dyDescent="0.25">
      <c r="B1853" s="463"/>
      <c r="C1853" s="463"/>
    </row>
    <row r="1854" spans="2:3" x14ac:dyDescent="0.25">
      <c r="B1854" s="463"/>
      <c r="C1854" s="463"/>
    </row>
    <row r="1855" spans="2:3" x14ac:dyDescent="0.25">
      <c r="B1855" s="463"/>
      <c r="C1855" s="463"/>
    </row>
    <row r="1856" spans="2:3" x14ac:dyDescent="0.25">
      <c r="B1856" s="463"/>
      <c r="C1856" s="463"/>
    </row>
    <row r="1857" spans="2:3" x14ac:dyDescent="0.25">
      <c r="B1857" s="463"/>
      <c r="C1857" s="463"/>
    </row>
    <row r="1858" spans="2:3" x14ac:dyDescent="0.25">
      <c r="B1858" s="463"/>
      <c r="C1858" s="463"/>
    </row>
    <row r="1859" spans="2:3" x14ac:dyDescent="0.25">
      <c r="B1859" s="463"/>
      <c r="C1859" s="463"/>
    </row>
    <row r="1860" spans="2:3" x14ac:dyDescent="0.25">
      <c r="B1860" s="463"/>
      <c r="C1860" s="463"/>
    </row>
    <row r="1861" spans="2:3" x14ac:dyDescent="0.25">
      <c r="B1861" s="463"/>
      <c r="C1861" s="463"/>
    </row>
    <row r="1862" spans="2:3" x14ac:dyDescent="0.25">
      <c r="B1862" s="463"/>
      <c r="C1862" s="463"/>
    </row>
    <row r="1863" spans="2:3" x14ac:dyDescent="0.25">
      <c r="B1863" s="463"/>
      <c r="C1863" s="463"/>
    </row>
    <row r="1864" spans="2:3" x14ac:dyDescent="0.25">
      <c r="B1864" s="463"/>
      <c r="C1864" s="463"/>
    </row>
    <row r="1865" spans="2:3" x14ac:dyDescent="0.25">
      <c r="B1865" s="463"/>
      <c r="C1865" s="463"/>
    </row>
    <row r="1866" spans="2:3" x14ac:dyDescent="0.25">
      <c r="B1866" s="463"/>
      <c r="C1866" s="463"/>
    </row>
    <row r="1867" spans="2:3" x14ac:dyDescent="0.25">
      <c r="B1867" s="463"/>
      <c r="C1867" s="463"/>
    </row>
    <row r="1868" spans="2:3" x14ac:dyDescent="0.25">
      <c r="B1868" s="463"/>
      <c r="C1868" s="463"/>
    </row>
    <row r="1869" spans="2:3" x14ac:dyDescent="0.25">
      <c r="B1869" s="463"/>
      <c r="C1869" s="463"/>
    </row>
    <row r="1870" spans="2:3" x14ac:dyDescent="0.25">
      <c r="B1870" s="463"/>
      <c r="C1870" s="463"/>
    </row>
    <row r="1871" spans="2:3" x14ac:dyDescent="0.25">
      <c r="B1871" s="463"/>
      <c r="C1871" s="463"/>
    </row>
    <row r="1872" spans="2:3" x14ac:dyDescent="0.25">
      <c r="B1872" s="463"/>
      <c r="C1872" s="463"/>
    </row>
    <row r="1873" spans="2:3" x14ac:dyDescent="0.25">
      <c r="B1873" s="463"/>
      <c r="C1873" s="463"/>
    </row>
    <row r="1874" spans="2:3" x14ac:dyDescent="0.25">
      <c r="B1874" s="463"/>
      <c r="C1874" s="463"/>
    </row>
    <row r="1875" spans="2:3" x14ac:dyDescent="0.25">
      <c r="B1875" s="463"/>
      <c r="C1875" s="463"/>
    </row>
    <row r="1876" spans="2:3" x14ac:dyDescent="0.25">
      <c r="B1876" s="463"/>
      <c r="C1876" s="463"/>
    </row>
    <row r="1877" spans="2:3" x14ac:dyDescent="0.25">
      <c r="B1877" s="463"/>
      <c r="C1877" s="463"/>
    </row>
    <row r="1878" spans="2:3" x14ac:dyDescent="0.25">
      <c r="B1878" s="463"/>
      <c r="C1878" s="463"/>
    </row>
    <row r="1879" spans="2:3" x14ac:dyDescent="0.25">
      <c r="B1879" s="463"/>
      <c r="C1879" s="463"/>
    </row>
    <row r="1880" spans="2:3" x14ac:dyDescent="0.25">
      <c r="B1880" s="463"/>
      <c r="C1880" s="463"/>
    </row>
    <row r="1881" spans="2:3" x14ac:dyDescent="0.25">
      <c r="B1881" s="463"/>
      <c r="C1881" s="463"/>
    </row>
    <row r="1882" spans="2:3" x14ac:dyDescent="0.25">
      <c r="B1882" s="463"/>
      <c r="C1882" s="463"/>
    </row>
    <row r="1883" spans="2:3" x14ac:dyDescent="0.25">
      <c r="B1883" s="463"/>
      <c r="C1883" s="463"/>
    </row>
    <row r="1884" spans="2:3" x14ac:dyDescent="0.25">
      <c r="B1884" s="463"/>
      <c r="C1884" s="463"/>
    </row>
    <row r="1885" spans="2:3" x14ac:dyDescent="0.25">
      <c r="B1885" s="463"/>
      <c r="C1885" s="463"/>
    </row>
    <row r="1886" spans="2:3" x14ac:dyDescent="0.25">
      <c r="B1886" s="463"/>
      <c r="C1886" s="463"/>
    </row>
    <row r="1887" spans="2:3" x14ac:dyDescent="0.25">
      <c r="B1887" s="463"/>
      <c r="C1887" s="463"/>
    </row>
    <row r="1888" spans="2:3" x14ac:dyDescent="0.25">
      <c r="B1888" s="463"/>
      <c r="C1888" s="463"/>
    </row>
    <row r="1889" spans="2:3" x14ac:dyDescent="0.25">
      <c r="B1889" s="463"/>
      <c r="C1889" s="463"/>
    </row>
    <row r="1890" spans="2:3" x14ac:dyDescent="0.25">
      <c r="B1890" s="463"/>
      <c r="C1890" s="463"/>
    </row>
    <row r="1891" spans="2:3" x14ac:dyDescent="0.25">
      <c r="B1891" s="463"/>
      <c r="C1891" s="463"/>
    </row>
    <row r="1892" spans="2:3" x14ac:dyDescent="0.25">
      <c r="B1892" s="463"/>
      <c r="C1892" s="463"/>
    </row>
    <row r="1893" spans="2:3" x14ac:dyDescent="0.25">
      <c r="B1893" s="463"/>
      <c r="C1893" s="463"/>
    </row>
    <row r="1894" spans="2:3" x14ac:dyDescent="0.25">
      <c r="B1894" s="463"/>
      <c r="C1894" s="463"/>
    </row>
    <row r="1895" spans="2:3" x14ac:dyDescent="0.25">
      <c r="B1895" s="463"/>
      <c r="C1895" s="463"/>
    </row>
    <row r="1896" spans="2:3" x14ac:dyDescent="0.25">
      <c r="B1896" s="463"/>
      <c r="C1896" s="463"/>
    </row>
    <row r="1897" spans="2:3" x14ac:dyDescent="0.25">
      <c r="B1897" s="463"/>
      <c r="C1897" s="463"/>
    </row>
    <row r="1898" spans="2:3" x14ac:dyDescent="0.25">
      <c r="B1898" s="463"/>
      <c r="C1898" s="463"/>
    </row>
    <row r="1899" spans="2:3" x14ac:dyDescent="0.25">
      <c r="B1899" s="463"/>
      <c r="C1899" s="463"/>
    </row>
    <row r="1900" spans="2:3" x14ac:dyDescent="0.25">
      <c r="B1900" s="463"/>
      <c r="C1900" s="463"/>
    </row>
    <row r="1901" spans="2:3" x14ac:dyDescent="0.25">
      <c r="B1901" s="463"/>
      <c r="C1901" s="463"/>
    </row>
    <row r="1902" spans="2:3" x14ac:dyDescent="0.25">
      <c r="B1902" s="463"/>
      <c r="C1902" s="463"/>
    </row>
    <row r="1903" spans="2:3" x14ac:dyDescent="0.25">
      <c r="B1903" s="463"/>
      <c r="C1903" s="463"/>
    </row>
    <row r="1904" spans="2:3" x14ac:dyDescent="0.25">
      <c r="B1904" s="463"/>
      <c r="C1904" s="463"/>
    </row>
    <row r="1905" spans="2:3" x14ac:dyDescent="0.25">
      <c r="B1905" s="463"/>
      <c r="C1905" s="463"/>
    </row>
    <row r="1906" spans="2:3" x14ac:dyDescent="0.25">
      <c r="B1906" s="463"/>
      <c r="C1906" s="463"/>
    </row>
    <row r="1907" spans="2:3" x14ac:dyDescent="0.25">
      <c r="B1907" s="463"/>
      <c r="C1907" s="463"/>
    </row>
    <row r="1908" spans="2:3" x14ac:dyDescent="0.25">
      <c r="B1908" s="463"/>
      <c r="C1908" s="463"/>
    </row>
    <row r="1909" spans="2:3" x14ac:dyDescent="0.25">
      <c r="B1909" s="463"/>
      <c r="C1909" s="463"/>
    </row>
    <row r="1910" spans="2:3" x14ac:dyDescent="0.25">
      <c r="B1910" s="463"/>
      <c r="C1910" s="463"/>
    </row>
    <row r="1911" spans="2:3" x14ac:dyDescent="0.25">
      <c r="B1911" s="463"/>
      <c r="C1911" s="463"/>
    </row>
    <row r="1912" spans="2:3" x14ac:dyDescent="0.25">
      <c r="B1912" s="463"/>
      <c r="C1912" s="463"/>
    </row>
    <row r="1913" spans="2:3" x14ac:dyDescent="0.25">
      <c r="B1913" s="463"/>
      <c r="C1913" s="463"/>
    </row>
    <row r="1914" spans="2:3" x14ac:dyDescent="0.25">
      <c r="B1914" s="463"/>
      <c r="C1914" s="463"/>
    </row>
    <row r="1915" spans="2:3" x14ac:dyDescent="0.25">
      <c r="B1915" s="463"/>
      <c r="C1915" s="463"/>
    </row>
    <row r="1916" spans="2:3" x14ac:dyDescent="0.25">
      <c r="B1916" s="463"/>
      <c r="C1916" s="463"/>
    </row>
    <row r="1917" spans="2:3" x14ac:dyDescent="0.25">
      <c r="B1917" s="463"/>
      <c r="C1917" s="463"/>
    </row>
    <row r="1918" spans="2:3" x14ac:dyDescent="0.25">
      <c r="B1918" s="463"/>
      <c r="C1918" s="463"/>
    </row>
    <row r="1919" spans="2:3" x14ac:dyDescent="0.25">
      <c r="B1919" s="463"/>
      <c r="C1919" s="463"/>
    </row>
    <row r="1920" spans="2:3" x14ac:dyDescent="0.25">
      <c r="B1920" s="463"/>
      <c r="C1920" s="463"/>
    </row>
    <row r="1921" spans="2:3" x14ac:dyDescent="0.25">
      <c r="B1921" s="463"/>
      <c r="C1921" s="463"/>
    </row>
    <row r="1922" spans="2:3" x14ac:dyDescent="0.25">
      <c r="B1922" s="463"/>
      <c r="C1922" s="463"/>
    </row>
    <row r="1923" spans="2:3" x14ac:dyDescent="0.25">
      <c r="B1923" s="463"/>
      <c r="C1923" s="463"/>
    </row>
    <row r="1924" spans="2:3" x14ac:dyDescent="0.25">
      <c r="B1924" s="463"/>
      <c r="C1924" s="463"/>
    </row>
    <row r="1925" spans="2:3" x14ac:dyDescent="0.25">
      <c r="B1925" s="463"/>
      <c r="C1925" s="463"/>
    </row>
    <row r="1926" spans="2:3" x14ac:dyDescent="0.25">
      <c r="B1926" s="463"/>
      <c r="C1926" s="463"/>
    </row>
    <row r="1927" spans="2:3" x14ac:dyDescent="0.25">
      <c r="B1927" s="463"/>
      <c r="C1927" s="463"/>
    </row>
    <row r="1928" spans="2:3" x14ac:dyDescent="0.25">
      <c r="B1928" s="463"/>
      <c r="C1928" s="463"/>
    </row>
    <row r="1929" spans="2:3" x14ac:dyDescent="0.25">
      <c r="B1929" s="463"/>
      <c r="C1929" s="463"/>
    </row>
    <row r="1930" spans="2:3" x14ac:dyDescent="0.25">
      <c r="B1930" s="463"/>
      <c r="C1930" s="463"/>
    </row>
    <row r="1931" spans="2:3" x14ac:dyDescent="0.25">
      <c r="B1931" s="463"/>
      <c r="C1931" s="463"/>
    </row>
    <row r="1932" spans="2:3" x14ac:dyDescent="0.25">
      <c r="B1932" s="463"/>
      <c r="C1932" s="463"/>
    </row>
    <row r="1933" spans="2:3" x14ac:dyDescent="0.25">
      <c r="B1933" s="463"/>
      <c r="C1933" s="463"/>
    </row>
    <row r="1934" spans="2:3" x14ac:dyDescent="0.25">
      <c r="B1934" s="463"/>
      <c r="C1934" s="463"/>
    </row>
    <row r="1935" spans="2:3" x14ac:dyDescent="0.25">
      <c r="B1935" s="463"/>
      <c r="C1935" s="463"/>
    </row>
    <row r="1936" spans="2:3" x14ac:dyDescent="0.25">
      <c r="B1936" s="463"/>
      <c r="C1936" s="463"/>
    </row>
    <row r="1937" spans="2:3" x14ac:dyDescent="0.25">
      <c r="B1937" s="463"/>
      <c r="C1937" s="463"/>
    </row>
    <row r="1938" spans="2:3" x14ac:dyDescent="0.25">
      <c r="B1938" s="463"/>
      <c r="C1938" s="463"/>
    </row>
    <row r="1939" spans="2:3" x14ac:dyDescent="0.25">
      <c r="B1939" s="463"/>
      <c r="C1939" s="463"/>
    </row>
    <row r="1940" spans="2:3" x14ac:dyDescent="0.25">
      <c r="B1940" s="463"/>
      <c r="C1940" s="463"/>
    </row>
    <row r="1941" spans="2:3" x14ac:dyDescent="0.25">
      <c r="B1941" s="463"/>
      <c r="C1941" s="463"/>
    </row>
    <row r="1942" spans="2:3" x14ac:dyDescent="0.25">
      <c r="B1942" s="463"/>
      <c r="C1942" s="463"/>
    </row>
    <row r="1943" spans="2:3" x14ac:dyDescent="0.25">
      <c r="B1943" s="463"/>
      <c r="C1943" s="463"/>
    </row>
    <row r="1944" spans="2:3" x14ac:dyDescent="0.25">
      <c r="B1944" s="463"/>
      <c r="C1944" s="463"/>
    </row>
    <row r="1945" spans="2:3" x14ac:dyDescent="0.25">
      <c r="B1945" s="463"/>
      <c r="C1945" s="463"/>
    </row>
    <row r="1946" spans="2:3" x14ac:dyDescent="0.25">
      <c r="B1946" s="463"/>
      <c r="C1946" s="463"/>
    </row>
    <row r="1947" spans="2:3" x14ac:dyDescent="0.25">
      <c r="B1947" s="463"/>
      <c r="C1947" s="463"/>
    </row>
    <row r="1948" spans="2:3" x14ac:dyDescent="0.25">
      <c r="B1948" s="463"/>
      <c r="C1948" s="463"/>
    </row>
    <row r="1949" spans="2:3" x14ac:dyDescent="0.25">
      <c r="B1949" s="463"/>
      <c r="C1949" s="463"/>
    </row>
    <row r="1950" spans="2:3" x14ac:dyDescent="0.25">
      <c r="B1950" s="463"/>
      <c r="C1950" s="463"/>
    </row>
    <row r="1951" spans="2:3" x14ac:dyDescent="0.25">
      <c r="B1951" s="463"/>
      <c r="C1951" s="463"/>
    </row>
    <row r="1952" spans="2:3" x14ac:dyDescent="0.25">
      <c r="B1952" s="463"/>
      <c r="C1952" s="463"/>
    </row>
    <row r="1953" spans="2:3" x14ac:dyDescent="0.25">
      <c r="B1953" s="463"/>
      <c r="C1953" s="463"/>
    </row>
    <row r="1954" spans="2:3" x14ac:dyDescent="0.25">
      <c r="B1954" s="463"/>
      <c r="C1954" s="463"/>
    </row>
    <row r="1955" spans="2:3" x14ac:dyDescent="0.25">
      <c r="B1955" s="463"/>
      <c r="C1955" s="463"/>
    </row>
    <row r="1956" spans="2:3" x14ac:dyDescent="0.25">
      <c r="B1956" s="463"/>
      <c r="C1956" s="463"/>
    </row>
    <row r="1957" spans="2:3" x14ac:dyDescent="0.25">
      <c r="B1957" s="463"/>
      <c r="C1957" s="463"/>
    </row>
    <row r="1958" spans="2:3" x14ac:dyDescent="0.25">
      <c r="B1958" s="463"/>
      <c r="C1958" s="463"/>
    </row>
    <row r="1959" spans="2:3" x14ac:dyDescent="0.25">
      <c r="B1959" s="463"/>
      <c r="C1959" s="463"/>
    </row>
    <row r="1960" spans="2:3" x14ac:dyDescent="0.25">
      <c r="B1960" s="463"/>
      <c r="C1960" s="463"/>
    </row>
    <row r="1961" spans="2:3" x14ac:dyDescent="0.25">
      <c r="B1961" s="463"/>
      <c r="C1961" s="463"/>
    </row>
    <row r="1962" spans="2:3" x14ac:dyDescent="0.25">
      <c r="B1962" s="463"/>
      <c r="C1962" s="463"/>
    </row>
    <row r="1963" spans="2:3" x14ac:dyDescent="0.25">
      <c r="B1963" s="463"/>
      <c r="C1963" s="463"/>
    </row>
    <row r="1964" spans="2:3" x14ac:dyDescent="0.25">
      <c r="B1964" s="463"/>
      <c r="C1964" s="463"/>
    </row>
    <row r="1965" spans="2:3" x14ac:dyDescent="0.25">
      <c r="B1965" s="463"/>
      <c r="C1965" s="463"/>
    </row>
    <row r="1966" spans="2:3" x14ac:dyDescent="0.25">
      <c r="B1966" s="463"/>
      <c r="C1966" s="463"/>
    </row>
    <row r="1967" spans="2:3" x14ac:dyDescent="0.25">
      <c r="B1967" s="463"/>
      <c r="C1967" s="463"/>
    </row>
    <row r="1968" spans="2:3" x14ac:dyDescent="0.25">
      <c r="B1968" s="463"/>
      <c r="C1968" s="463"/>
    </row>
    <row r="1969" spans="2:3" x14ac:dyDescent="0.25">
      <c r="B1969" s="463"/>
      <c r="C1969" s="463"/>
    </row>
    <row r="1970" spans="2:3" x14ac:dyDescent="0.25">
      <c r="B1970" s="463"/>
      <c r="C1970" s="463"/>
    </row>
    <row r="1971" spans="2:3" x14ac:dyDescent="0.25">
      <c r="B1971" s="463"/>
      <c r="C1971" s="463"/>
    </row>
    <row r="1972" spans="2:3" x14ac:dyDescent="0.25">
      <c r="B1972" s="463"/>
      <c r="C1972" s="463"/>
    </row>
    <row r="1973" spans="2:3" x14ac:dyDescent="0.25">
      <c r="B1973" s="463"/>
      <c r="C1973" s="463"/>
    </row>
    <row r="1974" spans="2:3" x14ac:dyDescent="0.25">
      <c r="B1974" s="463"/>
      <c r="C1974" s="463"/>
    </row>
    <row r="1975" spans="2:3" x14ac:dyDescent="0.25">
      <c r="B1975" s="463"/>
      <c r="C1975" s="463"/>
    </row>
    <row r="1976" spans="2:3" x14ac:dyDescent="0.25">
      <c r="B1976" s="463"/>
      <c r="C1976" s="463"/>
    </row>
    <row r="1977" spans="2:3" x14ac:dyDescent="0.25">
      <c r="B1977" s="463"/>
      <c r="C1977" s="463"/>
    </row>
    <row r="1978" spans="2:3" x14ac:dyDescent="0.25">
      <c r="B1978" s="463"/>
      <c r="C1978" s="463"/>
    </row>
    <row r="1979" spans="2:3" x14ac:dyDescent="0.25">
      <c r="B1979" s="463"/>
      <c r="C1979" s="463"/>
    </row>
    <row r="1980" spans="2:3" x14ac:dyDescent="0.25">
      <c r="B1980" s="463"/>
      <c r="C1980" s="463"/>
    </row>
    <row r="1981" spans="2:3" x14ac:dyDescent="0.25">
      <c r="B1981" s="463"/>
      <c r="C1981" s="463"/>
    </row>
    <row r="1982" spans="2:3" x14ac:dyDescent="0.25">
      <c r="B1982" s="463"/>
      <c r="C1982" s="463"/>
    </row>
    <row r="1983" spans="2:3" x14ac:dyDescent="0.25">
      <c r="B1983" s="463"/>
      <c r="C1983" s="463"/>
    </row>
    <row r="1984" spans="2:3" x14ac:dyDescent="0.25">
      <c r="B1984" s="463"/>
      <c r="C1984" s="463"/>
    </row>
    <row r="1985" spans="2:3" x14ac:dyDescent="0.25">
      <c r="B1985" s="463"/>
      <c r="C1985" s="463"/>
    </row>
    <row r="1986" spans="2:3" x14ac:dyDescent="0.25">
      <c r="B1986" s="463"/>
      <c r="C1986" s="463"/>
    </row>
    <row r="1987" spans="2:3" x14ac:dyDescent="0.25">
      <c r="B1987" s="463"/>
      <c r="C1987" s="463"/>
    </row>
    <row r="1988" spans="2:3" x14ac:dyDescent="0.25">
      <c r="B1988" s="463"/>
      <c r="C1988" s="463"/>
    </row>
    <row r="1989" spans="2:3" x14ac:dyDescent="0.25">
      <c r="B1989" s="463"/>
      <c r="C1989" s="463"/>
    </row>
    <row r="1990" spans="2:3" x14ac:dyDescent="0.25">
      <c r="B1990" s="463"/>
      <c r="C1990" s="463"/>
    </row>
    <row r="1991" spans="2:3" x14ac:dyDescent="0.25">
      <c r="B1991" s="463"/>
      <c r="C1991" s="463"/>
    </row>
    <row r="1992" spans="2:3" x14ac:dyDescent="0.25">
      <c r="B1992" s="463"/>
      <c r="C1992" s="463"/>
    </row>
    <row r="1993" spans="2:3" x14ac:dyDescent="0.25">
      <c r="B1993" s="463"/>
      <c r="C1993" s="463"/>
    </row>
    <row r="1994" spans="2:3" x14ac:dyDescent="0.25">
      <c r="B1994" s="463"/>
      <c r="C1994" s="463"/>
    </row>
    <row r="1995" spans="2:3" x14ac:dyDescent="0.25">
      <c r="B1995" s="463"/>
      <c r="C1995" s="463"/>
    </row>
    <row r="1996" spans="2:3" x14ac:dyDescent="0.25">
      <c r="B1996" s="463"/>
      <c r="C1996" s="463"/>
    </row>
    <row r="1997" spans="2:3" x14ac:dyDescent="0.25">
      <c r="B1997" s="463"/>
      <c r="C1997" s="463"/>
    </row>
    <row r="1998" spans="2:3" x14ac:dyDescent="0.25">
      <c r="B1998" s="463"/>
      <c r="C1998" s="463"/>
    </row>
    <row r="1999" spans="2:3" x14ac:dyDescent="0.25">
      <c r="B1999" s="463"/>
      <c r="C1999" s="463"/>
    </row>
    <row r="2000" spans="2:3" x14ac:dyDescent="0.25">
      <c r="B2000" s="463"/>
      <c r="C2000" s="463"/>
    </row>
    <row r="2001" spans="2:3" x14ac:dyDescent="0.25">
      <c r="B2001" s="463"/>
      <c r="C2001" s="463"/>
    </row>
    <row r="2002" spans="2:3" x14ac:dyDescent="0.25">
      <c r="B2002" s="463"/>
      <c r="C2002" s="463"/>
    </row>
    <row r="2003" spans="2:3" x14ac:dyDescent="0.25">
      <c r="B2003" s="463"/>
      <c r="C2003" s="463"/>
    </row>
    <row r="2004" spans="2:3" x14ac:dyDescent="0.25">
      <c r="B2004" s="463"/>
      <c r="C2004" s="463"/>
    </row>
    <row r="2005" spans="2:3" x14ac:dyDescent="0.25">
      <c r="B2005" s="463"/>
      <c r="C2005" s="463"/>
    </row>
    <row r="2006" spans="2:3" x14ac:dyDescent="0.25">
      <c r="B2006" s="463"/>
      <c r="C2006" s="463"/>
    </row>
    <row r="2007" spans="2:3" x14ac:dyDescent="0.25">
      <c r="B2007" s="463"/>
      <c r="C2007" s="463"/>
    </row>
    <row r="2008" spans="2:3" x14ac:dyDescent="0.25">
      <c r="B2008" s="463"/>
      <c r="C2008" s="463"/>
    </row>
    <row r="2009" spans="2:3" x14ac:dyDescent="0.25">
      <c r="B2009" s="463"/>
      <c r="C2009" s="463"/>
    </row>
    <row r="2010" spans="2:3" x14ac:dyDescent="0.25">
      <c r="B2010" s="463"/>
      <c r="C2010" s="463"/>
    </row>
    <row r="2011" spans="2:3" x14ac:dyDescent="0.25">
      <c r="B2011" s="463"/>
      <c r="C2011" s="463"/>
    </row>
    <row r="2012" spans="2:3" x14ac:dyDescent="0.25">
      <c r="B2012" s="463"/>
      <c r="C2012" s="463"/>
    </row>
    <row r="2013" spans="2:3" x14ac:dyDescent="0.25">
      <c r="B2013" s="463"/>
      <c r="C2013" s="463"/>
    </row>
    <row r="2014" spans="2:3" x14ac:dyDescent="0.25">
      <c r="B2014" s="463"/>
      <c r="C2014" s="463"/>
    </row>
    <row r="2015" spans="2:3" x14ac:dyDescent="0.25">
      <c r="B2015" s="463"/>
      <c r="C2015" s="463"/>
    </row>
    <row r="2016" spans="2:3" x14ac:dyDescent="0.25">
      <c r="B2016" s="463"/>
      <c r="C2016" s="463"/>
    </row>
    <row r="2017" spans="2:3" x14ac:dyDescent="0.25">
      <c r="B2017" s="463"/>
      <c r="C2017" s="463"/>
    </row>
    <row r="2018" spans="2:3" x14ac:dyDescent="0.25">
      <c r="B2018" s="463"/>
      <c r="C2018" s="463"/>
    </row>
    <row r="2019" spans="2:3" x14ac:dyDescent="0.25">
      <c r="B2019" s="463"/>
      <c r="C2019" s="463"/>
    </row>
    <row r="2020" spans="2:3" x14ac:dyDescent="0.25">
      <c r="B2020" s="463"/>
      <c r="C2020" s="463"/>
    </row>
    <row r="2021" spans="2:3" x14ac:dyDescent="0.25">
      <c r="B2021" s="463"/>
      <c r="C2021" s="463"/>
    </row>
    <row r="2022" spans="2:3" x14ac:dyDescent="0.25">
      <c r="B2022" s="463"/>
      <c r="C2022" s="463"/>
    </row>
    <row r="2023" spans="2:3" x14ac:dyDescent="0.25">
      <c r="B2023" s="463"/>
      <c r="C2023" s="463"/>
    </row>
    <row r="2024" spans="2:3" x14ac:dyDescent="0.25">
      <c r="B2024" s="463"/>
      <c r="C2024" s="463"/>
    </row>
    <row r="2025" spans="2:3" x14ac:dyDescent="0.25">
      <c r="B2025" s="463"/>
      <c r="C2025" s="463"/>
    </row>
    <row r="2026" spans="2:3" x14ac:dyDescent="0.25">
      <c r="B2026" s="463"/>
      <c r="C2026" s="463"/>
    </row>
    <row r="2027" spans="2:3" x14ac:dyDescent="0.25">
      <c r="B2027" s="463"/>
      <c r="C2027" s="463"/>
    </row>
    <row r="2028" spans="2:3" x14ac:dyDescent="0.25">
      <c r="B2028" s="463"/>
      <c r="C2028" s="463"/>
    </row>
    <row r="2029" spans="2:3" x14ac:dyDescent="0.25">
      <c r="B2029" s="463"/>
      <c r="C2029" s="463"/>
    </row>
    <row r="2030" spans="2:3" x14ac:dyDescent="0.25">
      <c r="B2030" s="463"/>
      <c r="C2030" s="463"/>
    </row>
    <row r="2031" spans="2:3" x14ac:dyDescent="0.25">
      <c r="B2031" s="463"/>
      <c r="C2031" s="463"/>
    </row>
    <row r="2032" spans="2:3" x14ac:dyDescent="0.25">
      <c r="B2032" s="463"/>
      <c r="C2032" s="463"/>
    </row>
    <row r="2033" spans="2:3" x14ac:dyDescent="0.25">
      <c r="B2033" s="463"/>
      <c r="C2033" s="463"/>
    </row>
    <row r="2034" spans="2:3" x14ac:dyDescent="0.25">
      <c r="B2034" s="463"/>
      <c r="C2034" s="463"/>
    </row>
    <row r="2035" spans="2:3" x14ac:dyDescent="0.25">
      <c r="B2035" s="463"/>
      <c r="C2035" s="463"/>
    </row>
    <row r="2036" spans="2:3" x14ac:dyDescent="0.25">
      <c r="B2036" s="463"/>
      <c r="C2036" s="463"/>
    </row>
    <row r="2037" spans="2:3" x14ac:dyDescent="0.25">
      <c r="B2037" s="463"/>
      <c r="C2037" s="463"/>
    </row>
    <row r="2038" spans="2:3" x14ac:dyDescent="0.25">
      <c r="B2038" s="463"/>
      <c r="C2038" s="463"/>
    </row>
    <row r="2039" spans="2:3" x14ac:dyDescent="0.25">
      <c r="B2039" s="463"/>
      <c r="C2039" s="463"/>
    </row>
    <row r="2040" spans="2:3" x14ac:dyDescent="0.25">
      <c r="B2040" s="463"/>
      <c r="C2040" s="463"/>
    </row>
    <row r="2041" spans="2:3" x14ac:dyDescent="0.25">
      <c r="B2041" s="463"/>
      <c r="C2041" s="463"/>
    </row>
    <row r="2042" spans="2:3" x14ac:dyDescent="0.25">
      <c r="B2042" s="463"/>
      <c r="C2042" s="463"/>
    </row>
    <row r="2043" spans="2:3" x14ac:dyDescent="0.25">
      <c r="B2043" s="463"/>
      <c r="C2043" s="463"/>
    </row>
    <row r="2044" spans="2:3" x14ac:dyDescent="0.25">
      <c r="B2044" s="463"/>
      <c r="C2044" s="463"/>
    </row>
    <row r="2045" spans="2:3" x14ac:dyDescent="0.25">
      <c r="B2045" s="463"/>
      <c r="C2045" s="463"/>
    </row>
    <row r="2046" spans="2:3" x14ac:dyDescent="0.25">
      <c r="B2046" s="463"/>
      <c r="C2046" s="463"/>
    </row>
    <row r="2047" spans="2:3" x14ac:dyDescent="0.25">
      <c r="B2047" s="463"/>
      <c r="C2047" s="463"/>
    </row>
    <row r="2048" spans="2:3" x14ac:dyDescent="0.25">
      <c r="B2048" s="463"/>
      <c r="C2048" s="463"/>
    </row>
    <row r="2049" spans="2:3" x14ac:dyDescent="0.25">
      <c r="B2049" s="463"/>
      <c r="C2049" s="463"/>
    </row>
    <row r="2050" spans="2:3" x14ac:dyDescent="0.25">
      <c r="B2050" s="463"/>
      <c r="C2050" s="463"/>
    </row>
    <row r="2051" spans="2:3" x14ac:dyDescent="0.25">
      <c r="B2051" s="463"/>
      <c r="C2051" s="463"/>
    </row>
    <row r="2052" spans="2:3" x14ac:dyDescent="0.25">
      <c r="B2052" s="463"/>
      <c r="C2052" s="463"/>
    </row>
    <row r="2053" spans="2:3" x14ac:dyDescent="0.25">
      <c r="B2053" s="463"/>
      <c r="C2053" s="463"/>
    </row>
    <row r="2054" spans="2:3" x14ac:dyDescent="0.25">
      <c r="B2054" s="463"/>
      <c r="C2054" s="463"/>
    </row>
    <row r="2055" spans="2:3" x14ac:dyDescent="0.25">
      <c r="B2055" s="463"/>
      <c r="C2055" s="463"/>
    </row>
    <row r="2056" spans="2:3" x14ac:dyDescent="0.25">
      <c r="B2056" s="463"/>
      <c r="C2056" s="463"/>
    </row>
    <row r="2057" spans="2:3" x14ac:dyDescent="0.25">
      <c r="B2057" s="463"/>
      <c r="C2057" s="463"/>
    </row>
    <row r="2058" spans="2:3" x14ac:dyDescent="0.25">
      <c r="B2058" s="463"/>
      <c r="C2058" s="463"/>
    </row>
    <row r="2059" spans="2:3" x14ac:dyDescent="0.25">
      <c r="B2059" s="463"/>
      <c r="C2059" s="463"/>
    </row>
    <row r="2060" spans="2:3" x14ac:dyDescent="0.25">
      <c r="B2060" s="463"/>
      <c r="C2060" s="463"/>
    </row>
    <row r="2061" spans="2:3" x14ac:dyDescent="0.25">
      <c r="B2061" s="463"/>
      <c r="C2061" s="463"/>
    </row>
    <row r="2062" spans="2:3" x14ac:dyDescent="0.25">
      <c r="B2062" s="463"/>
      <c r="C2062" s="463"/>
    </row>
    <row r="2063" spans="2:3" x14ac:dyDescent="0.25">
      <c r="B2063" s="463"/>
      <c r="C2063" s="463"/>
    </row>
    <row r="2064" spans="2:3" x14ac:dyDescent="0.25">
      <c r="B2064" s="463"/>
      <c r="C2064" s="463"/>
    </row>
    <row r="2065" spans="2:3" x14ac:dyDescent="0.25">
      <c r="B2065" s="463"/>
      <c r="C2065" s="463"/>
    </row>
    <row r="2066" spans="2:3" x14ac:dyDescent="0.25">
      <c r="B2066" s="463"/>
      <c r="C2066" s="463"/>
    </row>
    <row r="2067" spans="2:3" x14ac:dyDescent="0.25">
      <c r="B2067" s="463"/>
      <c r="C2067" s="463"/>
    </row>
    <row r="2068" spans="2:3" x14ac:dyDescent="0.25">
      <c r="B2068" s="463"/>
      <c r="C2068" s="463"/>
    </row>
    <row r="2069" spans="2:3" x14ac:dyDescent="0.25">
      <c r="B2069" s="463"/>
      <c r="C2069" s="463"/>
    </row>
    <row r="2070" spans="2:3" x14ac:dyDescent="0.25">
      <c r="B2070" s="463"/>
      <c r="C2070" s="463"/>
    </row>
    <row r="2071" spans="2:3" x14ac:dyDescent="0.25">
      <c r="B2071" s="463"/>
      <c r="C2071" s="463"/>
    </row>
    <row r="2072" spans="2:3" x14ac:dyDescent="0.25">
      <c r="B2072" s="463"/>
      <c r="C2072" s="463"/>
    </row>
    <row r="2073" spans="2:3" x14ac:dyDescent="0.25">
      <c r="B2073" s="463"/>
      <c r="C2073" s="463"/>
    </row>
    <row r="2074" spans="2:3" x14ac:dyDescent="0.25">
      <c r="B2074" s="463"/>
      <c r="C2074" s="463"/>
    </row>
    <row r="2075" spans="2:3" x14ac:dyDescent="0.25">
      <c r="B2075" s="463"/>
      <c r="C2075" s="463"/>
    </row>
    <row r="2076" spans="2:3" x14ac:dyDescent="0.25">
      <c r="B2076" s="463"/>
      <c r="C2076" s="463"/>
    </row>
    <row r="2077" spans="2:3" x14ac:dyDescent="0.25">
      <c r="B2077" s="463"/>
      <c r="C2077" s="463"/>
    </row>
    <row r="2078" spans="2:3" x14ac:dyDescent="0.25">
      <c r="B2078" s="463"/>
      <c r="C2078" s="463"/>
    </row>
    <row r="2079" spans="2:3" x14ac:dyDescent="0.25">
      <c r="B2079" s="463"/>
      <c r="C2079" s="463"/>
    </row>
    <row r="2080" spans="2:3" x14ac:dyDescent="0.25">
      <c r="B2080" s="463"/>
      <c r="C2080" s="463"/>
    </row>
    <row r="2081" spans="2:3" x14ac:dyDescent="0.25">
      <c r="B2081" s="463"/>
      <c r="C2081" s="463"/>
    </row>
    <row r="2082" spans="2:3" x14ac:dyDescent="0.25">
      <c r="B2082" s="463"/>
      <c r="C2082" s="463"/>
    </row>
    <row r="2083" spans="2:3" x14ac:dyDescent="0.25">
      <c r="B2083" s="463"/>
      <c r="C2083" s="463"/>
    </row>
    <row r="2084" spans="2:3" x14ac:dyDescent="0.25">
      <c r="B2084" s="463"/>
      <c r="C2084" s="463"/>
    </row>
    <row r="2085" spans="2:3" x14ac:dyDescent="0.25">
      <c r="B2085" s="463"/>
      <c r="C2085" s="463"/>
    </row>
    <row r="2086" spans="2:3" x14ac:dyDescent="0.25">
      <c r="B2086" s="463"/>
      <c r="C2086" s="463"/>
    </row>
    <row r="2087" spans="2:3" x14ac:dyDescent="0.25">
      <c r="B2087" s="463"/>
      <c r="C2087" s="463"/>
    </row>
    <row r="2088" spans="2:3" x14ac:dyDescent="0.25">
      <c r="B2088" s="463"/>
      <c r="C2088" s="463"/>
    </row>
    <row r="2089" spans="2:3" x14ac:dyDescent="0.25">
      <c r="B2089" s="463"/>
      <c r="C2089" s="463"/>
    </row>
    <row r="2090" spans="2:3" x14ac:dyDescent="0.25">
      <c r="B2090" s="463"/>
      <c r="C2090" s="463"/>
    </row>
    <row r="2091" spans="2:3" x14ac:dyDescent="0.25">
      <c r="B2091" s="463"/>
      <c r="C2091" s="463"/>
    </row>
    <row r="2092" spans="2:3" x14ac:dyDescent="0.25">
      <c r="B2092" s="463"/>
      <c r="C2092" s="463"/>
    </row>
    <row r="2093" spans="2:3" x14ac:dyDescent="0.25">
      <c r="B2093" s="463"/>
      <c r="C2093" s="463"/>
    </row>
    <row r="2094" spans="2:3" x14ac:dyDescent="0.25">
      <c r="B2094" s="463"/>
      <c r="C2094" s="463"/>
    </row>
    <row r="2095" spans="2:3" x14ac:dyDescent="0.25">
      <c r="B2095" s="463"/>
      <c r="C2095" s="463"/>
    </row>
    <row r="2096" spans="2:3" x14ac:dyDescent="0.25">
      <c r="B2096" s="463"/>
      <c r="C2096" s="463"/>
    </row>
    <row r="2097" spans="2:3" x14ac:dyDescent="0.25">
      <c r="B2097" s="463"/>
      <c r="C2097" s="463"/>
    </row>
    <row r="2098" spans="2:3" x14ac:dyDescent="0.25">
      <c r="B2098" s="463"/>
      <c r="C2098" s="463"/>
    </row>
    <row r="2099" spans="2:3" x14ac:dyDescent="0.25">
      <c r="B2099" s="463"/>
      <c r="C2099" s="463"/>
    </row>
    <row r="2100" spans="2:3" x14ac:dyDescent="0.25">
      <c r="B2100" s="463"/>
      <c r="C2100" s="463"/>
    </row>
    <row r="2101" spans="2:3" x14ac:dyDescent="0.25">
      <c r="B2101" s="463"/>
      <c r="C2101" s="463"/>
    </row>
    <row r="2102" spans="2:3" x14ac:dyDescent="0.25">
      <c r="B2102" s="463"/>
      <c r="C2102" s="463"/>
    </row>
    <row r="2103" spans="2:3" x14ac:dyDescent="0.25">
      <c r="B2103" s="463"/>
      <c r="C2103" s="463"/>
    </row>
    <row r="2104" spans="2:3" x14ac:dyDescent="0.25">
      <c r="B2104" s="463"/>
      <c r="C2104" s="463"/>
    </row>
    <row r="2105" spans="2:3" x14ac:dyDescent="0.25">
      <c r="B2105" s="463"/>
      <c r="C2105" s="463"/>
    </row>
    <row r="2106" spans="2:3" x14ac:dyDescent="0.25">
      <c r="B2106" s="463"/>
      <c r="C2106" s="463"/>
    </row>
    <row r="2107" spans="2:3" x14ac:dyDescent="0.25">
      <c r="B2107" s="463"/>
      <c r="C2107" s="463"/>
    </row>
    <row r="2108" spans="2:3" x14ac:dyDescent="0.25">
      <c r="B2108" s="463"/>
      <c r="C2108" s="463"/>
    </row>
    <row r="2109" spans="2:3" x14ac:dyDescent="0.25">
      <c r="B2109" s="463"/>
      <c r="C2109" s="463"/>
    </row>
    <row r="2110" spans="2:3" x14ac:dyDescent="0.25">
      <c r="B2110" s="463"/>
      <c r="C2110" s="463"/>
    </row>
    <row r="2111" spans="2:3" x14ac:dyDescent="0.25">
      <c r="B2111" s="463"/>
      <c r="C2111" s="463"/>
    </row>
    <row r="2112" spans="2:3" x14ac:dyDescent="0.25">
      <c r="B2112" s="463"/>
      <c r="C2112" s="463"/>
    </row>
    <row r="2113" spans="2:3" x14ac:dyDescent="0.25">
      <c r="B2113" s="463"/>
      <c r="C2113" s="463"/>
    </row>
    <row r="2114" spans="2:3" x14ac:dyDescent="0.25">
      <c r="B2114" s="463"/>
      <c r="C2114" s="463"/>
    </row>
    <row r="2115" spans="2:3" x14ac:dyDescent="0.25">
      <c r="B2115" s="463"/>
      <c r="C2115" s="463"/>
    </row>
    <row r="2116" spans="2:3" x14ac:dyDescent="0.25">
      <c r="B2116" s="463"/>
      <c r="C2116" s="463"/>
    </row>
    <row r="2117" spans="2:3" x14ac:dyDescent="0.25">
      <c r="B2117" s="463"/>
      <c r="C2117" s="463"/>
    </row>
    <row r="2118" spans="2:3" x14ac:dyDescent="0.25">
      <c r="B2118" s="463"/>
      <c r="C2118" s="463"/>
    </row>
    <row r="2119" spans="2:3" x14ac:dyDescent="0.25">
      <c r="B2119" s="463"/>
      <c r="C2119" s="463"/>
    </row>
    <row r="2120" spans="2:3" x14ac:dyDescent="0.25">
      <c r="B2120" s="463"/>
      <c r="C2120" s="463"/>
    </row>
    <row r="2121" spans="2:3" x14ac:dyDescent="0.25">
      <c r="B2121" s="463"/>
      <c r="C2121" s="463"/>
    </row>
    <row r="2122" spans="2:3" x14ac:dyDescent="0.25">
      <c r="B2122" s="463"/>
      <c r="C2122" s="463"/>
    </row>
    <row r="2123" spans="2:3" x14ac:dyDescent="0.25">
      <c r="B2123" s="463"/>
      <c r="C2123" s="463"/>
    </row>
    <row r="2124" spans="2:3" x14ac:dyDescent="0.25">
      <c r="B2124" s="463"/>
      <c r="C2124" s="463"/>
    </row>
    <row r="2125" spans="2:3" x14ac:dyDescent="0.25">
      <c r="B2125" s="463"/>
      <c r="C2125" s="463"/>
    </row>
    <row r="2126" spans="2:3" x14ac:dyDescent="0.25">
      <c r="B2126" s="463"/>
      <c r="C2126" s="463"/>
    </row>
    <row r="2127" spans="2:3" x14ac:dyDescent="0.25">
      <c r="B2127" s="463"/>
      <c r="C2127" s="463"/>
    </row>
    <row r="2128" spans="2:3" x14ac:dyDescent="0.25">
      <c r="B2128" s="463"/>
      <c r="C2128" s="463"/>
    </row>
    <row r="2129" spans="2:3" x14ac:dyDescent="0.25">
      <c r="B2129" s="463"/>
      <c r="C2129" s="463"/>
    </row>
    <row r="2130" spans="2:3" x14ac:dyDescent="0.25">
      <c r="B2130" s="463"/>
      <c r="C2130" s="463"/>
    </row>
    <row r="2131" spans="2:3" x14ac:dyDescent="0.25">
      <c r="B2131" s="463"/>
      <c r="C2131" s="463"/>
    </row>
    <row r="2132" spans="2:3" x14ac:dyDescent="0.25">
      <c r="B2132" s="463"/>
      <c r="C2132" s="463"/>
    </row>
    <row r="2133" spans="2:3" x14ac:dyDescent="0.25">
      <c r="B2133" s="463"/>
      <c r="C2133" s="463"/>
    </row>
    <row r="2134" spans="2:3" x14ac:dyDescent="0.25">
      <c r="B2134" s="463"/>
      <c r="C2134" s="463"/>
    </row>
    <row r="2135" spans="2:3" x14ac:dyDescent="0.25">
      <c r="B2135" s="463"/>
      <c r="C2135" s="463"/>
    </row>
    <row r="2136" spans="2:3" x14ac:dyDescent="0.25">
      <c r="B2136" s="463"/>
      <c r="C2136" s="463"/>
    </row>
    <row r="2137" spans="2:3" x14ac:dyDescent="0.25">
      <c r="B2137" s="463"/>
      <c r="C2137" s="463"/>
    </row>
    <row r="2138" spans="2:3" x14ac:dyDescent="0.25">
      <c r="B2138" s="463"/>
      <c r="C2138" s="463"/>
    </row>
    <row r="2139" spans="2:3" x14ac:dyDescent="0.25">
      <c r="B2139" s="463"/>
      <c r="C2139" s="463"/>
    </row>
    <row r="2140" spans="2:3" x14ac:dyDescent="0.25">
      <c r="B2140" s="463"/>
      <c r="C2140" s="463"/>
    </row>
    <row r="2141" spans="2:3" x14ac:dyDescent="0.25">
      <c r="B2141" s="463"/>
      <c r="C2141" s="463"/>
    </row>
    <row r="2142" spans="2:3" x14ac:dyDescent="0.25">
      <c r="B2142" s="463"/>
      <c r="C2142" s="463"/>
    </row>
    <row r="2143" spans="2:3" x14ac:dyDescent="0.25">
      <c r="B2143" s="463"/>
      <c r="C2143" s="463"/>
    </row>
    <row r="2144" spans="2:3" x14ac:dyDescent="0.25">
      <c r="B2144" s="463"/>
      <c r="C2144" s="463"/>
    </row>
    <row r="2145" spans="2:3" x14ac:dyDescent="0.25">
      <c r="B2145" s="463"/>
      <c r="C2145" s="463"/>
    </row>
    <row r="2146" spans="2:3" x14ac:dyDescent="0.25">
      <c r="B2146" s="463"/>
      <c r="C2146" s="463"/>
    </row>
    <row r="2147" spans="2:3" x14ac:dyDescent="0.25">
      <c r="B2147" s="463"/>
      <c r="C2147" s="463"/>
    </row>
    <row r="2148" spans="2:3" x14ac:dyDescent="0.25">
      <c r="B2148" s="463"/>
      <c r="C2148" s="463"/>
    </row>
    <row r="2149" spans="2:3" x14ac:dyDescent="0.25">
      <c r="B2149" s="463"/>
      <c r="C2149" s="463"/>
    </row>
    <row r="2150" spans="2:3" x14ac:dyDescent="0.25">
      <c r="B2150" s="463"/>
      <c r="C2150" s="463"/>
    </row>
    <row r="2151" spans="2:3" x14ac:dyDescent="0.25">
      <c r="B2151" s="463"/>
      <c r="C2151" s="463"/>
    </row>
    <row r="2152" spans="2:3" x14ac:dyDescent="0.25">
      <c r="B2152" s="463"/>
      <c r="C2152" s="463"/>
    </row>
    <row r="2153" spans="2:3" x14ac:dyDescent="0.25">
      <c r="B2153" s="463"/>
      <c r="C2153" s="463"/>
    </row>
    <row r="2154" spans="2:3" x14ac:dyDescent="0.25">
      <c r="B2154" s="463"/>
      <c r="C2154" s="463"/>
    </row>
    <row r="2155" spans="2:3" x14ac:dyDescent="0.25">
      <c r="B2155" s="463"/>
      <c r="C2155" s="463"/>
    </row>
    <row r="2156" spans="2:3" x14ac:dyDescent="0.25">
      <c r="B2156" s="463"/>
      <c r="C2156" s="463"/>
    </row>
    <row r="2157" spans="2:3" x14ac:dyDescent="0.25">
      <c r="B2157" s="463"/>
      <c r="C2157" s="463"/>
    </row>
    <row r="2158" spans="2:3" x14ac:dyDescent="0.25">
      <c r="B2158" s="463"/>
      <c r="C2158" s="463"/>
    </row>
    <row r="2159" spans="2:3" x14ac:dyDescent="0.25">
      <c r="B2159" s="463"/>
      <c r="C2159" s="463"/>
    </row>
    <row r="2160" spans="2:3" x14ac:dyDescent="0.25">
      <c r="B2160" s="463"/>
      <c r="C2160" s="463"/>
    </row>
    <row r="2161" spans="2:3" x14ac:dyDescent="0.25">
      <c r="B2161" s="463"/>
      <c r="C2161" s="463"/>
    </row>
    <row r="2162" spans="2:3" x14ac:dyDescent="0.25">
      <c r="B2162" s="463"/>
      <c r="C2162" s="463"/>
    </row>
    <row r="2163" spans="2:3" x14ac:dyDescent="0.25">
      <c r="B2163" s="463"/>
      <c r="C2163" s="463"/>
    </row>
    <row r="2164" spans="2:3" x14ac:dyDescent="0.25">
      <c r="B2164" s="463"/>
      <c r="C2164" s="463"/>
    </row>
    <row r="2165" spans="2:3" x14ac:dyDescent="0.25">
      <c r="B2165" s="463"/>
      <c r="C2165" s="463"/>
    </row>
    <row r="2166" spans="2:3" x14ac:dyDescent="0.25">
      <c r="B2166" s="463"/>
      <c r="C2166" s="463"/>
    </row>
    <row r="2167" spans="2:3" x14ac:dyDescent="0.25">
      <c r="B2167" s="463"/>
      <c r="C2167" s="463"/>
    </row>
    <row r="2168" spans="2:3" x14ac:dyDescent="0.25">
      <c r="B2168" s="463"/>
      <c r="C2168" s="463"/>
    </row>
    <row r="2169" spans="2:3" x14ac:dyDescent="0.25">
      <c r="B2169" s="463"/>
      <c r="C2169" s="463"/>
    </row>
    <row r="2170" spans="2:3" x14ac:dyDescent="0.25">
      <c r="B2170" s="463"/>
      <c r="C2170" s="463"/>
    </row>
    <row r="2171" spans="2:3" x14ac:dyDescent="0.25">
      <c r="B2171" s="463"/>
      <c r="C2171" s="463"/>
    </row>
    <row r="2172" spans="2:3" x14ac:dyDescent="0.25">
      <c r="B2172" s="463"/>
      <c r="C2172" s="463"/>
    </row>
    <row r="2173" spans="2:3" x14ac:dyDescent="0.25">
      <c r="B2173" s="463"/>
      <c r="C2173" s="463"/>
    </row>
    <row r="2174" spans="2:3" x14ac:dyDescent="0.25">
      <c r="B2174" s="463"/>
      <c r="C2174" s="463"/>
    </row>
    <row r="2175" spans="2:3" x14ac:dyDescent="0.25">
      <c r="B2175" s="463"/>
      <c r="C2175" s="463"/>
    </row>
    <row r="2176" spans="2:3" x14ac:dyDescent="0.25">
      <c r="B2176" s="463"/>
      <c r="C2176" s="463"/>
    </row>
    <row r="2177" spans="2:3" x14ac:dyDescent="0.25">
      <c r="B2177" s="463"/>
      <c r="C2177" s="463"/>
    </row>
    <row r="2178" spans="2:3" x14ac:dyDescent="0.25">
      <c r="B2178" s="463"/>
      <c r="C2178" s="463"/>
    </row>
    <row r="2179" spans="2:3" x14ac:dyDescent="0.25">
      <c r="B2179" s="463"/>
      <c r="C2179" s="463"/>
    </row>
    <row r="2180" spans="2:3" x14ac:dyDescent="0.25">
      <c r="B2180" s="463"/>
      <c r="C2180" s="463"/>
    </row>
    <row r="2181" spans="2:3" x14ac:dyDescent="0.25">
      <c r="B2181" s="463"/>
      <c r="C2181" s="463"/>
    </row>
    <row r="2182" spans="2:3" x14ac:dyDescent="0.25">
      <c r="B2182" s="463"/>
      <c r="C2182" s="463"/>
    </row>
    <row r="2183" spans="2:3" x14ac:dyDescent="0.25">
      <c r="B2183" s="463"/>
      <c r="C2183" s="463"/>
    </row>
    <row r="2184" spans="2:3" x14ac:dyDescent="0.25">
      <c r="B2184" s="463"/>
      <c r="C2184" s="463"/>
    </row>
    <row r="2185" spans="2:3" x14ac:dyDescent="0.25">
      <c r="B2185" s="463"/>
      <c r="C2185" s="463"/>
    </row>
    <row r="2186" spans="2:3" x14ac:dyDescent="0.25">
      <c r="B2186" s="463"/>
      <c r="C2186" s="463"/>
    </row>
    <row r="2187" spans="2:3" x14ac:dyDescent="0.25">
      <c r="B2187" s="463"/>
      <c r="C2187" s="463"/>
    </row>
    <row r="2188" spans="2:3" x14ac:dyDescent="0.25">
      <c r="B2188" s="463"/>
      <c r="C2188" s="463"/>
    </row>
    <row r="2189" spans="2:3" x14ac:dyDescent="0.25">
      <c r="B2189" s="463"/>
      <c r="C2189" s="463"/>
    </row>
    <row r="2190" spans="2:3" x14ac:dyDescent="0.25">
      <c r="B2190" s="463"/>
      <c r="C2190" s="463"/>
    </row>
    <row r="2191" spans="2:3" x14ac:dyDescent="0.25">
      <c r="B2191" s="463"/>
      <c r="C2191" s="463"/>
    </row>
    <row r="2192" spans="2:3" x14ac:dyDescent="0.25">
      <c r="B2192" s="463"/>
      <c r="C2192" s="463"/>
    </row>
    <row r="2193" spans="2:3" x14ac:dyDescent="0.25">
      <c r="B2193" s="463"/>
      <c r="C2193" s="463"/>
    </row>
    <row r="2194" spans="2:3" x14ac:dyDescent="0.25">
      <c r="B2194" s="463"/>
      <c r="C2194" s="463"/>
    </row>
    <row r="2195" spans="2:3" x14ac:dyDescent="0.25">
      <c r="B2195" s="463"/>
      <c r="C2195" s="463"/>
    </row>
    <row r="2196" spans="2:3" x14ac:dyDescent="0.25">
      <c r="B2196" s="463"/>
      <c r="C2196" s="463"/>
    </row>
    <row r="2197" spans="2:3" x14ac:dyDescent="0.25">
      <c r="B2197" s="463"/>
      <c r="C2197" s="463"/>
    </row>
    <row r="2198" spans="2:3" x14ac:dyDescent="0.25">
      <c r="B2198" s="463"/>
      <c r="C2198" s="463"/>
    </row>
    <row r="2199" spans="2:3" x14ac:dyDescent="0.25">
      <c r="B2199" s="463"/>
      <c r="C2199" s="463"/>
    </row>
    <row r="2200" spans="2:3" x14ac:dyDescent="0.25">
      <c r="B2200" s="463"/>
      <c r="C2200" s="463"/>
    </row>
    <row r="2201" spans="2:3" x14ac:dyDescent="0.25">
      <c r="B2201" s="463"/>
      <c r="C2201" s="463"/>
    </row>
    <row r="2202" spans="2:3" x14ac:dyDescent="0.25">
      <c r="B2202" s="463"/>
      <c r="C2202" s="463"/>
    </row>
    <row r="2203" spans="2:3" x14ac:dyDescent="0.25">
      <c r="B2203" s="463"/>
      <c r="C2203" s="463"/>
    </row>
    <row r="2204" spans="2:3" x14ac:dyDescent="0.25">
      <c r="B2204" s="463"/>
      <c r="C2204" s="463"/>
    </row>
    <row r="2205" spans="2:3" x14ac:dyDescent="0.25">
      <c r="B2205" s="463"/>
      <c r="C2205" s="463"/>
    </row>
    <row r="2206" spans="2:3" x14ac:dyDescent="0.25">
      <c r="B2206" s="463"/>
      <c r="C2206" s="463"/>
    </row>
    <row r="2207" spans="2:3" x14ac:dyDescent="0.25">
      <c r="B2207" s="463"/>
      <c r="C2207" s="463"/>
    </row>
    <row r="2208" spans="2:3" x14ac:dyDescent="0.25">
      <c r="B2208" s="463"/>
      <c r="C2208" s="463"/>
    </row>
    <row r="2209" spans="2:3" x14ac:dyDescent="0.25">
      <c r="B2209" s="463"/>
      <c r="C2209" s="463"/>
    </row>
    <row r="2210" spans="2:3" x14ac:dyDescent="0.25">
      <c r="B2210" s="463"/>
      <c r="C2210" s="463"/>
    </row>
    <row r="2211" spans="2:3" x14ac:dyDescent="0.25">
      <c r="B2211" s="463"/>
      <c r="C2211" s="463"/>
    </row>
    <row r="2212" spans="2:3" x14ac:dyDescent="0.25">
      <c r="B2212" s="463"/>
      <c r="C2212" s="463"/>
    </row>
    <row r="2213" spans="2:3" x14ac:dyDescent="0.25">
      <c r="B2213" s="463"/>
      <c r="C2213" s="463"/>
    </row>
    <row r="2214" spans="2:3" x14ac:dyDescent="0.25">
      <c r="B2214" s="463"/>
      <c r="C2214" s="463"/>
    </row>
    <row r="2215" spans="2:3" x14ac:dyDescent="0.25">
      <c r="B2215" s="463"/>
      <c r="C2215" s="463"/>
    </row>
    <row r="2216" spans="2:3" x14ac:dyDescent="0.25">
      <c r="B2216" s="463"/>
      <c r="C2216" s="463"/>
    </row>
    <row r="2217" spans="2:3" x14ac:dyDescent="0.25">
      <c r="B2217" s="463"/>
      <c r="C2217" s="463"/>
    </row>
    <row r="2218" spans="2:3" x14ac:dyDescent="0.25">
      <c r="B2218" s="463"/>
      <c r="C2218" s="463"/>
    </row>
    <row r="2219" spans="2:3" x14ac:dyDescent="0.25">
      <c r="B2219" s="463"/>
      <c r="C2219" s="463"/>
    </row>
    <row r="2220" spans="2:3" x14ac:dyDescent="0.25">
      <c r="B2220" s="463"/>
      <c r="C2220" s="463"/>
    </row>
    <row r="2221" spans="2:3" x14ac:dyDescent="0.25">
      <c r="B2221" s="463"/>
      <c r="C2221" s="463"/>
    </row>
    <row r="2222" spans="2:3" x14ac:dyDescent="0.25">
      <c r="B2222" s="463"/>
      <c r="C2222" s="463"/>
    </row>
    <row r="2223" spans="2:3" x14ac:dyDescent="0.25">
      <c r="B2223" s="463"/>
      <c r="C2223" s="463"/>
    </row>
    <row r="2224" spans="2:3" x14ac:dyDescent="0.25">
      <c r="B2224" s="463"/>
      <c r="C2224" s="463"/>
    </row>
    <row r="2225" spans="2:3" x14ac:dyDescent="0.25">
      <c r="B2225" s="463"/>
      <c r="C2225" s="463"/>
    </row>
    <row r="2226" spans="2:3" x14ac:dyDescent="0.25">
      <c r="B2226" s="463"/>
      <c r="C2226" s="463"/>
    </row>
    <row r="2227" spans="2:3" x14ac:dyDescent="0.25">
      <c r="B2227" s="463"/>
      <c r="C2227" s="463"/>
    </row>
    <row r="2228" spans="2:3" x14ac:dyDescent="0.25">
      <c r="B2228" s="463"/>
      <c r="C2228" s="463"/>
    </row>
    <row r="2229" spans="2:3" x14ac:dyDescent="0.25">
      <c r="B2229" s="463"/>
      <c r="C2229" s="463"/>
    </row>
    <row r="2230" spans="2:3" x14ac:dyDescent="0.25">
      <c r="B2230" s="463"/>
      <c r="C2230" s="463"/>
    </row>
    <row r="2231" spans="2:3" x14ac:dyDescent="0.25">
      <c r="B2231" s="463"/>
      <c r="C2231" s="463"/>
    </row>
    <row r="2232" spans="2:3" x14ac:dyDescent="0.25">
      <c r="B2232" s="463"/>
      <c r="C2232" s="463"/>
    </row>
    <row r="2233" spans="2:3" x14ac:dyDescent="0.25">
      <c r="B2233" s="463"/>
      <c r="C2233" s="463"/>
    </row>
    <row r="2234" spans="2:3" x14ac:dyDescent="0.25">
      <c r="B2234" s="463"/>
      <c r="C2234" s="463"/>
    </row>
    <row r="2235" spans="2:3" x14ac:dyDescent="0.25">
      <c r="B2235" s="463"/>
      <c r="C2235" s="463"/>
    </row>
    <row r="2236" spans="2:3" x14ac:dyDescent="0.25">
      <c r="B2236" s="463"/>
      <c r="C2236" s="463"/>
    </row>
    <row r="2237" spans="2:3" x14ac:dyDescent="0.25">
      <c r="B2237" s="463"/>
      <c r="C2237" s="463"/>
    </row>
    <row r="2238" spans="2:3" x14ac:dyDescent="0.25">
      <c r="B2238" s="463"/>
      <c r="C2238" s="463"/>
    </row>
    <row r="2239" spans="2:3" x14ac:dyDescent="0.25">
      <c r="B2239" s="463"/>
      <c r="C2239" s="463"/>
    </row>
    <row r="2240" spans="2:3" x14ac:dyDescent="0.25">
      <c r="B2240" s="463"/>
      <c r="C2240" s="463"/>
    </row>
    <row r="2241" spans="2:3" x14ac:dyDescent="0.25">
      <c r="B2241" s="463"/>
      <c r="C2241" s="463"/>
    </row>
    <row r="2242" spans="2:3" x14ac:dyDescent="0.25">
      <c r="B2242" s="463"/>
      <c r="C2242" s="463"/>
    </row>
    <row r="2243" spans="2:3" x14ac:dyDescent="0.25">
      <c r="B2243" s="463"/>
      <c r="C2243" s="463"/>
    </row>
    <row r="2244" spans="2:3" x14ac:dyDescent="0.25">
      <c r="B2244" s="463"/>
      <c r="C2244" s="463"/>
    </row>
    <row r="2245" spans="2:3" x14ac:dyDescent="0.25">
      <c r="B2245" s="463"/>
      <c r="C2245" s="463"/>
    </row>
    <row r="2246" spans="2:3" x14ac:dyDescent="0.25">
      <c r="B2246" s="463"/>
      <c r="C2246" s="463"/>
    </row>
    <row r="2247" spans="2:3" x14ac:dyDescent="0.25">
      <c r="B2247" s="463"/>
      <c r="C2247" s="463"/>
    </row>
    <row r="2248" spans="2:3" x14ac:dyDescent="0.25">
      <c r="B2248" s="463"/>
      <c r="C2248" s="463"/>
    </row>
    <row r="2249" spans="2:3" x14ac:dyDescent="0.25">
      <c r="B2249" s="463"/>
      <c r="C2249" s="463"/>
    </row>
    <row r="2250" spans="2:3" x14ac:dyDescent="0.25">
      <c r="B2250" s="463"/>
      <c r="C2250" s="463"/>
    </row>
    <row r="2251" spans="2:3" x14ac:dyDescent="0.25">
      <c r="B2251" s="463"/>
      <c r="C2251" s="463"/>
    </row>
    <row r="2252" spans="2:3" x14ac:dyDescent="0.25">
      <c r="B2252" s="463"/>
      <c r="C2252" s="463"/>
    </row>
    <row r="2253" spans="2:3" x14ac:dyDescent="0.25">
      <c r="B2253" s="463"/>
      <c r="C2253" s="463"/>
    </row>
    <row r="2254" spans="2:3" x14ac:dyDescent="0.25">
      <c r="B2254" s="463"/>
      <c r="C2254" s="463"/>
    </row>
    <row r="2255" spans="2:3" x14ac:dyDescent="0.25">
      <c r="B2255" s="463"/>
      <c r="C2255" s="463"/>
    </row>
    <row r="2256" spans="2:3" x14ac:dyDescent="0.25">
      <c r="B2256" s="463"/>
      <c r="C2256" s="463"/>
    </row>
    <row r="2257" spans="2:3" x14ac:dyDescent="0.25">
      <c r="B2257" s="463"/>
      <c r="C2257" s="463"/>
    </row>
    <row r="2258" spans="2:3" x14ac:dyDescent="0.25">
      <c r="B2258" s="463"/>
      <c r="C2258" s="463"/>
    </row>
    <row r="2259" spans="2:3" x14ac:dyDescent="0.25">
      <c r="B2259" s="463"/>
      <c r="C2259" s="463"/>
    </row>
    <row r="2260" spans="2:3" x14ac:dyDescent="0.25">
      <c r="B2260" s="463"/>
      <c r="C2260" s="463"/>
    </row>
    <row r="2261" spans="2:3" x14ac:dyDescent="0.25">
      <c r="B2261" s="463"/>
      <c r="C2261" s="463"/>
    </row>
    <row r="2262" spans="2:3" x14ac:dyDescent="0.25">
      <c r="B2262" s="463"/>
      <c r="C2262" s="463"/>
    </row>
    <row r="2263" spans="2:3" x14ac:dyDescent="0.25">
      <c r="B2263" s="463"/>
      <c r="C2263" s="463"/>
    </row>
    <row r="2264" spans="2:3" x14ac:dyDescent="0.25">
      <c r="B2264" s="463"/>
      <c r="C2264" s="463"/>
    </row>
    <row r="2265" spans="2:3" x14ac:dyDescent="0.25">
      <c r="B2265" s="463"/>
      <c r="C2265" s="463"/>
    </row>
    <row r="2266" spans="2:3" x14ac:dyDescent="0.25">
      <c r="B2266" s="463"/>
      <c r="C2266" s="463"/>
    </row>
    <row r="2267" spans="2:3" x14ac:dyDescent="0.25">
      <c r="B2267" s="463"/>
      <c r="C2267" s="463"/>
    </row>
    <row r="2268" spans="2:3" x14ac:dyDescent="0.25">
      <c r="B2268" s="463"/>
      <c r="C2268" s="463"/>
    </row>
    <row r="2269" spans="2:3" x14ac:dyDescent="0.25">
      <c r="B2269" s="463"/>
      <c r="C2269" s="463"/>
    </row>
    <row r="2270" spans="2:3" x14ac:dyDescent="0.25">
      <c r="B2270" s="463"/>
      <c r="C2270" s="463"/>
    </row>
    <row r="2271" spans="2:3" x14ac:dyDescent="0.25">
      <c r="B2271" s="463"/>
      <c r="C2271" s="463"/>
    </row>
    <row r="2272" spans="2:3" x14ac:dyDescent="0.25">
      <c r="B2272" s="463"/>
      <c r="C2272" s="463"/>
    </row>
    <row r="2273" spans="2:3" x14ac:dyDescent="0.25">
      <c r="B2273" s="463"/>
      <c r="C2273" s="463"/>
    </row>
    <row r="2274" spans="2:3" x14ac:dyDescent="0.25">
      <c r="B2274" s="463"/>
      <c r="C2274" s="463"/>
    </row>
    <row r="2275" spans="2:3" x14ac:dyDescent="0.25">
      <c r="B2275" s="463"/>
      <c r="C2275" s="463"/>
    </row>
    <row r="2276" spans="2:3" x14ac:dyDescent="0.25">
      <c r="B2276" s="463"/>
      <c r="C2276" s="463"/>
    </row>
    <row r="2277" spans="2:3" x14ac:dyDescent="0.25">
      <c r="B2277" s="463"/>
      <c r="C2277" s="463"/>
    </row>
    <row r="2278" spans="2:3" x14ac:dyDescent="0.25">
      <c r="B2278" s="463"/>
      <c r="C2278" s="463"/>
    </row>
    <row r="2279" spans="2:3" x14ac:dyDescent="0.25">
      <c r="B2279" s="463"/>
      <c r="C2279" s="463"/>
    </row>
    <row r="2280" spans="2:3" x14ac:dyDescent="0.25">
      <c r="B2280" s="463"/>
      <c r="C2280" s="463"/>
    </row>
    <row r="2281" spans="2:3" x14ac:dyDescent="0.25">
      <c r="B2281" s="463"/>
      <c r="C2281" s="463"/>
    </row>
    <row r="2282" spans="2:3" x14ac:dyDescent="0.25">
      <c r="B2282" s="463"/>
      <c r="C2282" s="463"/>
    </row>
    <row r="2283" spans="2:3" x14ac:dyDescent="0.25">
      <c r="B2283" s="463"/>
      <c r="C2283" s="463"/>
    </row>
    <row r="2284" spans="2:3" x14ac:dyDescent="0.25">
      <c r="B2284" s="463"/>
      <c r="C2284" s="463"/>
    </row>
    <row r="2285" spans="2:3" x14ac:dyDescent="0.25">
      <c r="B2285" s="463"/>
      <c r="C2285" s="463"/>
    </row>
    <row r="2286" spans="2:3" x14ac:dyDescent="0.25">
      <c r="B2286" s="463"/>
      <c r="C2286" s="463"/>
    </row>
    <row r="2287" spans="2:3" x14ac:dyDescent="0.25">
      <c r="B2287" s="463"/>
      <c r="C2287" s="463"/>
    </row>
    <row r="2288" spans="2:3" x14ac:dyDescent="0.25">
      <c r="B2288" s="463"/>
      <c r="C2288" s="463"/>
    </row>
    <row r="2289" spans="2:3" x14ac:dyDescent="0.25">
      <c r="B2289" s="463"/>
      <c r="C2289" s="463"/>
    </row>
    <row r="2290" spans="2:3" x14ac:dyDescent="0.25">
      <c r="B2290" s="463"/>
      <c r="C2290" s="463"/>
    </row>
    <row r="2291" spans="2:3" x14ac:dyDescent="0.25">
      <c r="B2291" s="463"/>
      <c r="C2291" s="463"/>
    </row>
    <row r="2292" spans="2:3" x14ac:dyDescent="0.25">
      <c r="B2292" s="463"/>
      <c r="C2292" s="463"/>
    </row>
    <row r="2293" spans="2:3" x14ac:dyDescent="0.25">
      <c r="B2293" s="463"/>
      <c r="C2293" s="463"/>
    </row>
    <row r="2294" spans="2:3" x14ac:dyDescent="0.25">
      <c r="B2294" s="463"/>
      <c r="C2294" s="463"/>
    </row>
    <row r="2295" spans="2:3" x14ac:dyDescent="0.25">
      <c r="B2295" s="463"/>
      <c r="C2295" s="463"/>
    </row>
    <row r="2296" spans="2:3" x14ac:dyDescent="0.25">
      <c r="B2296" s="463"/>
      <c r="C2296" s="463"/>
    </row>
    <row r="2297" spans="2:3" x14ac:dyDescent="0.25">
      <c r="B2297" s="463"/>
      <c r="C2297" s="463"/>
    </row>
    <row r="2298" spans="2:3" x14ac:dyDescent="0.25">
      <c r="B2298" s="463"/>
      <c r="C2298" s="463"/>
    </row>
    <row r="2299" spans="2:3" x14ac:dyDescent="0.25">
      <c r="B2299" s="463"/>
      <c r="C2299" s="463"/>
    </row>
    <row r="2300" spans="2:3" x14ac:dyDescent="0.25">
      <c r="B2300" s="463"/>
      <c r="C2300" s="463"/>
    </row>
    <row r="2301" spans="2:3" x14ac:dyDescent="0.25">
      <c r="B2301" s="463"/>
      <c r="C2301" s="463"/>
    </row>
    <row r="2302" spans="2:3" x14ac:dyDescent="0.25">
      <c r="B2302" s="463"/>
      <c r="C2302" s="463"/>
    </row>
    <row r="2303" spans="2:3" x14ac:dyDescent="0.25">
      <c r="B2303" s="463"/>
      <c r="C2303" s="463"/>
    </row>
    <row r="2304" spans="2:3" x14ac:dyDescent="0.25">
      <c r="B2304" s="463"/>
      <c r="C2304" s="463"/>
    </row>
    <row r="2305" spans="2:3" x14ac:dyDescent="0.25">
      <c r="B2305" s="463"/>
      <c r="C2305" s="463"/>
    </row>
    <row r="2306" spans="2:3" x14ac:dyDescent="0.25">
      <c r="B2306" s="463"/>
      <c r="C2306" s="463"/>
    </row>
    <row r="2307" spans="2:3" x14ac:dyDescent="0.25">
      <c r="B2307" s="463"/>
      <c r="C2307" s="463"/>
    </row>
    <row r="2308" spans="2:3" x14ac:dyDescent="0.25">
      <c r="B2308" s="463"/>
      <c r="C2308" s="463"/>
    </row>
    <row r="2309" spans="2:3" x14ac:dyDescent="0.25">
      <c r="B2309" s="463"/>
      <c r="C2309" s="463"/>
    </row>
    <row r="2310" spans="2:3" x14ac:dyDescent="0.25">
      <c r="B2310" s="463"/>
      <c r="C2310" s="463"/>
    </row>
    <row r="2311" spans="2:3" x14ac:dyDescent="0.25">
      <c r="B2311" s="463"/>
      <c r="C2311" s="463"/>
    </row>
    <row r="2312" spans="2:3" x14ac:dyDescent="0.25">
      <c r="B2312" s="463"/>
      <c r="C2312" s="463"/>
    </row>
    <row r="2313" spans="2:3" x14ac:dyDescent="0.25">
      <c r="B2313" s="463"/>
      <c r="C2313" s="463"/>
    </row>
    <row r="2314" spans="2:3" x14ac:dyDescent="0.25">
      <c r="B2314" s="463"/>
      <c r="C2314" s="463"/>
    </row>
    <row r="2315" spans="2:3" x14ac:dyDescent="0.25">
      <c r="B2315" s="463"/>
      <c r="C2315" s="463"/>
    </row>
    <row r="2316" spans="2:3" x14ac:dyDescent="0.25">
      <c r="B2316" s="463"/>
      <c r="C2316" s="463"/>
    </row>
    <row r="2317" spans="2:3" x14ac:dyDescent="0.25">
      <c r="B2317" s="463"/>
      <c r="C2317" s="463"/>
    </row>
    <row r="2318" spans="2:3" x14ac:dyDescent="0.25">
      <c r="B2318" s="463"/>
      <c r="C2318" s="463"/>
    </row>
    <row r="2319" spans="2:3" x14ac:dyDescent="0.25">
      <c r="B2319" s="463"/>
      <c r="C2319" s="463"/>
    </row>
    <row r="2320" spans="2:3" x14ac:dyDescent="0.25">
      <c r="B2320" s="463"/>
      <c r="C2320" s="463"/>
    </row>
    <row r="2321" spans="2:3" x14ac:dyDescent="0.25">
      <c r="B2321" s="463"/>
      <c r="C2321" s="463"/>
    </row>
    <row r="2322" spans="2:3" x14ac:dyDescent="0.25">
      <c r="B2322" s="463"/>
      <c r="C2322" s="463"/>
    </row>
    <row r="2323" spans="2:3" x14ac:dyDescent="0.25">
      <c r="B2323" s="463"/>
      <c r="C2323" s="463"/>
    </row>
    <row r="2324" spans="2:3" x14ac:dyDescent="0.25">
      <c r="B2324" s="463"/>
      <c r="C2324" s="463"/>
    </row>
    <row r="2325" spans="2:3" x14ac:dyDescent="0.25">
      <c r="B2325" s="463"/>
      <c r="C2325" s="463"/>
    </row>
    <row r="2326" spans="2:3" x14ac:dyDescent="0.25">
      <c r="B2326" s="463"/>
      <c r="C2326" s="463"/>
    </row>
    <row r="2327" spans="2:3" x14ac:dyDescent="0.25">
      <c r="B2327" s="463"/>
      <c r="C2327" s="463"/>
    </row>
    <row r="2328" spans="2:3" x14ac:dyDescent="0.25">
      <c r="B2328" s="463"/>
      <c r="C2328" s="463"/>
    </row>
    <row r="2329" spans="2:3" x14ac:dyDescent="0.25">
      <c r="B2329" s="463"/>
      <c r="C2329" s="463"/>
    </row>
    <row r="2330" spans="2:3" x14ac:dyDescent="0.25">
      <c r="B2330" s="463"/>
      <c r="C2330" s="463"/>
    </row>
    <row r="2331" spans="2:3" x14ac:dyDescent="0.25">
      <c r="B2331" s="463"/>
      <c r="C2331" s="463"/>
    </row>
    <row r="2332" spans="2:3" x14ac:dyDescent="0.25">
      <c r="B2332" s="463"/>
      <c r="C2332" s="463"/>
    </row>
    <row r="2333" spans="2:3" x14ac:dyDescent="0.25">
      <c r="B2333" s="463"/>
      <c r="C2333" s="463"/>
    </row>
    <row r="2334" spans="2:3" x14ac:dyDescent="0.25">
      <c r="B2334" s="463"/>
      <c r="C2334" s="463"/>
    </row>
    <row r="2335" spans="2:3" x14ac:dyDescent="0.25">
      <c r="B2335" s="463"/>
      <c r="C2335" s="463"/>
    </row>
    <row r="2336" spans="2:3" x14ac:dyDescent="0.25">
      <c r="B2336" s="463"/>
      <c r="C2336" s="463"/>
    </row>
    <row r="2337" spans="2:3" x14ac:dyDescent="0.25">
      <c r="B2337" s="463"/>
      <c r="C2337" s="463"/>
    </row>
    <row r="2338" spans="2:3" x14ac:dyDescent="0.25">
      <c r="B2338" s="463"/>
      <c r="C2338" s="463"/>
    </row>
    <row r="2339" spans="2:3" x14ac:dyDescent="0.25">
      <c r="B2339" s="463"/>
      <c r="C2339" s="463"/>
    </row>
    <row r="2340" spans="2:3" x14ac:dyDescent="0.25">
      <c r="B2340" s="463"/>
      <c r="C2340" s="463"/>
    </row>
    <row r="2341" spans="2:3" x14ac:dyDescent="0.25">
      <c r="B2341" s="463"/>
      <c r="C2341" s="463"/>
    </row>
    <row r="2342" spans="2:3" x14ac:dyDescent="0.25">
      <c r="B2342" s="463"/>
      <c r="C2342" s="463"/>
    </row>
    <row r="2343" spans="2:3" x14ac:dyDescent="0.25">
      <c r="B2343" s="463"/>
      <c r="C2343" s="463"/>
    </row>
    <row r="2344" spans="2:3" x14ac:dyDescent="0.25">
      <c r="B2344" s="463"/>
      <c r="C2344" s="463"/>
    </row>
    <row r="2345" spans="2:3" x14ac:dyDescent="0.25">
      <c r="B2345" s="463"/>
      <c r="C2345" s="463"/>
    </row>
    <row r="2346" spans="2:3" x14ac:dyDescent="0.25">
      <c r="B2346" s="463"/>
      <c r="C2346" s="463"/>
    </row>
    <row r="2347" spans="2:3" x14ac:dyDescent="0.25">
      <c r="B2347" s="463"/>
      <c r="C2347" s="463"/>
    </row>
    <row r="2348" spans="2:3" x14ac:dyDescent="0.25">
      <c r="B2348" s="463"/>
      <c r="C2348" s="463"/>
    </row>
    <row r="2349" spans="2:3" x14ac:dyDescent="0.25">
      <c r="B2349" s="463"/>
      <c r="C2349" s="463"/>
    </row>
    <row r="2350" spans="2:3" x14ac:dyDescent="0.25">
      <c r="B2350" s="463"/>
      <c r="C2350" s="463"/>
    </row>
    <row r="2351" spans="2:3" x14ac:dyDescent="0.25">
      <c r="B2351" s="463"/>
      <c r="C2351" s="463"/>
    </row>
    <row r="2352" spans="2:3" x14ac:dyDescent="0.25">
      <c r="B2352" s="463"/>
      <c r="C2352" s="463"/>
    </row>
    <row r="2353" spans="2:3" x14ac:dyDescent="0.25">
      <c r="B2353" s="463"/>
      <c r="C2353" s="463"/>
    </row>
    <row r="2354" spans="2:3" x14ac:dyDescent="0.25">
      <c r="B2354" s="463"/>
      <c r="C2354" s="463"/>
    </row>
    <row r="2355" spans="2:3" x14ac:dyDescent="0.25">
      <c r="B2355" s="463"/>
      <c r="C2355" s="463"/>
    </row>
    <row r="2356" spans="2:3" x14ac:dyDescent="0.25">
      <c r="B2356" s="463"/>
      <c r="C2356" s="463"/>
    </row>
    <row r="2357" spans="2:3" x14ac:dyDescent="0.25">
      <c r="B2357" s="463"/>
      <c r="C2357" s="463"/>
    </row>
    <row r="2358" spans="2:3" x14ac:dyDescent="0.25">
      <c r="B2358" s="463"/>
      <c r="C2358" s="463"/>
    </row>
    <row r="2359" spans="2:3" x14ac:dyDescent="0.25">
      <c r="B2359" s="463"/>
      <c r="C2359" s="463"/>
    </row>
    <row r="2360" spans="2:3" x14ac:dyDescent="0.25">
      <c r="B2360" s="463"/>
      <c r="C2360" s="463"/>
    </row>
    <row r="2361" spans="2:3" x14ac:dyDescent="0.25">
      <c r="B2361" s="463"/>
      <c r="C2361" s="463"/>
    </row>
    <row r="2362" spans="2:3" x14ac:dyDescent="0.25">
      <c r="B2362" s="463"/>
      <c r="C2362" s="463"/>
    </row>
    <row r="2363" spans="2:3" x14ac:dyDescent="0.25">
      <c r="B2363" s="463"/>
      <c r="C2363" s="463"/>
    </row>
    <row r="2364" spans="2:3" x14ac:dyDescent="0.25">
      <c r="B2364" s="463"/>
      <c r="C2364" s="463"/>
    </row>
    <row r="2365" spans="2:3" x14ac:dyDescent="0.25">
      <c r="B2365" s="463"/>
      <c r="C2365" s="463"/>
    </row>
    <row r="2366" spans="2:3" x14ac:dyDescent="0.25">
      <c r="B2366" s="463"/>
      <c r="C2366" s="463"/>
    </row>
    <row r="2367" spans="2:3" x14ac:dyDescent="0.25">
      <c r="B2367" s="463"/>
      <c r="C2367" s="463"/>
    </row>
    <row r="2368" spans="2:3" x14ac:dyDescent="0.25">
      <c r="B2368" s="463"/>
      <c r="C2368" s="463"/>
    </row>
    <row r="2369" spans="2:3" x14ac:dyDescent="0.25">
      <c r="B2369" s="463"/>
      <c r="C2369" s="463"/>
    </row>
    <row r="2370" spans="2:3" x14ac:dyDescent="0.25">
      <c r="B2370" s="463"/>
      <c r="C2370" s="463"/>
    </row>
    <row r="2371" spans="2:3" x14ac:dyDescent="0.25">
      <c r="B2371" s="463"/>
      <c r="C2371" s="463"/>
    </row>
    <row r="2372" spans="2:3" x14ac:dyDescent="0.25">
      <c r="B2372" s="463"/>
      <c r="C2372" s="463"/>
    </row>
    <row r="2373" spans="2:3" x14ac:dyDescent="0.25">
      <c r="B2373" s="463"/>
      <c r="C2373" s="463"/>
    </row>
    <row r="2374" spans="2:3" x14ac:dyDescent="0.25">
      <c r="B2374" s="463"/>
      <c r="C2374" s="463"/>
    </row>
    <row r="2375" spans="2:3" x14ac:dyDescent="0.25">
      <c r="B2375" s="463"/>
      <c r="C2375" s="463"/>
    </row>
    <row r="2376" spans="2:3" x14ac:dyDescent="0.25">
      <c r="B2376" s="463"/>
      <c r="C2376" s="463"/>
    </row>
    <row r="2377" spans="2:3" x14ac:dyDescent="0.25">
      <c r="B2377" s="463"/>
      <c r="C2377" s="463"/>
    </row>
    <row r="2378" spans="2:3" x14ac:dyDescent="0.25">
      <c r="B2378" s="463"/>
      <c r="C2378" s="463"/>
    </row>
    <row r="2379" spans="2:3" x14ac:dyDescent="0.25">
      <c r="B2379" s="463"/>
      <c r="C2379" s="463"/>
    </row>
    <row r="2380" spans="2:3" x14ac:dyDescent="0.25">
      <c r="B2380" s="463"/>
      <c r="C2380" s="463"/>
    </row>
    <row r="2381" spans="2:3" x14ac:dyDescent="0.25">
      <c r="B2381" s="463"/>
      <c r="C2381" s="463"/>
    </row>
    <row r="2382" spans="2:3" x14ac:dyDescent="0.25">
      <c r="B2382" s="463"/>
      <c r="C2382" s="463"/>
    </row>
    <row r="2383" spans="2:3" x14ac:dyDescent="0.25">
      <c r="B2383" s="463"/>
      <c r="C2383" s="463"/>
    </row>
    <row r="2384" spans="2:3" x14ac:dyDescent="0.25">
      <c r="B2384" s="463"/>
      <c r="C2384" s="463"/>
    </row>
    <row r="2385" spans="2:3" x14ac:dyDescent="0.25">
      <c r="B2385" s="463"/>
      <c r="C2385" s="463"/>
    </row>
    <row r="2386" spans="2:3" x14ac:dyDescent="0.25">
      <c r="B2386" s="463"/>
      <c r="C2386" s="463"/>
    </row>
    <row r="2387" spans="2:3" x14ac:dyDescent="0.25">
      <c r="B2387" s="463"/>
      <c r="C2387" s="463"/>
    </row>
    <row r="2388" spans="2:3" x14ac:dyDescent="0.25">
      <c r="B2388" s="463"/>
      <c r="C2388" s="463"/>
    </row>
    <row r="2389" spans="2:3" x14ac:dyDescent="0.25">
      <c r="B2389" s="463"/>
      <c r="C2389" s="463"/>
    </row>
    <row r="2390" spans="2:3" x14ac:dyDescent="0.25">
      <c r="B2390" s="463"/>
      <c r="C2390" s="463"/>
    </row>
    <row r="2391" spans="2:3" x14ac:dyDescent="0.25">
      <c r="B2391" s="463"/>
      <c r="C2391" s="463"/>
    </row>
    <row r="2392" spans="2:3" x14ac:dyDescent="0.25">
      <c r="B2392" s="463"/>
      <c r="C2392" s="463"/>
    </row>
    <row r="2393" spans="2:3" x14ac:dyDescent="0.25">
      <c r="B2393" s="463"/>
      <c r="C2393" s="463"/>
    </row>
    <row r="2394" spans="2:3" x14ac:dyDescent="0.25">
      <c r="B2394" s="463"/>
      <c r="C2394" s="463"/>
    </row>
    <row r="2395" spans="2:3" x14ac:dyDescent="0.25">
      <c r="B2395" s="463"/>
      <c r="C2395" s="463"/>
    </row>
    <row r="2396" spans="2:3" x14ac:dyDescent="0.25">
      <c r="B2396" s="463"/>
      <c r="C2396" s="463"/>
    </row>
    <row r="2397" spans="2:3" x14ac:dyDescent="0.25">
      <c r="B2397" s="463"/>
      <c r="C2397" s="463"/>
    </row>
    <row r="2398" spans="2:3" x14ac:dyDescent="0.25">
      <c r="B2398" s="463"/>
      <c r="C2398" s="463"/>
    </row>
    <row r="2399" spans="2:3" x14ac:dyDescent="0.25">
      <c r="B2399" s="463"/>
      <c r="C2399" s="463"/>
    </row>
    <row r="2400" spans="2:3" x14ac:dyDescent="0.25">
      <c r="B2400" s="463"/>
      <c r="C2400" s="463"/>
    </row>
    <row r="2401" spans="2:3" x14ac:dyDescent="0.25">
      <c r="B2401" s="463"/>
      <c r="C2401" s="463"/>
    </row>
    <row r="2402" spans="2:3" x14ac:dyDescent="0.25">
      <c r="B2402" s="463"/>
      <c r="C2402" s="463"/>
    </row>
    <row r="2403" spans="2:3" x14ac:dyDescent="0.25">
      <c r="B2403" s="463"/>
      <c r="C2403" s="463"/>
    </row>
    <row r="2404" spans="2:3" x14ac:dyDescent="0.25">
      <c r="B2404" s="463"/>
      <c r="C2404" s="463"/>
    </row>
    <row r="2405" spans="2:3" x14ac:dyDescent="0.25">
      <c r="B2405" s="463"/>
      <c r="C2405" s="463"/>
    </row>
    <row r="2406" spans="2:3" x14ac:dyDescent="0.25">
      <c r="B2406" s="463"/>
      <c r="C2406" s="463"/>
    </row>
    <row r="2407" spans="2:3" x14ac:dyDescent="0.25">
      <c r="B2407" s="463"/>
      <c r="C2407" s="463"/>
    </row>
    <row r="2408" spans="2:3" x14ac:dyDescent="0.25">
      <c r="B2408" s="463"/>
      <c r="C2408" s="463"/>
    </row>
    <row r="2409" spans="2:3" x14ac:dyDescent="0.25">
      <c r="B2409" s="463"/>
      <c r="C2409" s="463"/>
    </row>
    <row r="2410" spans="2:3" x14ac:dyDescent="0.25">
      <c r="B2410" s="463"/>
      <c r="C2410" s="463"/>
    </row>
    <row r="2411" spans="2:3" x14ac:dyDescent="0.25">
      <c r="B2411" s="463"/>
      <c r="C2411" s="463"/>
    </row>
    <row r="2412" spans="2:3" x14ac:dyDescent="0.25">
      <c r="B2412" s="463"/>
      <c r="C2412" s="463"/>
    </row>
    <row r="2413" spans="2:3" x14ac:dyDescent="0.25">
      <c r="B2413" s="463"/>
      <c r="C2413" s="463"/>
    </row>
    <row r="2414" spans="2:3" x14ac:dyDescent="0.25">
      <c r="B2414" s="463"/>
      <c r="C2414" s="463"/>
    </row>
    <row r="2415" spans="2:3" x14ac:dyDescent="0.25">
      <c r="B2415" s="463"/>
      <c r="C2415" s="463"/>
    </row>
    <row r="2416" spans="2:3" x14ac:dyDescent="0.25">
      <c r="B2416" s="463"/>
      <c r="C2416" s="463"/>
    </row>
    <row r="2417" spans="2:3" x14ac:dyDescent="0.25">
      <c r="B2417" s="463"/>
      <c r="C2417" s="463"/>
    </row>
    <row r="2418" spans="2:3" x14ac:dyDescent="0.25">
      <c r="B2418" s="463"/>
      <c r="C2418" s="463"/>
    </row>
    <row r="2419" spans="2:3" x14ac:dyDescent="0.25">
      <c r="B2419" s="463"/>
      <c r="C2419" s="463"/>
    </row>
    <row r="2420" spans="2:3" x14ac:dyDescent="0.25">
      <c r="B2420" s="463"/>
      <c r="C2420" s="463"/>
    </row>
    <row r="2421" spans="2:3" x14ac:dyDescent="0.25">
      <c r="B2421" s="463"/>
      <c r="C2421" s="463"/>
    </row>
    <row r="2422" spans="2:3" x14ac:dyDescent="0.25">
      <c r="B2422" s="463"/>
      <c r="C2422" s="463"/>
    </row>
    <row r="2423" spans="2:3" x14ac:dyDescent="0.25">
      <c r="B2423" s="463"/>
      <c r="C2423" s="463"/>
    </row>
    <row r="2424" spans="2:3" x14ac:dyDescent="0.25">
      <c r="B2424" s="463"/>
      <c r="C2424" s="463"/>
    </row>
    <row r="2425" spans="2:3" x14ac:dyDescent="0.25">
      <c r="B2425" s="463"/>
      <c r="C2425" s="463"/>
    </row>
    <row r="2426" spans="2:3" x14ac:dyDescent="0.25">
      <c r="B2426" s="463"/>
      <c r="C2426" s="463"/>
    </row>
    <row r="2427" spans="2:3" x14ac:dyDescent="0.25">
      <c r="B2427" s="463"/>
      <c r="C2427" s="463"/>
    </row>
    <row r="2428" spans="2:3" x14ac:dyDescent="0.25">
      <c r="B2428" s="463"/>
      <c r="C2428" s="463"/>
    </row>
    <row r="2429" spans="2:3" x14ac:dyDescent="0.25">
      <c r="B2429" s="463"/>
      <c r="C2429" s="463"/>
    </row>
    <row r="2430" spans="2:3" x14ac:dyDescent="0.25">
      <c r="B2430" s="463"/>
      <c r="C2430" s="463"/>
    </row>
    <row r="2431" spans="2:3" x14ac:dyDescent="0.25">
      <c r="B2431" s="463"/>
      <c r="C2431" s="463"/>
    </row>
    <row r="2432" spans="2:3" x14ac:dyDescent="0.25">
      <c r="B2432" s="463"/>
      <c r="C2432" s="463"/>
    </row>
    <row r="2433" spans="2:3" x14ac:dyDescent="0.25">
      <c r="B2433" s="463"/>
      <c r="C2433" s="463"/>
    </row>
    <row r="2434" spans="2:3" x14ac:dyDescent="0.25">
      <c r="B2434" s="463"/>
      <c r="C2434" s="463"/>
    </row>
    <row r="2435" spans="2:3" x14ac:dyDescent="0.25">
      <c r="B2435" s="463"/>
      <c r="C2435" s="463"/>
    </row>
    <row r="2436" spans="2:3" x14ac:dyDescent="0.25">
      <c r="B2436" s="463"/>
      <c r="C2436" s="463"/>
    </row>
    <row r="2437" spans="2:3" x14ac:dyDescent="0.25">
      <c r="B2437" s="463"/>
      <c r="C2437" s="463"/>
    </row>
    <row r="2438" spans="2:3" x14ac:dyDescent="0.25">
      <c r="B2438" s="463"/>
      <c r="C2438" s="463"/>
    </row>
    <row r="2439" spans="2:3" x14ac:dyDescent="0.25">
      <c r="B2439" s="463"/>
      <c r="C2439" s="463"/>
    </row>
    <row r="2440" spans="2:3" x14ac:dyDescent="0.25">
      <c r="B2440" s="463"/>
      <c r="C2440" s="463"/>
    </row>
    <row r="2441" spans="2:3" x14ac:dyDescent="0.25">
      <c r="B2441" s="463"/>
      <c r="C2441" s="463"/>
    </row>
    <row r="2442" spans="2:3" x14ac:dyDescent="0.25">
      <c r="B2442" s="463"/>
      <c r="C2442" s="463"/>
    </row>
    <row r="2443" spans="2:3" x14ac:dyDescent="0.25">
      <c r="B2443" s="463"/>
      <c r="C2443" s="463"/>
    </row>
    <row r="2444" spans="2:3" x14ac:dyDescent="0.25">
      <c r="B2444" s="463"/>
      <c r="C2444" s="463"/>
    </row>
    <row r="2445" spans="2:3" x14ac:dyDescent="0.25">
      <c r="B2445" s="463"/>
      <c r="C2445" s="463"/>
    </row>
    <row r="2446" spans="2:3" x14ac:dyDescent="0.25">
      <c r="B2446" s="463"/>
      <c r="C2446" s="463"/>
    </row>
    <row r="2447" spans="2:3" x14ac:dyDescent="0.25">
      <c r="B2447" s="463"/>
      <c r="C2447" s="463"/>
    </row>
    <row r="2448" spans="2:3" x14ac:dyDescent="0.25">
      <c r="B2448" s="463"/>
      <c r="C2448" s="463"/>
    </row>
    <row r="2449" spans="2:3" x14ac:dyDescent="0.25">
      <c r="B2449" s="463"/>
      <c r="C2449" s="463"/>
    </row>
    <row r="2450" spans="2:3" x14ac:dyDescent="0.25">
      <c r="B2450" s="463"/>
      <c r="C2450" s="463"/>
    </row>
    <row r="2451" spans="2:3" x14ac:dyDescent="0.25">
      <c r="B2451" s="463"/>
      <c r="C2451" s="463"/>
    </row>
    <row r="2452" spans="2:3" x14ac:dyDescent="0.25">
      <c r="B2452" s="463"/>
      <c r="C2452" s="463"/>
    </row>
    <row r="2453" spans="2:3" x14ac:dyDescent="0.25">
      <c r="B2453" s="463"/>
      <c r="C2453" s="463"/>
    </row>
    <row r="2454" spans="2:3" x14ac:dyDescent="0.25">
      <c r="B2454" s="463"/>
      <c r="C2454" s="463"/>
    </row>
    <row r="2455" spans="2:3" x14ac:dyDescent="0.25">
      <c r="B2455" s="463"/>
      <c r="C2455" s="463"/>
    </row>
    <row r="2456" spans="2:3" x14ac:dyDescent="0.25">
      <c r="B2456" s="463"/>
      <c r="C2456" s="463"/>
    </row>
    <row r="2457" spans="2:3" x14ac:dyDescent="0.25">
      <c r="B2457" s="463"/>
      <c r="C2457" s="463"/>
    </row>
    <row r="2458" spans="2:3" x14ac:dyDescent="0.25">
      <c r="B2458" s="463"/>
      <c r="C2458" s="463"/>
    </row>
    <row r="2459" spans="2:3" x14ac:dyDescent="0.25">
      <c r="B2459" s="463"/>
      <c r="C2459" s="463"/>
    </row>
    <row r="2460" spans="2:3" x14ac:dyDescent="0.25">
      <c r="B2460" s="463"/>
      <c r="C2460" s="463"/>
    </row>
    <row r="2461" spans="2:3" x14ac:dyDescent="0.25">
      <c r="B2461" s="463"/>
      <c r="C2461" s="463"/>
    </row>
    <row r="2462" spans="2:3" x14ac:dyDescent="0.25">
      <c r="B2462" s="463"/>
      <c r="C2462" s="463"/>
    </row>
    <row r="2463" spans="2:3" x14ac:dyDescent="0.25">
      <c r="B2463" s="463"/>
      <c r="C2463" s="463"/>
    </row>
    <row r="2464" spans="2:3" x14ac:dyDescent="0.25">
      <c r="B2464" s="463"/>
      <c r="C2464" s="463"/>
    </row>
    <row r="2465" spans="2:3" x14ac:dyDescent="0.25">
      <c r="B2465" s="463"/>
      <c r="C2465" s="463"/>
    </row>
    <row r="2466" spans="2:3" x14ac:dyDescent="0.25">
      <c r="B2466" s="463"/>
      <c r="C2466" s="463"/>
    </row>
    <row r="2467" spans="2:3" x14ac:dyDescent="0.25">
      <c r="B2467" s="463"/>
      <c r="C2467" s="463"/>
    </row>
    <row r="2468" spans="2:3" x14ac:dyDescent="0.25">
      <c r="B2468" s="463"/>
      <c r="C2468" s="463"/>
    </row>
    <row r="2469" spans="2:3" x14ac:dyDescent="0.25">
      <c r="B2469" s="463"/>
      <c r="C2469" s="463"/>
    </row>
    <row r="2470" spans="2:3" x14ac:dyDescent="0.25">
      <c r="B2470" s="463"/>
      <c r="C2470" s="463"/>
    </row>
    <row r="2471" spans="2:3" x14ac:dyDescent="0.25">
      <c r="B2471" s="463"/>
      <c r="C2471" s="463"/>
    </row>
    <row r="2472" spans="2:3" x14ac:dyDescent="0.25">
      <c r="B2472" s="463"/>
      <c r="C2472" s="463"/>
    </row>
    <row r="2473" spans="2:3" x14ac:dyDescent="0.25">
      <c r="B2473" s="463"/>
      <c r="C2473" s="463"/>
    </row>
    <row r="2474" spans="2:3" x14ac:dyDescent="0.25">
      <c r="B2474" s="463"/>
      <c r="C2474" s="463"/>
    </row>
    <row r="2475" spans="2:3" x14ac:dyDescent="0.25">
      <c r="B2475" s="463"/>
      <c r="C2475" s="463"/>
    </row>
    <row r="2476" spans="2:3" x14ac:dyDescent="0.25">
      <c r="B2476" s="463"/>
      <c r="C2476" s="463"/>
    </row>
    <row r="2477" spans="2:3" x14ac:dyDescent="0.25">
      <c r="B2477" s="463"/>
      <c r="C2477" s="463"/>
    </row>
    <row r="2478" spans="2:3" x14ac:dyDescent="0.25">
      <c r="B2478" s="463"/>
      <c r="C2478" s="463"/>
    </row>
    <row r="2479" spans="2:3" x14ac:dyDescent="0.25">
      <c r="B2479" s="463"/>
      <c r="C2479" s="463"/>
    </row>
    <row r="2480" spans="2:3" x14ac:dyDescent="0.25">
      <c r="B2480" s="463"/>
      <c r="C2480" s="463"/>
    </row>
    <row r="2481" spans="2:3" x14ac:dyDescent="0.25">
      <c r="B2481" s="463"/>
      <c r="C2481" s="463"/>
    </row>
    <row r="2482" spans="2:3" x14ac:dyDescent="0.25">
      <c r="B2482" s="463"/>
      <c r="C2482" s="463"/>
    </row>
    <row r="2483" spans="2:3" x14ac:dyDescent="0.25">
      <c r="B2483" s="463"/>
      <c r="C2483" s="463"/>
    </row>
    <row r="2484" spans="2:3" x14ac:dyDescent="0.25">
      <c r="B2484" s="463"/>
      <c r="C2484" s="463"/>
    </row>
    <row r="2485" spans="2:3" x14ac:dyDescent="0.25">
      <c r="B2485" s="463"/>
      <c r="C2485" s="463"/>
    </row>
    <row r="2486" spans="2:3" x14ac:dyDescent="0.25">
      <c r="B2486" s="463"/>
      <c r="C2486" s="463"/>
    </row>
    <row r="2487" spans="2:3" x14ac:dyDescent="0.25">
      <c r="B2487" s="463"/>
      <c r="C2487" s="463"/>
    </row>
    <row r="2488" spans="2:3" x14ac:dyDescent="0.25">
      <c r="B2488" s="463"/>
      <c r="C2488" s="463"/>
    </row>
    <row r="2489" spans="2:3" x14ac:dyDescent="0.25">
      <c r="B2489" s="463"/>
      <c r="C2489" s="463"/>
    </row>
    <row r="2490" spans="2:3" x14ac:dyDescent="0.25">
      <c r="B2490" s="463"/>
      <c r="C2490" s="463"/>
    </row>
    <row r="2491" spans="2:3" x14ac:dyDescent="0.25">
      <c r="B2491" s="463"/>
      <c r="C2491" s="463"/>
    </row>
    <row r="2492" spans="2:3" x14ac:dyDescent="0.25">
      <c r="B2492" s="463"/>
      <c r="C2492" s="463"/>
    </row>
    <row r="2493" spans="2:3" x14ac:dyDescent="0.25">
      <c r="B2493" s="463"/>
      <c r="C2493" s="463"/>
    </row>
    <row r="2494" spans="2:3" x14ac:dyDescent="0.25">
      <c r="B2494" s="463"/>
      <c r="C2494" s="463"/>
    </row>
    <row r="2495" spans="2:3" x14ac:dyDescent="0.25">
      <c r="B2495" s="463"/>
      <c r="C2495" s="463"/>
    </row>
    <row r="2496" spans="2:3" x14ac:dyDescent="0.25">
      <c r="B2496" s="463"/>
      <c r="C2496" s="463"/>
    </row>
    <row r="2497" spans="2:3" x14ac:dyDescent="0.25">
      <c r="B2497" s="463"/>
      <c r="C2497" s="463"/>
    </row>
    <row r="2498" spans="2:3" x14ac:dyDescent="0.25">
      <c r="B2498" s="463"/>
      <c r="C2498" s="463"/>
    </row>
    <row r="2499" spans="2:3" x14ac:dyDescent="0.25">
      <c r="B2499" s="463"/>
      <c r="C2499" s="463"/>
    </row>
    <row r="2500" spans="2:3" x14ac:dyDescent="0.25">
      <c r="B2500" s="463"/>
      <c r="C2500" s="463"/>
    </row>
    <row r="2501" spans="2:3" x14ac:dyDescent="0.25">
      <c r="B2501" s="463"/>
      <c r="C2501" s="463"/>
    </row>
    <row r="2502" spans="2:3" x14ac:dyDescent="0.25">
      <c r="B2502" s="463"/>
      <c r="C2502" s="463"/>
    </row>
    <row r="2503" spans="2:3" x14ac:dyDescent="0.25">
      <c r="B2503" s="463"/>
      <c r="C2503" s="463"/>
    </row>
    <row r="2504" spans="2:3" x14ac:dyDescent="0.25">
      <c r="B2504" s="463"/>
      <c r="C2504" s="463"/>
    </row>
    <row r="2505" spans="2:3" x14ac:dyDescent="0.25">
      <c r="B2505" s="463"/>
      <c r="C2505" s="463"/>
    </row>
    <row r="2506" spans="2:3" x14ac:dyDescent="0.25">
      <c r="B2506" s="463"/>
      <c r="C2506" s="463"/>
    </row>
    <row r="2507" spans="2:3" x14ac:dyDescent="0.25">
      <c r="B2507" s="463"/>
      <c r="C2507" s="463"/>
    </row>
    <row r="2508" spans="2:3" x14ac:dyDescent="0.25">
      <c r="B2508" s="463"/>
      <c r="C2508" s="463"/>
    </row>
    <row r="2509" spans="2:3" x14ac:dyDescent="0.25">
      <c r="B2509" s="463"/>
      <c r="C2509" s="463"/>
    </row>
    <row r="2510" spans="2:3" x14ac:dyDescent="0.25">
      <c r="B2510" s="463"/>
      <c r="C2510" s="463"/>
    </row>
    <row r="2511" spans="2:3" x14ac:dyDescent="0.25">
      <c r="B2511" s="463"/>
      <c r="C2511" s="463"/>
    </row>
    <row r="2512" spans="2:3" x14ac:dyDescent="0.25">
      <c r="B2512" s="463"/>
      <c r="C2512" s="463"/>
    </row>
    <row r="2513" spans="2:3" x14ac:dyDescent="0.25">
      <c r="B2513" s="463"/>
      <c r="C2513" s="463"/>
    </row>
    <row r="2514" spans="2:3" x14ac:dyDescent="0.25">
      <c r="B2514" s="463"/>
      <c r="C2514" s="463"/>
    </row>
    <row r="2515" spans="2:3" x14ac:dyDescent="0.25">
      <c r="B2515" s="463"/>
      <c r="C2515" s="463"/>
    </row>
    <row r="2516" spans="2:3" x14ac:dyDescent="0.25">
      <c r="B2516" s="463"/>
      <c r="C2516" s="463"/>
    </row>
    <row r="2517" spans="2:3" x14ac:dyDescent="0.25">
      <c r="B2517" s="463"/>
      <c r="C2517" s="463"/>
    </row>
    <row r="2518" spans="2:3" x14ac:dyDescent="0.25">
      <c r="B2518" s="463"/>
      <c r="C2518" s="463"/>
    </row>
    <row r="2519" spans="2:3" x14ac:dyDescent="0.25">
      <c r="B2519" s="463"/>
      <c r="C2519" s="463"/>
    </row>
    <row r="2520" spans="2:3" x14ac:dyDescent="0.25">
      <c r="B2520" s="463"/>
      <c r="C2520" s="463"/>
    </row>
    <row r="2521" spans="2:3" x14ac:dyDescent="0.25">
      <c r="B2521" s="463"/>
      <c r="C2521" s="463"/>
    </row>
    <row r="2522" spans="2:3" x14ac:dyDescent="0.25">
      <c r="B2522" s="463"/>
      <c r="C2522" s="463"/>
    </row>
    <row r="2523" spans="2:3" x14ac:dyDescent="0.25">
      <c r="B2523" s="463"/>
      <c r="C2523" s="463"/>
    </row>
    <row r="2524" spans="2:3" x14ac:dyDescent="0.25">
      <c r="B2524" s="463"/>
      <c r="C2524" s="463"/>
    </row>
    <row r="2525" spans="2:3" x14ac:dyDescent="0.25">
      <c r="B2525" s="463"/>
      <c r="C2525" s="463"/>
    </row>
    <row r="2526" spans="2:3" x14ac:dyDescent="0.25">
      <c r="B2526" s="463"/>
      <c r="C2526" s="463"/>
    </row>
    <row r="2527" spans="2:3" x14ac:dyDescent="0.25">
      <c r="B2527" s="463"/>
      <c r="C2527" s="463"/>
    </row>
    <row r="2528" spans="2:3" x14ac:dyDescent="0.25">
      <c r="B2528" s="463"/>
      <c r="C2528" s="463"/>
    </row>
    <row r="2529" spans="2:3" x14ac:dyDescent="0.25">
      <c r="B2529" s="463"/>
      <c r="C2529" s="463"/>
    </row>
    <row r="2530" spans="2:3" x14ac:dyDescent="0.25">
      <c r="B2530" s="463"/>
      <c r="C2530" s="463"/>
    </row>
    <row r="2531" spans="2:3" x14ac:dyDescent="0.25">
      <c r="B2531" s="463"/>
      <c r="C2531" s="463"/>
    </row>
    <row r="2532" spans="2:3" x14ac:dyDescent="0.25">
      <c r="B2532" s="463"/>
      <c r="C2532" s="463"/>
    </row>
    <row r="2533" spans="2:3" x14ac:dyDescent="0.25">
      <c r="B2533" s="463"/>
      <c r="C2533" s="463"/>
    </row>
    <row r="2534" spans="2:3" x14ac:dyDescent="0.25">
      <c r="B2534" s="463"/>
      <c r="C2534" s="463"/>
    </row>
    <row r="2535" spans="2:3" x14ac:dyDescent="0.25">
      <c r="B2535" s="463"/>
      <c r="C2535" s="463"/>
    </row>
    <row r="2536" spans="2:3" x14ac:dyDescent="0.25">
      <c r="B2536" s="463"/>
      <c r="C2536" s="463"/>
    </row>
    <row r="2537" spans="2:3" x14ac:dyDescent="0.25">
      <c r="B2537" s="463"/>
      <c r="C2537" s="463"/>
    </row>
    <row r="2538" spans="2:3" x14ac:dyDescent="0.25">
      <c r="B2538" s="463"/>
      <c r="C2538" s="463"/>
    </row>
    <row r="2539" spans="2:3" x14ac:dyDescent="0.25">
      <c r="B2539" s="463"/>
      <c r="C2539" s="463"/>
    </row>
    <row r="2540" spans="2:3" x14ac:dyDescent="0.25">
      <c r="B2540" s="463"/>
      <c r="C2540" s="463"/>
    </row>
    <row r="2541" spans="2:3" x14ac:dyDescent="0.25">
      <c r="B2541" s="463"/>
      <c r="C2541" s="463"/>
    </row>
    <row r="2542" spans="2:3" x14ac:dyDescent="0.25">
      <c r="B2542" s="463"/>
      <c r="C2542" s="463"/>
    </row>
    <row r="2543" spans="2:3" x14ac:dyDescent="0.25">
      <c r="B2543" s="463"/>
      <c r="C2543" s="463"/>
    </row>
    <row r="2544" spans="2:3" x14ac:dyDescent="0.25">
      <c r="B2544" s="463"/>
      <c r="C2544" s="463"/>
    </row>
    <row r="2545" spans="2:3" x14ac:dyDescent="0.25">
      <c r="B2545" s="463"/>
      <c r="C2545" s="463"/>
    </row>
    <row r="2546" spans="2:3" x14ac:dyDescent="0.25">
      <c r="B2546" s="463"/>
      <c r="C2546" s="463"/>
    </row>
    <row r="2547" spans="2:3" x14ac:dyDescent="0.25">
      <c r="B2547" s="463"/>
      <c r="C2547" s="463"/>
    </row>
    <row r="2548" spans="2:3" x14ac:dyDescent="0.25">
      <c r="B2548" s="463"/>
      <c r="C2548" s="463"/>
    </row>
    <row r="2549" spans="2:3" x14ac:dyDescent="0.25">
      <c r="B2549" s="463"/>
      <c r="C2549" s="463"/>
    </row>
    <row r="2550" spans="2:3" x14ac:dyDescent="0.25">
      <c r="B2550" s="463"/>
      <c r="C2550" s="463"/>
    </row>
    <row r="2551" spans="2:3" x14ac:dyDescent="0.25">
      <c r="B2551" s="463"/>
      <c r="C2551" s="463"/>
    </row>
    <row r="2552" spans="2:3" x14ac:dyDescent="0.25">
      <c r="B2552" s="463"/>
      <c r="C2552" s="463"/>
    </row>
    <row r="2553" spans="2:3" x14ac:dyDescent="0.25">
      <c r="B2553" s="463"/>
      <c r="C2553" s="463"/>
    </row>
    <row r="2554" spans="2:3" x14ac:dyDescent="0.25">
      <c r="B2554" s="463"/>
      <c r="C2554" s="463"/>
    </row>
    <row r="2555" spans="2:3" x14ac:dyDescent="0.25">
      <c r="B2555" s="463"/>
      <c r="C2555" s="463"/>
    </row>
    <row r="2556" spans="2:3" x14ac:dyDescent="0.25">
      <c r="B2556" s="463"/>
      <c r="C2556" s="463"/>
    </row>
    <row r="2557" spans="2:3" x14ac:dyDescent="0.25">
      <c r="B2557" s="463"/>
      <c r="C2557" s="463"/>
    </row>
    <row r="2558" spans="2:3" x14ac:dyDescent="0.25">
      <c r="B2558" s="463"/>
      <c r="C2558" s="463"/>
    </row>
    <row r="2559" spans="2:3" x14ac:dyDescent="0.25">
      <c r="B2559" s="463"/>
      <c r="C2559" s="463"/>
    </row>
    <row r="2560" spans="2:3" x14ac:dyDescent="0.25">
      <c r="B2560" s="463"/>
      <c r="C2560" s="463"/>
    </row>
    <row r="2561" spans="2:3" x14ac:dyDescent="0.25">
      <c r="B2561" s="463"/>
      <c r="C2561" s="463"/>
    </row>
    <row r="2562" spans="2:3" x14ac:dyDescent="0.25">
      <c r="B2562" s="463"/>
      <c r="C2562" s="463"/>
    </row>
    <row r="2563" spans="2:3" x14ac:dyDescent="0.25">
      <c r="B2563" s="463"/>
      <c r="C2563" s="463"/>
    </row>
    <row r="2564" spans="2:3" x14ac:dyDescent="0.25">
      <c r="B2564" s="463"/>
      <c r="C2564" s="463"/>
    </row>
    <row r="2565" spans="2:3" x14ac:dyDescent="0.25">
      <c r="B2565" s="463"/>
      <c r="C2565" s="463"/>
    </row>
    <row r="2566" spans="2:3" x14ac:dyDescent="0.25">
      <c r="B2566" s="463"/>
      <c r="C2566" s="463"/>
    </row>
    <row r="2567" spans="2:3" x14ac:dyDescent="0.25">
      <c r="B2567" s="463"/>
      <c r="C2567" s="463"/>
    </row>
    <row r="2568" spans="2:3" x14ac:dyDescent="0.25">
      <c r="B2568" s="463"/>
      <c r="C2568" s="463"/>
    </row>
    <row r="2569" spans="2:3" x14ac:dyDescent="0.25">
      <c r="B2569" s="463"/>
      <c r="C2569" s="463"/>
    </row>
    <row r="2570" spans="2:3" x14ac:dyDescent="0.25">
      <c r="B2570" s="463"/>
      <c r="C2570" s="463"/>
    </row>
    <row r="2571" spans="2:3" x14ac:dyDescent="0.25">
      <c r="B2571" s="463"/>
      <c r="C2571" s="463"/>
    </row>
    <row r="2572" spans="2:3" x14ac:dyDescent="0.25">
      <c r="B2572" s="463"/>
      <c r="C2572" s="463"/>
    </row>
    <row r="2573" spans="2:3" x14ac:dyDescent="0.25">
      <c r="B2573" s="463"/>
      <c r="C2573" s="463"/>
    </row>
    <row r="2574" spans="2:3" x14ac:dyDescent="0.25">
      <c r="B2574" s="463"/>
      <c r="C2574" s="463"/>
    </row>
    <row r="2575" spans="2:3" x14ac:dyDescent="0.25">
      <c r="B2575" s="463"/>
      <c r="C2575" s="463"/>
    </row>
    <row r="2576" spans="2:3" x14ac:dyDescent="0.25">
      <c r="B2576" s="463"/>
      <c r="C2576" s="463"/>
    </row>
    <row r="2577" spans="2:3" x14ac:dyDescent="0.25">
      <c r="B2577" s="463"/>
      <c r="C2577" s="463"/>
    </row>
    <row r="2578" spans="2:3" x14ac:dyDescent="0.25">
      <c r="B2578" s="463"/>
      <c r="C2578" s="463"/>
    </row>
    <row r="2579" spans="2:3" x14ac:dyDescent="0.25">
      <c r="B2579" s="463"/>
      <c r="C2579" s="463"/>
    </row>
    <row r="2580" spans="2:3" x14ac:dyDescent="0.25">
      <c r="B2580" s="463"/>
      <c r="C2580" s="463"/>
    </row>
    <row r="2581" spans="2:3" x14ac:dyDescent="0.25">
      <c r="B2581" s="463"/>
      <c r="C2581" s="463"/>
    </row>
    <row r="2582" spans="2:3" x14ac:dyDescent="0.25">
      <c r="B2582" s="463"/>
      <c r="C2582" s="463"/>
    </row>
    <row r="2583" spans="2:3" x14ac:dyDescent="0.25">
      <c r="B2583" s="463"/>
      <c r="C2583" s="463"/>
    </row>
    <row r="2584" spans="2:3" x14ac:dyDescent="0.25">
      <c r="B2584" s="463"/>
      <c r="C2584" s="463"/>
    </row>
    <row r="2585" spans="2:3" x14ac:dyDescent="0.25">
      <c r="B2585" s="463"/>
      <c r="C2585" s="463"/>
    </row>
    <row r="2586" spans="2:3" x14ac:dyDescent="0.25">
      <c r="B2586" s="463"/>
      <c r="C2586" s="463"/>
    </row>
    <row r="2587" spans="2:3" x14ac:dyDescent="0.25">
      <c r="B2587" s="463"/>
      <c r="C2587" s="463"/>
    </row>
    <row r="2588" spans="2:3" x14ac:dyDescent="0.25">
      <c r="B2588" s="463"/>
      <c r="C2588" s="463"/>
    </row>
    <row r="2589" spans="2:3" x14ac:dyDescent="0.25">
      <c r="B2589" s="463"/>
      <c r="C2589" s="463"/>
    </row>
    <row r="2590" spans="2:3" x14ac:dyDescent="0.25">
      <c r="B2590" s="463"/>
      <c r="C2590" s="463"/>
    </row>
    <row r="2591" spans="2:3" x14ac:dyDescent="0.25">
      <c r="B2591" s="463"/>
      <c r="C2591" s="463"/>
    </row>
    <row r="2592" spans="2:3" x14ac:dyDescent="0.25">
      <c r="B2592" s="463"/>
      <c r="C2592" s="463"/>
    </row>
    <row r="2593" spans="2:3" x14ac:dyDescent="0.25">
      <c r="B2593" s="463"/>
      <c r="C2593" s="463"/>
    </row>
    <row r="2594" spans="2:3" x14ac:dyDescent="0.25">
      <c r="B2594" s="463"/>
      <c r="C2594" s="463"/>
    </row>
    <row r="2595" spans="2:3" x14ac:dyDescent="0.25">
      <c r="B2595" s="463"/>
      <c r="C2595" s="463"/>
    </row>
    <row r="2596" spans="2:3" x14ac:dyDescent="0.25">
      <c r="B2596" s="463"/>
      <c r="C2596" s="463"/>
    </row>
    <row r="2597" spans="2:3" x14ac:dyDescent="0.25">
      <c r="B2597" s="463"/>
      <c r="C2597" s="463"/>
    </row>
    <row r="2598" spans="2:3" x14ac:dyDescent="0.25">
      <c r="B2598" s="463"/>
      <c r="C2598" s="463"/>
    </row>
    <row r="2599" spans="2:3" x14ac:dyDescent="0.25">
      <c r="B2599" s="463"/>
      <c r="C2599" s="463"/>
    </row>
    <row r="2600" spans="2:3" x14ac:dyDescent="0.25">
      <c r="B2600" s="463"/>
      <c r="C2600" s="463"/>
    </row>
    <row r="2601" spans="2:3" x14ac:dyDescent="0.25">
      <c r="B2601" s="463"/>
      <c r="C2601" s="463"/>
    </row>
    <row r="2602" spans="2:3" x14ac:dyDescent="0.25">
      <c r="B2602" s="463"/>
      <c r="C2602" s="463"/>
    </row>
    <row r="2603" spans="2:3" x14ac:dyDescent="0.25">
      <c r="B2603" s="463"/>
      <c r="C2603" s="463"/>
    </row>
    <row r="2604" spans="2:3" x14ac:dyDescent="0.25">
      <c r="B2604" s="463"/>
      <c r="C2604" s="463"/>
    </row>
    <row r="2605" spans="2:3" x14ac:dyDescent="0.25">
      <c r="B2605" s="463"/>
      <c r="C2605" s="463"/>
    </row>
    <row r="2606" spans="2:3" x14ac:dyDescent="0.25">
      <c r="B2606" s="463"/>
      <c r="C2606" s="463"/>
    </row>
    <row r="2607" spans="2:3" x14ac:dyDescent="0.25">
      <c r="B2607" s="463"/>
      <c r="C2607" s="463"/>
    </row>
    <row r="2608" spans="2:3" x14ac:dyDescent="0.25">
      <c r="B2608" s="463"/>
      <c r="C2608" s="463"/>
    </row>
    <row r="2609" spans="2:3" x14ac:dyDescent="0.25">
      <c r="B2609" s="463"/>
      <c r="C2609" s="463"/>
    </row>
    <row r="2610" spans="2:3" x14ac:dyDescent="0.25">
      <c r="B2610" s="463"/>
      <c r="C2610" s="463"/>
    </row>
    <row r="2611" spans="2:3" x14ac:dyDescent="0.25">
      <c r="B2611" s="463"/>
      <c r="C2611" s="463"/>
    </row>
    <row r="2612" spans="2:3" x14ac:dyDescent="0.25">
      <c r="B2612" s="463"/>
      <c r="C2612" s="463"/>
    </row>
    <row r="2613" spans="2:3" x14ac:dyDescent="0.25">
      <c r="B2613" s="463"/>
      <c r="C2613" s="463"/>
    </row>
    <row r="2614" spans="2:3" x14ac:dyDescent="0.25">
      <c r="B2614" s="463"/>
      <c r="C2614" s="463"/>
    </row>
    <row r="2615" spans="2:3" x14ac:dyDescent="0.25">
      <c r="B2615" s="463"/>
      <c r="C2615" s="463"/>
    </row>
    <row r="2616" spans="2:3" x14ac:dyDescent="0.25">
      <c r="B2616" s="463"/>
      <c r="C2616" s="463"/>
    </row>
    <row r="2617" spans="2:3" x14ac:dyDescent="0.25">
      <c r="B2617" s="463"/>
      <c r="C2617" s="463"/>
    </row>
    <row r="2618" spans="2:3" x14ac:dyDescent="0.25">
      <c r="B2618" s="463"/>
      <c r="C2618" s="463"/>
    </row>
    <row r="2619" spans="2:3" x14ac:dyDescent="0.25">
      <c r="B2619" s="463"/>
      <c r="C2619" s="463"/>
    </row>
    <row r="2620" spans="2:3" x14ac:dyDescent="0.25">
      <c r="B2620" s="463"/>
      <c r="C2620" s="463"/>
    </row>
    <row r="2621" spans="2:3" x14ac:dyDescent="0.25">
      <c r="B2621" s="463"/>
      <c r="C2621" s="463"/>
    </row>
    <row r="2622" spans="2:3" x14ac:dyDescent="0.25">
      <c r="B2622" s="463"/>
      <c r="C2622" s="463"/>
    </row>
    <row r="2623" spans="2:3" x14ac:dyDescent="0.25">
      <c r="B2623" s="463"/>
      <c r="C2623" s="463"/>
    </row>
    <row r="2624" spans="2:3" x14ac:dyDescent="0.25">
      <c r="B2624" s="463"/>
      <c r="C2624" s="463"/>
    </row>
    <row r="2625" spans="2:3" x14ac:dyDescent="0.25">
      <c r="B2625" s="463"/>
      <c r="C2625" s="463"/>
    </row>
    <row r="2626" spans="2:3" x14ac:dyDescent="0.25">
      <c r="B2626" s="463"/>
      <c r="C2626" s="463"/>
    </row>
    <row r="2627" spans="2:3" x14ac:dyDescent="0.25">
      <c r="B2627" s="463"/>
      <c r="C2627" s="463"/>
    </row>
    <row r="2628" spans="2:3" x14ac:dyDescent="0.25">
      <c r="B2628" s="463"/>
      <c r="C2628" s="463"/>
    </row>
    <row r="2629" spans="2:3" x14ac:dyDescent="0.25">
      <c r="B2629" s="463"/>
      <c r="C2629" s="463"/>
    </row>
    <row r="2630" spans="2:3" x14ac:dyDescent="0.25">
      <c r="B2630" s="463"/>
      <c r="C2630" s="463"/>
    </row>
    <row r="2631" spans="2:3" x14ac:dyDescent="0.25">
      <c r="B2631" s="463"/>
      <c r="C2631" s="463"/>
    </row>
    <row r="2632" spans="2:3" x14ac:dyDescent="0.25">
      <c r="B2632" s="463"/>
      <c r="C2632" s="463"/>
    </row>
    <row r="2633" spans="2:3" x14ac:dyDescent="0.25">
      <c r="B2633" s="463"/>
      <c r="C2633" s="463"/>
    </row>
    <row r="2634" spans="2:3" x14ac:dyDescent="0.25">
      <c r="B2634" s="463"/>
      <c r="C2634" s="463"/>
    </row>
    <row r="2635" spans="2:3" x14ac:dyDescent="0.25">
      <c r="B2635" s="463"/>
      <c r="C2635" s="463"/>
    </row>
    <row r="2636" spans="2:3" x14ac:dyDescent="0.25">
      <c r="B2636" s="463"/>
      <c r="C2636" s="463"/>
    </row>
    <row r="2637" spans="2:3" x14ac:dyDescent="0.25">
      <c r="B2637" s="463"/>
      <c r="C2637" s="463"/>
    </row>
    <row r="2638" spans="2:3" x14ac:dyDescent="0.25">
      <c r="B2638" s="463"/>
      <c r="C2638" s="463"/>
    </row>
    <row r="2639" spans="2:3" x14ac:dyDescent="0.25">
      <c r="B2639" s="463"/>
      <c r="C2639" s="463"/>
    </row>
    <row r="2640" spans="2:3" x14ac:dyDescent="0.25">
      <c r="B2640" s="463"/>
      <c r="C2640" s="463"/>
    </row>
    <row r="2641" spans="2:3" x14ac:dyDescent="0.25">
      <c r="B2641" s="463"/>
      <c r="C2641" s="463"/>
    </row>
    <row r="2642" spans="2:3" x14ac:dyDescent="0.25">
      <c r="B2642" s="463"/>
      <c r="C2642" s="463"/>
    </row>
    <row r="2643" spans="2:3" x14ac:dyDescent="0.25">
      <c r="B2643" s="463"/>
      <c r="C2643" s="463"/>
    </row>
    <row r="2644" spans="2:3" x14ac:dyDescent="0.25">
      <c r="B2644" s="463"/>
      <c r="C2644" s="463"/>
    </row>
    <row r="2645" spans="2:3" x14ac:dyDescent="0.25">
      <c r="B2645" s="463"/>
      <c r="C2645" s="463"/>
    </row>
    <row r="2646" spans="2:3" x14ac:dyDescent="0.25">
      <c r="B2646" s="463"/>
      <c r="C2646" s="463"/>
    </row>
    <row r="2647" spans="2:3" x14ac:dyDescent="0.25">
      <c r="B2647" s="463"/>
      <c r="C2647" s="463"/>
    </row>
    <row r="2648" spans="2:3" x14ac:dyDescent="0.25">
      <c r="B2648" s="463"/>
      <c r="C2648" s="463"/>
    </row>
    <row r="2649" spans="2:3" x14ac:dyDescent="0.25">
      <c r="B2649" s="463"/>
      <c r="C2649" s="463"/>
    </row>
    <row r="2650" spans="2:3" x14ac:dyDescent="0.25">
      <c r="B2650" s="463"/>
      <c r="C2650" s="463"/>
    </row>
    <row r="2651" spans="2:3" x14ac:dyDescent="0.25">
      <c r="B2651" s="463"/>
      <c r="C2651" s="463"/>
    </row>
    <row r="2652" spans="2:3" x14ac:dyDescent="0.25">
      <c r="B2652" s="463"/>
      <c r="C2652" s="463"/>
    </row>
    <row r="2653" spans="2:3" x14ac:dyDescent="0.25">
      <c r="B2653" s="463"/>
      <c r="C2653" s="463"/>
    </row>
    <row r="2654" spans="2:3" x14ac:dyDescent="0.25">
      <c r="B2654" s="463"/>
      <c r="C2654" s="463"/>
    </row>
    <row r="2655" spans="2:3" x14ac:dyDescent="0.25">
      <c r="B2655" s="463"/>
      <c r="C2655" s="463"/>
    </row>
    <row r="2656" spans="2:3" x14ac:dyDescent="0.25">
      <c r="B2656" s="463"/>
      <c r="C2656" s="463"/>
    </row>
    <row r="2657" spans="2:3" x14ac:dyDescent="0.25">
      <c r="B2657" s="463"/>
      <c r="C2657" s="463"/>
    </row>
    <row r="2658" spans="2:3" x14ac:dyDescent="0.25">
      <c r="B2658" s="463"/>
      <c r="C2658" s="463"/>
    </row>
    <row r="2659" spans="2:3" x14ac:dyDescent="0.25">
      <c r="B2659" s="463"/>
      <c r="C2659" s="463"/>
    </row>
    <row r="2660" spans="2:3" x14ac:dyDescent="0.25">
      <c r="B2660" s="463"/>
      <c r="C2660" s="463"/>
    </row>
    <row r="2661" spans="2:3" x14ac:dyDescent="0.25">
      <c r="B2661" s="463"/>
      <c r="C2661" s="463"/>
    </row>
    <row r="2662" spans="2:3" x14ac:dyDescent="0.25">
      <c r="B2662" s="463"/>
      <c r="C2662" s="463"/>
    </row>
    <row r="2663" spans="2:3" x14ac:dyDescent="0.25">
      <c r="B2663" s="463"/>
      <c r="C2663" s="463"/>
    </row>
    <row r="2664" spans="2:3" x14ac:dyDescent="0.25">
      <c r="B2664" s="463"/>
      <c r="C2664" s="463"/>
    </row>
    <row r="2665" spans="2:3" x14ac:dyDescent="0.25">
      <c r="B2665" s="463"/>
      <c r="C2665" s="463"/>
    </row>
    <row r="2666" spans="2:3" x14ac:dyDescent="0.25">
      <c r="B2666" s="463"/>
      <c r="C2666" s="463"/>
    </row>
    <row r="2667" spans="2:3" x14ac:dyDescent="0.25">
      <c r="B2667" s="463"/>
      <c r="C2667" s="463"/>
    </row>
    <row r="2668" spans="2:3" x14ac:dyDescent="0.25">
      <c r="B2668" s="463"/>
      <c r="C2668" s="463"/>
    </row>
    <row r="2669" spans="2:3" x14ac:dyDescent="0.25">
      <c r="B2669" s="463"/>
      <c r="C2669" s="463"/>
    </row>
    <row r="2670" spans="2:3" x14ac:dyDescent="0.25">
      <c r="B2670" s="463"/>
      <c r="C2670" s="463"/>
    </row>
    <row r="2671" spans="2:3" x14ac:dyDescent="0.25">
      <c r="B2671" s="463"/>
      <c r="C2671" s="463"/>
    </row>
    <row r="2672" spans="2:3" x14ac:dyDescent="0.25">
      <c r="B2672" s="463"/>
      <c r="C2672" s="463"/>
    </row>
    <row r="2673" spans="2:3" x14ac:dyDescent="0.25">
      <c r="B2673" s="463"/>
      <c r="C2673" s="463"/>
    </row>
    <row r="2674" spans="2:3" x14ac:dyDescent="0.25">
      <c r="B2674" s="463"/>
      <c r="C2674" s="463"/>
    </row>
    <row r="2675" spans="2:3" x14ac:dyDescent="0.25">
      <c r="B2675" s="463"/>
      <c r="C2675" s="463"/>
    </row>
    <row r="2676" spans="2:3" x14ac:dyDescent="0.25">
      <c r="B2676" s="463"/>
      <c r="C2676" s="463"/>
    </row>
    <row r="2677" spans="2:3" x14ac:dyDescent="0.25">
      <c r="B2677" s="463"/>
      <c r="C2677" s="463"/>
    </row>
    <row r="2678" spans="2:3" x14ac:dyDescent="0.25">
      <c r="B2678" s="463"/>
      <c r="C2678" s="463"/>
    </row>
    <row r="2679" spans="2:3" x14ac:dyDescent="0.25">
      <c r="B2679" s="463"/>
      <c r="C2679" s="463"/>
    </row>
    <row r="2680" spans="2:3" x14ac:dyDescent="0.25">
      <c r="B2680" s="463"/>
      <c r="C2680" s="463"/>
    </row>
    <row r="2681" spans="2:3" x14ac:dyDescent="0.25">
      <c r="B2681" s="463"/>
      <c r="C2681" s="463"/>
    </row>
    <row r="2682" spans="2:3" x14ac:dyDescent="0.25">
      <c r="B2682" s="463"/>
      <c r="C2682" s="463"/>
    </row>
    <row r="2683" spans="2:3" x14ac:dyDescent="0.25">
      <c r="B2683" s="463"/>
      <c r="C2683" s="463"/>
    </row>
    <row r="2684" spans="2:3" x14ac:dyDescent="0.25">
      <c r="B2684" s="463"/>
      <c r="C2684" s="463"/>
    </row>
    <row r="2685" spans="2:3" x14ac:dyDescent="0.25">
      <c r="B2685" s="463"/>
      <c r="C2685" s="463"/>
    </row>
    <row r="2686" spans="2:3" x14ac:dyDescent="0.25">
      <c r="B2686" s="463"/>
      <c r="C2686" s="463"/>
    </row>
    <row r="2687" spans="2:3" x14ac:dyDescent="0.25">
      <c r="B2687" s="463"/>
      <c r="C2687" s="463"/>
    </row>
    <row r="2688" spans="2:3" x14ac:dyDescent="0.25">
      <c r="B2688" s="463"/>
      <c r="C2688" s="463"/>
    </row>
    <row r="2689" spans="2:3" x14ac:dyDescent="0.25">
      <c r="B2689" s="463"/>
      <c r="C2689" s="463"/>
    </row>
    <row r="2690" spans="2:3" x14ac:dyDescent="0.25">
      <c r="B2690" s="463"/>
      <c r="C2690" s="463"/>
    </row>
    <row r="2691" spans="2:3" x14ac:dyDescent="0.25">
      <c r="B2691" s="463"/>
      <c r="C2691" s="463"/>
    </row>
    <row r="2692" spans="2:3" x14ac:dyDescent="0.25">
      <c r="B2692" s="463"/>
      <c r="C2692" s="463"/>
    </row>
    <row r="2693" spans="2:3" x14ac:dyDescent="0.25">
      <c r="B2693" s="463"/>
      <c r="C2693" s="463"/>
    </row>
    <row r="2694" spans="2:3" x14ac:dyDescent="0.25">
      <c r="B2694" s="463"/>
      <c r="C2694" s="463"/>
    </row>
    <row r="2695" spans="2:3" x14ac:dyDescent="0.25">
      <c r="B2695" s="463"/>
      <c r="C2695" s="463"/>
    </row>
    <row r="2696" spans="2:3" x14ac:dyDescent="0.25">
      <c r="B2696" s="463"/>
      <c r="C2696" s="463"/>
    </row>
    <row r="2697" spans="2:3" x14ac:dyDescent="0.25">
      <c r="B2697" s="463"/>
      <c r="C2697" s="463"/>
    </row>
    <row r="2698" spans="2:3" x14ac:dyDescent="0.25">
      <c r="B2698" s="463"/>
      <c r="C2698" s="463"/>
    </row>
    <row r="2699" spans="2:3" x14ac:dyDescent="0.25">
      <c r="B2699" s="463"/>
      <c r="C2699" s="463"/>
    </row>
    <row r="2700" spans="2:3" x14ac:dyDescent="0.25">
      <c r="B2700" s="463"/>
      <c r="C2700" s="463"/>
    </row>
    <row r="2701" spans="2:3" x14ac:dyDescent="0.25">
      <c r="B2701" s="463"/>
      <c r="C2701" s="463"/>
    </row>
    <row r="2702" spans="2:3" x14ac:dyDescent="0.25">
      <c r="B2702" s="463"/>
      <c r="C2702" s="463"/>
    </row>
    <row r="2703" spans="2:3" x14ac:dyDescent="0.25">
      <c r="B2703" s="463"/>
      <c r="C2703" s="463"/>
    </row>
    <row r="2704" spans="2:3" x14ac:dyDescent="0.25">
      <c r="B2704" s="463"/>
      <c r="C2704" s="463"/>
    </row>
    <row r="2705" spans="2:3" x14ac:dyDescent="0.25">
      <c r="B2705" s="463"/>
      <c r="C2705" s="463"/>
    </row>
    <row r="2706" spans="2:3" x14ac:dyDescent="0.25">
      <c r="B2706" s="463"/>
      <c r="C2706" s="463"/>
    </row>
    <row r="2707" spans="2:3" x14ac:dyDescent="0.25">
      <c r="B2707" s="463"/>
      <c r="C2707" s="463"/>
    </row>
    <row r="2708" spans="2:3" x14ac:dyDescent="0.25">
      <c r="B2708" s="463"/>
      <c r="C2708" s="463"/>
    </row>
    <row r="2709" spans="2:3" x14ac:dyDescent="0.25">
      <c r="B2709" s="463"/>
      <c r="C2709" s="463"/>
    </row>
    <row r="2710" spans="2:3" x14ac:dyDescent="0.25">
      <c r="B2710" s="463"/>
      <c r="C2710" s="463"/>
    </row>
    <row r="2711" spans="2:3" x14ac:dyDescent="0.25">
      <c r="B2711" s="463"/>
      <c r="C2711" s="463"/>
    </row>
    <row r="2712" spans="2:3" x14ac:dyDescent="0.25">
      <c r="B2712" s="463"/>
      <c r="C2712" s="463"/>
    </row>
    <row r="2713" spans="2:3" x14ac:dyDescent="0.25">
      <c r="B2713" s="463"/>
      <c r="C2713" s="463"/>
    </row>
    <row r="2714" spans="2:3" x14ac:dyDescent="0.25">
      <c r="B2714" s="463"/>
      <c r="C2714" s="463"/>
    </row>
    <row r="2715" spans="2:3" x14ac:dyDescent="0.25">
      <c r="B2715" s="463"/>
      <c r="C2715" s="463"/>
    </row>
    <row r="2716" spans="2:3" x14ac:dyDescent="0.25">
      <c r="B2716" s="463"/>
      <c r="C2716" s="463"/>
    </row>
    <row r="2717" spans="2:3" x14ac:dyDescent="0.25">
      <c r="B2717" s="463"/>
      <c r="C2717" s="463"/>
    </row>
    <row r="2718" spans="2:3" x14ac:dyDescent="0.25">
      <c r="B2718" s="463"/>
      <c r="C2718" s="463"/>
    </row>
    <row r="2719" spans="2:3" x14ac:dyDescent="0.25">
      <c r="B2719" s="463"/>
      <c r="C2719" s="463"/>
    </row>
    <row r="2720" spans="2:3" x14ac:dyDescent="0.25">
      <c r="B2720" s="463"/>
      <c r="C2720" s="463"/>
    </row>
    <row r="2721" spans="2:3" x14ac:dyDescent="0.25">
      <c r="B2721" s="463"/>
      <c r="C2721" s="463"/>
    </row>
    <row r="2722" spans="2:3" x14ac:dyDescent="0.25">
      <c r="B2722" s="463"/>
      <c r="C2722" s="463"/>
    </row>
    <row r="2723" spans="2:3" x14ac:dyDescent="0.25">
      <c r="B2723" s="463"/>
      <c r="C2723" s="463"/>
    </row>
    <row r="2724" spans="2:3" x14ac:dyDescent="0.25">
      <c r="B2724" s="463"/>
      <c r="C2724" s="463"/>
    </row>
    <row r="2725" spans="2:3" x14ac:dyDescent="0.25">
      <c r="B2725" s="463"/>
      <c r="C2725" s="463"/>
    </row>
    <row r="2726" spans="2:3" x14ac:dyDescent="0.25">
      <c r="B2726" s="463"/>
      <c r="C2726" s="463"/>
    </row>
    <row r="2727" spans="2:3" x14ac:dyDescent="0.25">
      <c r="B2727" s="463"/>
      <c r="C2727" s="463"/>
    </row>
    <row r="2728" spans="2:3" x14ac:dyDescent="0.25">
      <c r="B2728" s="463"/>
      <c r="C2728" s="463"/>
    </row>
    <row r="2729" spans="2:3" x14ac:dyDescent="0.25">
      <c r="B2729" s="463"/>
      <c r="C2729" s="463"/>
    </row>
    <row r="2730" spans="2:3" x14ac:dyDescent="0.25">
      <c r="B2730" s="463"/>
      <c r="C2730" s="463"/>
    </row>
    <row r="2731" spans="2:3" x14ac:dyDescent="0.25">
      <c r="B2731" s="463"/>
      <c r="C2731" s="463"/>
    </row>
    <row r="2732" spans="2:3" x14ac:dyDescent="0.25">
      <c r="B2732" s="463"/>
      <c r="C2732" s="463"/>
    </row>
    <row r="2733" spans="2:3" x14ac:dyDescent="0.25">
      <c r="B2733" s="463"/>
      <c r="C2733" s="463"/>
    </row>
    <row r="2734" spans="2:3" x14ac:dyDescent="0.25">
      <c r="B2734" s="463"/>
      <c r="C2734" s="463"/>
    </row>
    <row r="2735" spans="2:3" x14ac:dyDescent="0.25">
      <c r="B2735" s="463"/>
      <c r="C2735" s="463"/>
    </row>
    <row r="2736" spans="2:3" x14ac:dyDescent="0.25">
      <c r="B2736" s="463"/>
      <c r="C2736" s="463"/>
    </row>
    <row r="2737" spans="2:3" x14ac:dyDescent="0.25">
      <c r="B2737" s="463"/>
      <c r="C2737" s="463"/>
    </row>
    <row r="2738" spans="2:3" x14ac:dyDescent="0.25">
      <c r="B2738" s="463"/>
      <c r="C2738" s="463"/>
    </row>
    <row r="2739" spans="2:3" x14ac:dyDescent="0.25">
      <c r="B2739" s="463"/>
      <c r="C2739" s="463"/>
    </row>
    <row r="2740" spans="2:3" x14ac:dyDescent="0.25">
      <c r="B2740" s="463"/>
      <c r="C2740" s="463"/>
    </row>
    <row r="2741" spans="2:3" x14ac:dyDescent="0.25">
      <c r="B2741" s="463"/>
      <c r="C2741" s="463"/>
    </row>
    <row r="2742" spans="2:3" x14ac:dyDescent="0.25">
      <c r="B2742" s="463"/>
      <c r="C2742" s="463"/>
    </row>
    <row r="2743" spans="2:3" x14ac:dyDescent="0.25">
      <c r="B2743" s="463"/>
      <c r="C2743" s="463"/>
    </row>
    <row r="2744" spans="2:3" x14ac:dyDescent="0.25">
      <c r="B2744" s="463"/>
      <c r="C2744" s="463"/>
    </row>
    <row r="2745" spans="2:3" x14ac:dyDescent="0.25">
      <c r="B2745" s="463"/>
      <c r="C2745" s="463"/>
    </row>
    <row r="2746" spans="2:3" x14ac:dyDescent="0.25">
      <c r="B2746" s="463"/>
      <c r="C2746" s="463"/>
    </row>
    <row r="2747" spans="2:3" x14ac:dyDescent="0.25">
      <c r="B2747" s="463"/>
      <c r="C2747" s="463"/>
    </row>
    <row r="2748" spans="2:3" x14ac:dyDescent="0.25">
      <c r="B2748" s="463"/>
      <c r="C2748" s="463"/>
    </row>
    <row r="2749" spans="2:3" x14ac:dyDescent="0.25">
      <c r="B2749" s="463"/>
      <c r="C2749" s="463"/>
    </row>
    <row r="2750" spans="2:3" x14ac:dyDescent="0.25">
      <c r="B2750" s="463"/>
      <c r="C2750" s="463"/>
    </row>
    <row r="2751" spans="2:3" x14ac:dyDescent="0.25">
      <c r="B2751" s="463"/>
      <c r="C2751" s="463"/>
    </row>
    <row r="2752" spans="2:3" x14ac:dyDescent="0.25">
      <c r="B2752" s="463"/>
      <c r="C2752" s="463"/>
    </row>
    <row r="2753" spans="2:3" x14ac:dyDescent="0.25">
      <c r="B2753" s="463"/>
      <c r="C2753" s="463"/>
    </row>
    <row r="2754" spans="2:3" x14ac:dyDescent="0.25">
      <c r="B2754" s="463"/>
      <c r="C2754" s="463"/>
    </row>
    <row r="2755" spans="2:3" x14ac:dyDescent="0.25">
      <c r="B2755" s="463"/>
      <c r="C2755" s="463"/>
    </row>
    <row r="2756" spans="2:3" x14ac:dyDescent="0.25">
      <c r="B2756" s="463"/>
      <c r="C2756" s="463"/>
    </row>
    <row r="2757" spans="2:3" x14ac:dyDescent="0.25">
      <c r="B2757" s="463"/>
      <c r="C2757" s="463"/>
    </row>
    <row r="2758" spans="2:3" x14ac:dyDescent="0.25">
      <c r="B2758" s="463"/>
      <c r="C2758" s="463"/>
    </row>
    <row r="2759" spans="2:3" x14ac:dyDescent="0.25">
      <c r="B2759" s="463"/>
      <c r="C2759" s="463"/>
    </row>
    <row r="2760" spans="2:3" x14ac:dyDescent="0.25">
      <c r="B2760" s="463"/>
      <c r="C2760" s="463"/>
    </row>
    <row r="2761" spans="2:3" x14ac:dyDescent="0.25">
      <c r="B2761" s="463"/>
      <c r="C2761" s="463"/>
    </row>
    <row r="2762" spans="2:3" x14ac:dyDescent="0.25">
      <c r="B2762" s="463"/>
      <c r="C2762" s="463"/>
    </row>
    <row r="2763" spans="2:3" x14ac:dyDescent="0.25">
      <c r="B2763" s="463"/>
      <c r="C2763" s="463"/>
    </row>
    <row r="2764" spans="2:3" x14ac:dyDescent="0.25">
      <c r="B2764" s="463"/>
      <c r="C2764" s="463"/>
    </row>
    <row r="2765" spans="2:3" x14ac:dyDescent="0.25">
      <c r="B2765" s="463"/>
      <c r="C2765" s="463"/>
    </row>
    <row r="2766" spans="2:3" x14ac:dyDescent="0.25">
      <c r="B2766" s="463"/>
      <c r="C2766" s="463"/>
    </row>
    <row r="2767" spans="2:3" x14ac:dyDescent="0.25">
      <c r="B2767" s="463"/>
      <c r="C2767" s="463"/>
    </row>
    <row r="2768" spans="2:3" x14ac:dyDescent="0.25">
      <c r="B2768" s="463"/>
      <c r="C2768" s="463"/>
    </row>
    <row r="2769" spans="2:3" x14ac:dyDescent="0.25">
      <c r="B2769" s="463"/>
      <c r="C2769" s="463"/>
    </row>
    <row r="2770" spans="2:3" x14ac:dyDescent="0.25">
      <c r="B2770" s="463"/>
      <c r="C2770" s="463"/>
    </row>
    <row r="2771" spans="2:3" x14ac:dyDescent="0.25">
      <c r="B2771" s="463"/>
      <c r="C2771" s="463"/>
    </row>
    <row r="2772" spans="2:3" x14ac:dyDescent="0.25">
      <c r="B2772" s="463"/>
      <c r="C2772" s="463"/>
    </row>
    <row r="2773" spans="2:3" x14ac:dyDescent="0.25">
      <c r="B2773" s="463"/>
      <c r="C2773" s="463"/>
    </row>
    <row r="2774" spans="2:3" x14ac:dyDescent="0.25">
      <c r="B2774" s="463"/>
      <c r="C2774" s="463"/>
    </row>
    <row r="2775" spans="2:3" x14ac:dyDescent="0.25">
      <c r="B2775" s="463"/>
      <c r="C2775" s="463"/>
    </row>
    <row r="2776" spans="2:3" x14ac:dyDescent="0.25">
      <c r="B2776" s="463"/>
      <c r="C2776" s="463"/>
    </row>
    <row r="2777" spans="2:3" x14ac:dyDescent="0.25">
      <c r="B2777" s="463"/>
      <c r="C2777" s="463"/>
    </row>
    <row r="2778" spans="2:3" x14ac:dyDescent="0.25">
      <c r="B2778" s="463"/>
      <c r="C2778" s="463"/>
    </row>
    <row r="2779" spans="2:3" x14ac:dyDescent="0.25">
      <c r="B2779" s="463"/>
      <c r="C2779" s="463"/>
    </row>
    <row r="2780" spans="2:3" x14ac:dyDescent="0.25">
      <c r="B2780" s="463"/>
      <c r="C2780" s="463"/>
    </row>
    <row r="2781" spans="2:3" x14ac:dyDescent="0.25">
      <c r="B2781" s="463"/>
      <c r="C2781" s="463"/>
    </row>
    <row r="2782" spans="2:3" x14ac:dyDescent="0.25">
      <c r="B2782" s="463"/>
      <c r="C2782" s="463"/>
    </row>
    <row r="2783" spans="2:3" x14ac:dyDescent="0.25">
      <c r="B2783" s="463"/>
      <c r="C2783" s="463"/>
    </row>
    <row r="2784" spans="2:3" x14ac:dyDescent="0.25">
      <c r="B2784" s="463"/>
      <c r="C2784" s="463"/>
    </row>
    <row r="2785" spans="2:3" x14ac:dyDescent="0.25">
      <c r="B2785" s="463"/>
      <c r="C2785" s="463"/>
    </row>
    <row r="2786" spans="2:3" x14ac:dyDescent="0.25">
      <c r="B2786" s="463"/>
      <c r="C2786" s="463"/>
    </row>
    <row r="2787" spans="2:3" x14ac:dyDescent="0.25">
      <c r="B2787" s="463"/>
      <c r="C2787" s="463"/>
    </row>
    <row r="2788" spans="2:3" x14ac:dyDescent="0.25">
      <c r="B2788" s="463"/>
      <c r="C2788" s="463"/>
    </row>
    <row r="2789" spans="2:3" x14ac:dyDescent="0.25">
      <c r="B2789" s="463"/>
      <c r="C2789" s="463"/>
    </row>
    <row r="2790" spans="2:3" x14ac:dyDescent="0.25">
      <c r="B2790" s="463"/>
      <c r="C2790" s="463"/>
    </row>
    <row r="2791" spans="2:3" x14ac:dyDescent="0.25">
      <c r="B2791" s="463"/>
      <c r="C2791" s="463"/>
    </row>
    <row r="2792" spans="2:3" x14ac:dyDescent="0.25">
      <c r="B2792" s="463"/>
      <c r="C2792" s="463"/>
    </row>
    <row r="2793" spans="2:3" x14ac:dyDescent="0.25">
      <c r="B2793" s="463"/>
      <c r="C2793" s="463"/>
    </row>
    <row r="2794" spans="2:3" x14ac:dyDescent="0.25">
      <c r="B2794" s="463"/>
      <c r="C2794" s="463"/>
    </row>
    <row r="2795" spans="2:3" x14ac:dyDescent="0.25">
      <c r="B2795" s="463"/>
      <c r="C2795" s="463"/>
    </row>
    <row r="2796" spans="2:3" x14ac:dyDescent="0.25">
      <c r="B2796" s="463"/>
      <c r="C2796" s="463"/>
    </row>
    <row r="2797" spans="2:3" x14ac:dyDescent="0.25">
      <c r="B2797" s="463"/>
      <c r="C2797" s="463"/>
    </row>
    <row r="2798" spans="2:3" x14ac:dyDescent="0.25">
      <c r="B2798" s="463"/>
      <c r="C2798" s="463"/>
    </row>
    <row r="2799" spans="2:3" x14ac:dyDescent="0.25">
      <c r="B2799" s="463"/>
      <c r="C2799" s="463"/>
    </row>
    <row r="2800" spans="2:3" x14ac:dyDescent="0.25">
      <c r="B2800" s="463"/>
      <c r="C2800" s="463"/>
    </row>
    <row r="2801" spans="2:3" x14ac:dyDescent="0.25">
      <c r="B2801" s="463"/>
      <c r="C2801" s="463"/>
    </row>
    <row r="2802" spans="2:3" x14ac:dyDescent="0.25">
      <c r="B2802" s="463"/>
      <c r="C2802" s="463"/>
    </row>
    <row r="2803" spans="2:3" x14ac:dyDescent="0.25">
      <c r="B2803" s="463"/>
      <c r="C2803" s="463"/>
    </row>
    <row r="2804" spans="2:3" x14ac:dyDescent="0.25">
      <c r="B2804" s="463"/>
      <c r="C2804" s="463"/>
    </row>
    <row r="2805" spans="2:3" x14ac:dyDescent="0.25">
      <c r="B2805" s="463"/>
      <c r="C2805" s="463"/>
    </row>
    <row r="2806" spans="2:3" x14ac:dyDescent="0.25">
      <c r="B2806" s="463"/>
      <c r="C2806" s="463"/>
    </row>
    <row r="2807" spans="2:3" x14ac:dyDescent="0.25">
      <c r="B2807" s="463"/>
      <c r="C2807" s="463"/>
    </row>
    <row r="2808" spans="2:3" x14ac:dyDescent="0.25">
      <c r="B2808" s="463"/>
      <c r="C2808" s="463"/>
    </row>
    <row r="2809" spans="2:3" x14ac:dyDescent="0.25">
      <c r="B2809" s="463"/>
      <c r="C2809" s="463"/>
    </row>
    <row r="2810" spans="2:3" x14ac:dyDescent="0.25">
      <c r="B2810" s="463"/>
      <c r="C2810" s="463"/>
    </row>
    <row r="2811" spans="2:3" x14ac:dyDescent="0.25">
      <c r="B2811" s="463"/>
      <c r="C2811" s="463"/>
    </row>
    <row r="2812" spans="2:3" x14ac:dyDescent="0.25">
      <c r="B2812" s="463"/>
      <c r="C2812" s="463"/>
    </row>
    <row r="2813" spans="2:3" x14ac:dyDescent="0.25">
      <c r="B2813" s="463"/>
      <c r="C2813" s="463"/>
    </row>
    <row r="2814" spans="2:3" x14ac:dyDescent="0.25">
      <c r="B2814" s="463"/>
      <c r="C2814" s="463"/>
    </row>
    <row r="2815" spans="2:3" x14ac:dyDescent="0.25">
      <c r="B2815" s="463"/>
      <c r="C2815" s="463"/>
    </row>
    <row r="2816" spans="2:3" x14ac:dyDescent="0.25">
      <c r="B2816" s="463"/>
      <c r="C2816" s="463"/>
    </row>
    <row r="2817" spans="2:3" x14ac:dyDescent="0.25">
      <c r="B2817" s="463"/>
      <c r="C2817" s="463"/>
    </row>
    <row r="2818" spans="2:3" x14ac:dyDescent="0.25">
      <c r="B2818" s="463"/>
      <c r="C2818" s="463"/>
    </row>
    <row r="2819" spans="2:3" x14ac:dyDescent="0.25">
      <c r="B2819" s="463"/>
      <c r="C2819" s="463"/>
    </row>
    <row r="2820" spans="2:3" x14ac:dyDescent="0.25">
      <c r="B2820" s="463"/>
      <c r="C2820" s="463"/>
    </row>
    <row r="2821" spans="2:3" x14ac:dyDescent="0.25">
      <c r="B2821" s="463"/>
      <c r="C2821" s="463"/>
    </row>
    <row r="2822" spans="2:3" x14ac:dyDescent="0.25">
      <c r="B2822" s="463"/>
      <c r="C2822" s="463"/>
    </row>
    <row r="2823" spans="2:3" x14ac:dyDescent="0.25">
      <c r="B2823" s="463"/>
      <c r="C2823" s="463"/>
    </row>
    <row r="2824" spans="2:3" x14ac:dyDescent="0.25">
      <c r="B2824" s="463"/>
      <c r="C2824" s="463"/>
    </row>
    <row r="2825" spans="2:3" x14ac:dyDescent="0.25">
      <c r="B2825" s="463"/>
      <c r="C2825" s="463"/>
    </row>
    <row r="2826" spans="2:3" x14ac:dyDescent="0.25">
      <c r="B2826" s="463"/>
      <c r="C2826" s="463"/>
    </row>
    <row r="2827" spans="2:3" x14ac:dyDescent="0.25">
      <c r="B2827" s="463"/>
      <c r="C2827" s="463"/>
    </row>
    <row r="2828" spans="2:3" x14ac:dyDescent="0.25">
      <c r="B2828" s="463"/>
      <c r="C2828" s="463"/>
    </row>
    <row r="2829" spans="2:3" x14ac:dyDescent="0.25">
      <c r="B2829" s="463"/>
      <c r="C2829" s="463"/>
    </row>
    <row r="2830" spans="2:3" x14ac:dyDescent="0.25">
      <c r="B2830" s="463"/>
      <c r="C2830" s="463"/>
    </row>
    <row r="2831" spans="2:3" x14ac:dyDescent="0.25">
      <c r="B2831" s="463"/>
      <c r="C2831" s="463"/>
    </row>
    <row r="2832" spans="2:3" x14ac:dyDescent="0.25">
      <c r="B2832" s="463"/>
      <c r="C2832" s="463"/>
    </row>
    <row r="2833" spans="2:3" x14ac:dyDescent="0.25">
      <c r="B2833" s="463"/>
      <c r="C2833" s="463"/>
    </row>
    <row r="2834" spans="2:3" x14ac:dyDescent="0.25">
      <c r="B2834" s="463"/>
      <c r="C2834" s="463"/>
    </row>
    <row r="2835" spans="2:3" x14ac:dyDescent="0.25">
      <c r="B2835" s="463"/>
      <c r="C2835" s="463"/>
    </row>
    <row r="2836" spans="2:3" x14ac:dyDescent="0.25">
      <c r="B2836" s="463"/>
      <c r="C2836" s="463"/>
    </row>
    <row r="2837" spans="2:3" x14ac:dyDescent="0.25">
      <c r="B2837" s="463"/>
      <c r="C2837" s="463"/>
    </row>
    <row r="2838" spans="2:3" x14ac:dyDescent="0.25">
      <c r="B2838" s="463"/>
      <c r="C2838" s="463"/>
    </row>
    <row r="2839" spans="2:3" x14ac:dyDescent="0.25">
      <c r="B2839" s="463"/>
      <c r="C2839" s="463"/>
    </row>
    <row r="2840" spans="2:3" x14ac:dyDescent="0.25">
      <c r="B2840" s="463"/>
      <c r="C2840" s="463"/>
    </row>
    <row r="2841" spans="2:3" x14ac:dyDescent="0.25">
      <c r="B2841" s="463"/>
      <c r="C2841" s="463"/>
    </row>
    <row r="2842" spans="2:3" x14ac:dyDescent="0.25">
      <c r="B2842" s="463"/>
      <c r="C2842" s="463"/>
    </row>
    <row r="2843" spans="2:3" x14ac:dyDescent="0.25">
      <c r="B2843" s="463"/>
      <c r="C2843" s="463"/>
    </row>
    <row r="2844" spans="2:3" x14ac:dyDescent="0.25">
      <c r="B2844" s="463"/>
      <c r="C2844" s="463"/>
    </row>
    <row r="2845" spans="2:3" x14ac:dyDescent="0.25">
      <c r="B2845" s="463"/>
      <c r="C2845" s="463"/>
    </row>
    <row r="2846" spans="2:3" x14ac:dyDescent="0.25">
      <c r="B2846" s="463"/>
      <c r="C2846" s="463"/>
    </row>
    <row r="2847" spans="2:3" x14ac:dyDescent="0.25">
      <c r="B2847" s="463"/>
      <c r="C2847" s="463"/>
    </row>
    <row r="2848" spans="2:3" x14ac:dyDescent="0.25">
      <c r="B2848" s="463"/>
      <c r="C2848" s="463"/>
    </row>
    <row r="2849" spans="2:3" x14ac:dyDescent="0.25">
      <c r="B2849" s="463"/>
      <c r="C2849" s="463"/>
    </row>
    <row r="2850" spans="2:3" x14ac:dyDescent="0.25">
      <c r="B2850" s="463"/>
      <c r="C2850" s="463"/>
    </row>
    <row r="2851" spans="2:3" x14ac:dyDescent="0.25">
      <c r="B2851" s="463"/>
      <c r="C2851" s="463"/>
    </row>
    <row r="2852" spans="2:3" x14ac:dyDescent="0.25">
      <c r="B2852" s="463"/>
      <c r="C2852" s="463"/>
    </row>
    <row r="2853" spans="2:3" x14ac:dyDescent="0.25">
      <c r="B2853" s="463"/>
      <c r="C2853" s="463"/>
    </row>
    <row r="2854" spans="2:3" x14ac:dyDescent="0.25">
      <c r="B2854" s="463"/>
      <c r="C2854" s="463"/>
    </row>
    <row r="2855" spans="2:3" x14ac:dyDescent="0.25">
      <c r="B2855" s="463"/>
      <c r="C2855" s="463"/>
    </row>
    <row r="2856" spans="2:3" x14ac:dyDescent="0.25">
      <c r="B2856" s="463"/>
      <c r="C2856" s="463"/>
    </row>
    <row r="2857" spans="2:3" x14ac:dyDescent="0.25">
      <c r="B2857" s="463"/>
      <c r="C2857" s="463"/>
    </row>
    <row r="2858" spans="2:3" x14ac:dyDescent="0.25">
      <c r="B2858" s="463"/>
      <c r="C2858" s="463"/>
    </row>
    <row r="2859" spans="2:3" x14ac:dyDescent="0.25">
      <c r="B2859" s="463"/>
      <c r="C2859" s="463"/>
    </row>
    <row r="2860" spans="2:3" x14ac:dyDescent="0.25">
      <c r="B2860" s="463"/>
      <c r="C2860" s="463"/>
    </row>
    <row r="2861" spans="2:3" x14ac:dyDescent="0.25">
      <c r="B2861" s="463"/>
      <c r="C2861" s="463"/>
    </row>
    <row r="2862" spans="2:3" x14ac:dyDescent="0.25">
      <c r="B2862" s="463"/>
      <c r="C2862" s="463"/>
    </row>
    <row r="2863" spans="2:3" x14ac:dyDescent="0.25">
      <c r="B2863" s="463"/>
      <c r="C2863" s="463"/>
    </row>
    <row r="2864" spans="2:3" x14ac:dyDescent="0.25">
      <c r="B2864" s="463"/>
      <c r="C2864" s="463"/>
    </row>
    <row r="2865" spans="2:3" x14ac:dyDescent="0.25">
      <c r="B2865" s="463"/>
      <c r="C2865" s="463"/>
    </row>
    <row r="2866" spans="2:3" x14ac:dyDescent="0.25">
      <c r="B2866" s="463"/>
      <c r="C2866" s="463"/>
    </row>
    <row r="2867" spans="2:3" x14ac:dyDescent="0.25">
      <c r="B2867" s="463"/>
      <c r="C2867" s="463"/>
    </row>
    <row r="2868" spans="2:3" x14ac:dyDescent="0.25">
      <c r="B2868" s="463"/>
      <c r="C2868" s="463"/>
    </row>
    <row r="2869" spans="2:3" x14ac:dyDescent="0.25">
      <c r="B2869" s="463"/>
      <c r="C2869" s="463"/>
    </row>
    <row r="2870" spans="2:3" x14ac:dyDescent="0.25">
      <c r="B2870" s="463"/>
      <c r="C2870" s="463"/>
    </row>
    <row r="2871" spans="2:3" x14ac:dyDescent="0.25">
      <c r="B2871" s="463"/>
      <c r="C2871" s="463"/>
    </row>
    <row r="2872" spans="2:3" x14ac:dyDescent="0.25">
      <c r="B2872" s="463"/>
      <c r="C2872" s="463"/>
    </row>
    <row r="2873" spans="2:3" x14ac:dyDescent="0.25">
      <c r="B2873" s="463"/>
      <c r="C2873" s="463"/>
    </row>
    <row r="2874" spans="2:3" x14ac:dyDescent="0.25">
      <c r="B2874" s="463"/>
      <c r="C2874" s="463"/>
    </row>
    <row r="2875" spans="2:3" x14ac:dyDescent="0.25">
      <c r="B2875" s="463"/>
      <c r="C2875" s="463"/>
    </row>
    <row r="2876" spans="2:3" x14ac:dyDescent="0.25">
      <c r="B2876" s="463"/>
      <c r="C2876" s="463"/>
    </row>
    <row r="2877" spans="2:3" x14ac:dyDescent="0.25">
      <c r="B2877" s="463"/>
      <c r="C2877" s="463"/>
    </row>
    <row r="2878" spans="2:3" x14ac:dyDescent="0.25">
      <c r="B2878" s="463"/>
      <c r="C2878" s="463"/>
    </row>
    <row r="2879" spans="2:3" x14ac:dyDescent="0.25">
      <c r="B2879" s="463"/>
      <c r="C2879" s="463"/>
    </row>
    <row r="2880" spans="2:3" x14ac:dyDescent="0.25">
      <c r="B2880" s="463"/>
      <c r="C2880" s="463"/>
    </row>
    <row r="2881" spans="2:3" x14ac:dyDescent="0.25">
      <c r="B2881" s="463"/>
      <c r="C2881" s="463"/>
    </row>
    <row r="2882" spans="2:3" x14ac:dyDescent="0.25">
      <c r="B2882" s="463"/>
      <c r="C2882" s="463"/>
    </row>
    <row r="2883" spans="2:3" x14ac:dyDescent="0.25">
      <c r="B2883" s="463"/>
      <c r="C2883" s="463"/>
    </row>
    <row r="2884" spans="2:3" x14ac:dyDescent="0.25">
      <c r="B2884" s="463"/>
      <c r="C2884" s="463"/>
    </row>
    <row r="2885" spans="2:3" x14ac:dyDescent="0.25">
      <c r="B2885" s="463"/>
      <c r="C2885" s="463"/>
    </row>
    <row r="2886" spans="2:3" x14ac:dyDescent="0.25">
      <c r="B2886" s="463"/>
      <c r="C2886" s="463"/>
    </row>
    <row r="2887" spans="2:3" x14ac:dyDescent="0.25">
      <c r="B2887" s="463"/>
      <c r="C2887" s="463"/>
    </row>
    <row r="2888" spans="2:3" x14ac:dyDescent="0.25">
      <c r="B2888" s="463"/>
      <c r="C2888" s="463"/>
    </row>
    <row r="2889" spans="2:3" x14ac:dyDescent="0.25">
      <c r="B2889" s="463"/>
      <c r="C2889" s="463"/>
    </row>
    <row r="2890" spans="2:3" x14ac:dyDescent="0.25">
      <c r="B2890" s="463"/>
      <c r="C2890" s="463"/>
    </row>
    <row r="2891" spans="2:3" x14ac:dyDescent="0.25">
      <c r="B2891" s="463"/>
      <c r="C2891" s="463"/>
    </row>
    <row r="2892" spans="2:3" x14ac:dyDescent="0.25">
      <c r="B2892" s="463"/>
      <c r="C2892" s="463"/>
    </row>
    <row r="2893" spans="2:3" x14ac:dyDescent="0.25">
      <c r="B2893" s="463"/>
      <c r="C2893" s="463"/>
    </row>
    <row r="2894" spans="2:3" x14ac:dyDescent="0.25">
      <c r="B2894" s="463"/>
      <c r="C2894" s="463"/>
    </row>
    <row r="2895" spans="2:3" x14ac:dyDescent="0.25">
      <c r="B2895" s="463"/>
      <c r="C2895" s="463"/>
    </row>
    <row r="2896" spans="2:3" x14ac:dyDescent="0.25">
      <c r="B2896" s="463"/>
      <c r="C2896" s="463"/>
    </row>
    <row r="2897" spans="2:3" x14ac:dyDescent="0.25">
      <c r="B2897" s="463"/>
      <c r="C2897" s="463"/>
    </row>
    <row r="2898" spans="2:3" x14ac:dyDescent="0.25">
      <c r="B2898" s="463"/>
      <c r="C2898" s="463"/>
    </row>
    <row r="2899" spans="2:3" x14ac:dyDescent="0.25">
      <c r="B2899" s="463"/>
      <c r="C2899" s="463"/>
    </row>
    <row r="2900" spans="2:3" x14ac:dyDescent="0.25">
      <c r="B2900" s="463"/>
      <c r="C2900" s="463"/>
    </row>
    <row r="2901" spans="2:3" x14ac:dyDescent="0.25">
      <c r="B2901" s="463"/>
      <c r="C2901" s="463"/>
    </row>
    <row r="2902" spans="2:3" x14ac:dyDescent="0.25">
      <c r="B2902" s="463"/>
      <c r="C2902" s="463"/>
    </row>
    <row r="2903" spans="2:3" x14ac:dyDescent="0.25">
      <c r="B2903" s="463"/>
      <c r="C2903" s="463"/>
    </row>
    <row r="2904" spans="2:3" x14ac:dyDescent="0.25">
      <c r="B2904" s="463"/>
      <c r="C2904" s="463"/>
    </row>
    <row r="2905" spans="2:3" x14ac:dyDescent="0.25">
      <c r="B2905" s="463"/>
      <c r="C2905" s="463"/>
    </row>
    <row r="2906" spans="2:3" x14ac:dyDescent="0.25">
      <c r="B2906" s="463"/>
      <c r="C2906" s="463"/>
    </row>
    <row r="2907" spans="2:3" x14ac:dyDescent="0.25">
      <c r="B2907" s="463"/>
      <c r="C2907" s="463"/>
    </row>
    <row r="2908" spans="2:3" x14ac:dyDescent="0.25">
      <c r="B2908" s="463"/>
      <c r="C2908" s="463"/>
    </row>
    <row r="2909" spans="2:3" x14ac:dyDescent="0.25">
      <c r="B2909" s="463"/>
      <c r="C2909" s="463"/>
    </row>
    <row r="2910" spans="2:3" x14ac:dyDescent="0.25">
      <c r="B2910" s="463"/>
      <c r="C2910" s="463"/>
    </row>
    <row r="2911" spans="2:3" x14ac:dyDescent="0.25">
      <c r="B2911" s="463"/>
      <c r="C2911" s="463"/>
    </row>
    <row r="2912" spans="2:3" x14ac:dyDescent="0.25">
      <c r="B2912" s="463"/>
      <c r="C2912" s="463"/>
    </row>
    <row r="2913" spans="2:3" x14ac:dyDescent="0.25">
      <c r="B2913" s="463"/>
      <c r="C2913" s="463"/>
    </row>
    <row r="2914" spans="2:3" x14ac:dyDescent="0.25">
      <c r="B2914" s="463"/>
      <c r="C2914" s="463"/>
    </row>
    <row r="2915" spans="2:3" x14ac:dyDescent="0.25">
      <c r="B2915" s="463"/>
      <c r="C2915" s="463"/>
    </row>
    <row r="2916" spans="2:3" x14ac:dyDescent="0.25">
      <c r="B2916" s="463"/>
      <c r="C2916" s="463"/>
    </row>
    <row r="2917" spans="2:3" x14ac:dyDescent="0.25">
      <c r="B2917" s="463"/>
      <c r="C2917" s="463"/>
    </row>
    <row r="2918" spans="2:3" x14ac:dyDescent="0.25">
      <c r="B2918" s="463"/>
      <c r="C2918" s="463"/>
    </row>
    <row r="2919" spans="2:3" x14ac:dyDescent="0.25">
      <c r="B2919" s="463"/>
      <c r="C2919" s="463"/>
    </row>
    <row r="2920" spans="2:3" x14ac:dyDescent="0.25">
      <c r="B2920" s="463"/>
      <c r="C2920" s="463"/>
    </row>
    <row r="2921" spans="2:3" x14ac:dyDescent="0.25">
      <c r="B2921" s="463"/>
      <c r="C2921" s="463"/>
    </row>
    <row r="2922" spans="2:3" x14ac:dyDescent="0.25">
      <c r="B2922" s="463"/>
      <c r="C2922" s="463"/>
    </row>
    <row r="2923" spans="2:3" x14ac:dyDescent="0.25">
      <c r="B2923" s="463"/>
      <c r="C2923" s="463"/>
    </row>
    <row r="2924" spans="2:3" x14ac:dyDescent="0.25">
      <c r="B2924" s="463"/>
      <c r="C2924" s="463"/>
    </row>
    <row r="2925" spans="2:3" x14ac:dyDescent="0.25">
      <c r="B2925" s="463"/>
      <c r="C2925" s="463"/>
    </row>
    <row r="2926" spans="2:3" x14ac:dyDescent="0.25">
      <c r="B2926" s="463"/>
      <c r="C2926" s="463"/>
    </row>
    <row r="2927" spans="2:3" x14ac:dyDescent="0.25">
      <c r="B2927" s="463"/>
      <c r="C2927" s="463"/>
    </row>
    <row r="2928" spans="2:3" x14ac:dyDescent="0.25">
      <c r="B2928" s="463"/>
      <c r="C2928" s="463"/>
    </row>
    <row r="2929" spans="2:3" x14ac:dyDescent="0.25">
      <c r="B2929" s="463"/>
      <c r="C2929" s="463"/>
    </row>
    <row r="2930" spans="2:3" x14ac:dyDescent="0.25">
      <c r="B2930" s="463"/>
      <c r="C2930" s="463"/>
    </row>
    <row r="2931" spans="2:3" x14ac:dyDescent="0.25">
      <c r="B2931" s="463"/>
      <c r="C2931" s="463"/>
    </row>
    <row r="2932" spans="2:3" x14ac:dyDescent="0.25">
      <c r="B2932" s="463"/>
      <c r="C2932" s="463"/>
    </row>
    <row r="2933" spans="2:3" x14ac:dyDescent="0.25">
      <c r="B2933" s="463"/>
      <c r="C2933" s="463"/>
    </row>
    <row r="2934" spans="2:3" x14ac:dyDescent="0.25">
      <c r="B2934" s="463"/>
      <c r="C2934" s="463"/>
    </row>
    <row r="2935" spans="2:3" x14ac:dyDescent="0.25">
      <c r="B2935" s="463"/>
      <c r="C2935" s="463"/>
    </row>
    <row r="2936" spans="2:3" x14ac:dyDescent="0.25">
      <c r="B2936" s="463"/>
      <c r="C2936" s="463"/>
    </row>
    <row r="2937" spans="2:3" x14ac:dyDescent="0.25">
      <c r="B2937" s="463"/>
      <c r="C2937" s="463"/>
    </row>
    <row r="2938" spans="2:3" x14ac:dyDescent="0.25">
      <c r="B2938" s="463"/>
      <c r="C2938" s="463"/>
    </row>
    <row r="2939" spans="2:3" x14ac:dyDescent="0.25">
      <c r="B2939" s="463"/>
      <c r="C2939" s="463"/>
    </row>
    <row r="2940" spans="2:3" x14ac:dyDescent="0.25">
      <c r="B2940" s="463"/>
      <c r="C2940" s="463"/>
    </row>
    <row r="2941" spans="2:3" x14ac:dyDescent="0.25">
      <c r="B2941" s="463"/>
      <c r="C2941" s="463"/>
    </row>
    <row r="2942" spans="2:3" x14ac:dyDescent="0.25">
      <c r="B2942" s="463"/>
      <c r="C2942" s="463"/>
    </row>
    <row r="2943" spans="2:3" x14ac:dyDescent="0.25">
      <c r="B2943" s="463"/>
      <c r="C2943" s="463"/>
    </row>
    <row r="2944" spans="2:3" x14ac:dyDescent="0.25">
      <c r="B2944" s="463"/>
      <c r="C2944" s="463"/>
    </row>
    <row r="2945" spans="2:3" x14ac:dyDescent="0.25">
      <c r="B2945" s="463"/>
      <c r="C2945" s="463"/>
    </row>
    <row r="2946" spans="2:3" x14ac:dyDescent="0.25">
      <c r="B2946" s="463"/>
      <c r="C2946" s="463"/>
    </row>
    <row r="2947" spans="2:3" x14ac:dyDescent="0.25">
      <c r="B2947" s="463"/>
      <c r="C2947" s="463"/>
    </row>
    <row r="2948" spans="2:3" x14ac:dyDescent="0.25">
      <c r="B2948" s="463"/>
      <c r="C2948" s="463"/>
    </row>
    <row r="2949" spans="2:3" x14ac:dyDescent="0.25">
      <c r="B2949" s="463"/>
      <c r="C2949" s="463"/>
    </row>
    <row r="2950" spans="2:3" x14ac:dyDescent="0.25">
      <c r="B2950" s="463"/>
      <c r="C2950" s="463"/>
    </row>
    <row r="2951" spans="2:3" x14ac:dyDescent="0.25">
      <c r="B2951" s="463"/>
      <c r="C2951" s="463"/>
    </row>
    <row r="2952" spans="2:3" x14ac:dyDescent="0.25">
      <c r="B2952" s="463"/>
      <c r="C2952" s="463"/>
    </row>
    <row r="2953" spans="2:3" x14ac:dyDescent="0.25">
      <c r="B2953" s="463"/>
      <c r="C2953" s="463"/>
    </row>
    <row r="2954" spans="2:3" x14ac:dyDescent="0.25">
      <c r="B2954" s="463"/>
      <c r="C2954" s="463"/>
    </row>
    <row r="2955" spans="2:3" x14ac:dyDescent="0.25">
      <c r="B2955" s="463"/>
      <c r="C2955" s="463"/>
    </row>
    <row r="2956" spans="2:3" x14ac:dyDescent="0.25">
      <c r="B2956" s="463"/>
      <c r="C2956" s="463"/>
    </row>
    <row r="2957" spans="2:3" x14ac:dyDescent="0.25">
      <c r="B2957" s="463"/>
      <c r="C2957" s="463"/>
    </row>
    <row r="2958" spans="2:3" x14ac:dyDescent="0.25">
      <c r="B2958" s="463"/>
      <c r="C2958" s="463"/>
    </row>
    <row r="2959" spans="2:3" x14ac:dyDescent="0.25">
      <c r="B2959" s="463"/>
      <c r="C2959" s="463"/>
    </row>
    <row r="2960" spans="2:3" x14ac:dyDescent="0.25">
      <c r="B2960" s="463"/>
      <c r="C2960" s="463"/>
    </row>
    <row r="2961" spans="2:3" x14ac:dyDescent="0.25">
      <c r="B2961" s="463"/>
      <c r="C2961" s="463"/>
    </row>
    <row r="2962" spans="2:3" x14ac:dyDescent="0.25">
      <c r="B2962" s="463"/>
      <c r="C2962" s="463"/>
    </row>
    <row r="2963" spans="2:3" x14ac:dyDescent="0.25">
      <c r="B2963" s="463"/>
      <c r="C2963" s="463"/>
    </row>
    <row r="2964" spans="2:3" x14ac:dyDescent="0.25">
      <c r="B2964" s="463"/>
      <c r="C2964" s="463"/>
    </row>
    <row r="2965" spans="2:3" x14ac:dyDescent="0.25">
      <c r="B2965" s="463"/>
      <c r="C2965" s="463"/>
    </row>
    <row r="2966" spans="2:3" x14ac:dyDescent="0.25">
      <c r="B2966" s="463"/>
      <c r="C2966" s="463"/>
    </row>
    <row r="2967" spans="2:3" x14ac:dyDescent="0.25">
      <c r="B2967" s="463"/>
      <c r="C2967" s="463"/>
    </row>
    <row r="2968" spans="2:3" x14ac:dyDescent="0.25">
      <c r="B2968" s="463"/>
      <c r="C2968" s="463"/>
    </row>
    <row r="2969" spans="2:3" x14ac:dyDescent="0.25">
      <c r="B2969" s="463"/>
      <c r="C2969" s="463"/>
    </row>
    <row r="2970" spans="2:3" x14ac:dyDescent="0.25">
      <c r="B2970" s="463"/>
      <c r="C2970" s="463"/>
    </row>
    <row r="2971" spans="2:3" x14ac:dyDescent="0.25">
      <c r="B2971" s="463"/>
      <c r="C2971" s="463"/>
    </row>
    <row r="2972" spans="2:3" x14ac:dyDescent="0.25">
      <c r="B2972" s="463"/>
      <c r="C2972" s="463"/>
    </row>
    <row r="2973" spans="2:3" x14ac:dyDescent="0.25">
      <c r="B2973" s="463"/>
      <c r="C2973" s="463"/>
    </row>
    <row r="2974" spans="2:3" x14ac:dyDescent="0.25">
      <c r="B2974" s="463"/>
      <c r="C2974" s="463"/>
    </row>
    <row r="2975" spans="2:3" x14ac:dyDescent="0.25">
      <c r="B2975" s="463"/>
      <c r="C2975" s="463"/>
    </row>
    <row r="2976" spans="2:3" x14ac:dyDescent="0.25">
      <c r="B2976" s="463"/>
      <c r="C2976" s="463"/>
    </row>
    <row r="2977" spans="2:3" x14ac:dyDescent="0.25">
      <c r="B2977" s="463"/>
      <c r="C2977" s="463"/>
    </row>
    <row r="2978" spans="2:3" x14ac:dyDescent="0.25">
      <c r="B2978" s="463"/>
      <c r="C2978" s="463"/>
    </row>
    <row r="2979" spans="2:3" x14ac:dyDescent="0.25">
      <c r="B2979" s="463"/>
      <c r="C2979" s="463"/>
    </row>
    <row r="2980" spans="2:3" x14ac:dyDescent="0.25">
      <c r="B2980" s="463"/>
      <c r="C2980" s="463"/>
    </row>
    <row r="2981" spans="2:3" x14ac:dyDescent="0.25">
      <c r="B2981" s="463"/>
      <c r="C2981" s="463"/>
    </row>
    <row r="2982" spans="2:3" x14ac:dyDescent="0.25">
      <c r="B2982" s="463"/>
      <c r="C2982" s="463"/>
    </row>
    <row r="2983" spans="2:3" x14ac:dyDescent="0.25">
      <c r="B2983" s="463"/>
      <c r="C2983" s="463"/>
    </row>
    <row r="2984" spans="2:3" x14ac:dyDescent="0.25">
      <c r="B2984" s="463"/>
      <c r="C2984" s="463"/>
    </row>
    <row r="2985" spans="2:3" x14ac:dyDescent="0.25">
      <c r="B2985" s="463"/>
      <c r="C2985" s="463"/>
    </row>
    <row r="2986" spans="2:3" x14ac:dyDescent="0.25">
      <c r="B2986" s="463"/>
      <c r="C2986" s="463"/>
    </row>
    <row r="2987" spans="2:3" x14ac:dyDescent="0.25">
      <c r="B2987" s="463"/>
      <c r="C2987" s="463"/>
    </row>
    <row r="2988" spans="2:3" x14ac:dyDescent="0.25">
      <c r="B2988" s="463"/>
      <c r="C2988" s="463"/>
    </row>
    <row r="2989" spans="2:3" x14ac:dyDescent="0.25">
      <c r="B2989" s="463"/>
      <c r="C2989" s="463"/>
    </row>
    <row r="2990" spans="2:3" x14ac:dyDescent="0.25">
      <c r="B2990" s="463"/>
      <c r="C2990" s="463"/>
    </row>
    <row r="2991" spans="2:3" x14ac:dyDescent="0.25">
      <c r="B2991" s="463"/>
      <c r="C2991" s="463"/>
    </row>
    <row r="2992" spans="2:3" x14ac:dyDescent="0.25">
      <c r="B2992" s="463"/>
      <c r="C2992" s="463"/>
    </row>
    <row r="2993" spans="2:3" x14ac:dyDescent="0.25">
      <c r="B2993" s="463"/>
      <c r="C2993" s="463"/>
    </row>
    <row r="2994" spans="2:3" x14ac:dyDescent="0.25">
      <c r="B2994" s="463"/>
      <c r="C2994" s="463"/>
    </row>
    <row r="2995" spans="2:3" x14ac:dyDescent="0.25">
      <c r="B2995" s="463"/>
      <c r="C2995" s="463"/>
    </row>
    <row r="2996" spans="2:3" x14ac:dyDescent="0.25">
      <c r="B2996" s="463"/>
      <c r="C2996" s="463"/>
    </row>
    <row r="2997" spans="2:3" x14ac:dyDescent="0.25">
      <c r="B2997" s="463"/>
      <c r="C2997" s="463"/>
    </row>
    <row r="2998" spans="2:3" x14ac:dyDescent="0.25">
      <c r="B2998" s="463"/>
      <c r="C2998" s="463"/>
    </row>
    <row r="2999" spans="2:3" x14ac:dyDescent="0.25">
      <c r="B2999" s="463"/>
      <c r="C2999" s="463"/>
    </row>
    <row r="3000" spans="2:3" x14ac:dyDescent="0.25">
      <c r="B3000" s="463"/>
      <c r="C3000" s="463"/>
    </row>
    <row r="3001" spans="2:3" x14ac:dyDescent="0.25">
      <c r="B3001" s="463"/>
      <c r="C3001" s="463"/>
    </row>
    <row r="3002" spans="2:3" x14ac:dyDescent="0.25">
      <c r="B3002" s="463"/>
      <c r="C3002" s="463"/>
    </row>
    <row r="3003" spans="2:3" x14ac:dyDescent="0.25">
      <c r="B3003" s="463"/>
      <c r="C3003" s="463"/>
    </row>
    <row r="3004" spans="2:3" x14ac:dyDescent="0.25">
      <c r="B3004" s="463"/>
      <c r="C3004" s="463"/>
    </row>
    <row r="3005" spans="2:3" x14ac:dyDescent="0.25">
      <c r="B3005" s="463"/>
      <c r="C3005" s="463"/>
    </row>
    <row r="3006" spans="2:3" x14ac:dyDescent="0.25">
      <c r="B3006" s="463"/>
      <c r="C3006" s="463"/>
    </row>
    <row r="3007" spans="2:3" x14ac:dyDescent="0.25">
      <c r="B3007" s="463"/>
      <c r="C3007" s="463"/>
    </row>
    <row r="3008" spans="2:3" x14ac:dyDescent="0.25">
      <c r="B3008" s="463"/>
      <c r="C3008" s="463"/>
    </row>
    <row r="3009" spans="2:3" x14ac:dyDescent="0.25">
      <c r="B3009" s="463"/>
      <c r="C3009" s="463"/>
    </row>
    <row r="3010" spans="2:3" x14ac:dyDescent="0.25">
      <c r="B3010" s="463"/>
      <c r="C3010" s="463"/>
    </row>
    <row r="3011" spans="2:3" x14ac:dyDescent="0.25">
      <c r="B3011" s="463"/>
      <c r="C3011" s="463"/>
    </row>
    <row r="3012" spans="2:3" x14ac:dyDescent="0.25">
      <c r="B3012" s="463"/>
      <c r="C3012" s="463"/>
    </row>
    <row r="3013" spans="2:3" x14ac:dyDescent="0.25">
      <c r="B3013" s="463"/>
      <c r="C3013" s="463"/>
    </row>
    <row r="3014" spans="2:3" x14ac:dyDescent="0.25">
      <c r="B3014" s="463"/>
      <c r="C3014" s="463"/>
    </row>
    <row r="3015" spans="2:3" x14ac:dyDescent="0.25">
      <c r="B3015" s="463"/>
      <c r="C3015" s="463"/>
    </row>
    <row r="3016" spans="2:3" x14ac:dyDescent="0.25">
      <c r="B3016" s="463"/>
      <c r="C3016" s="463"/>
    </row>
    <row r="3017" spans="2:3" x14ac:dyDescent="0.25">
      <c r="B3017" s="463"/>
      <c r="C3017" s="463"/>
    </row>
    <row r="3018" spans="2:3" x14ac:dyDescent="0.25">
      <c r="B3018" s="463"/>
      <c r="C3018" s="463"/>
    </row>
    <row r="3019" spans="2:3" x14ac:dyDescent="0.25">
      <c r="B3019" s="463"/>
      <c r="C3019" s="463"/>
    </row>
    <row r="3020" spans="2:3" x14ac:dyDescent="0.25">
      <c r="B3020" s="463"/>
      <c r="C3020" s="463"/>
    </row>
    <row r="3021" spans="2:3" x14ac:dyDescent="0.25">
      <c r="B3021" s="463"/>
      <c r="C3021" s="463"/>
    </row>
    <row r="3022" spans="2:3" x14ac:dyDescent="0.25">
      <c r="B3022" s="463"/>
      <c r="C3022" s="463"/>
    </row>
    <row r="3023" spans="2:3" x14ac:dyDescent="0.25">
      <c r="B3023" s="463"/>
      <c r="C3023" s="463"/>
    </row>
    <row r="3024" spans="2:3" x14ac:dyDescent="0.25">
      <c r="B3024" s="463"/>
      <c r="C3024" s="463"/>
    </row>
    <row r="3025" spans="2:3" x14ac:dyDescent="0.25">
      <c r="B3025" s="463"/>
      <c r="C3025" s="463"/>
    </row>
    <row r="3026" spans="2:3" x14ac:dyDescent="0.25">
      <c r="B3026" s="463"/>
      <c r="C3026" s="463"/>
    </row>
    <row r="3027" spans="2:3" x14ac:dyDescent="0.25">
      <c r="B3027" s="463"/>
      <c r="C3027" s="463"/>
    </row>
    <row r="3028" spans="2:3" x14ac:dyDescent="0.25">
      <c r="B3028" s="463"/>
      <c r="C3028" s="463"/>
    </row>
    <row r="3029" spans="2:3" x14ac:dyDescent="0.25">
      <c r="B3029" s="463"/>
      <c r="C3029" s="463"/>
    </row>
    <row r="3030" spans="2:3" x14ac:dyDescent="0.25">
      <c r="B3030" s="463"/>
      <c r="C3030" s="463"/>
    </row>
    <row r="3031" spans="2:3" x14ac:dyDescent="0.25">
      <c r="B3031" s="463"/>
      <c r="C3031" s="463"/>
    </row>
    <row r="3032" spans="2:3" x14ac:dyDescent="0.25">
      <c r="B3032" s="463"/>
      <c r="C3032" s="463"/>
    </row>
    <row r="3033" spans="2:3" x14ac:dyDescent="0.25">
      <c r="B3033" s="463"/>
      <c r="C3033" s="463"/>
    </row>
    <row r="3034" spans="2:3" x14ac:dyDescent="0.25">
      <c r="B3034" s="463"/>
      <c r="C3034" s="463"/>
    </row>
    <row r="3035" spans="2:3" x14ac:dyDescent="0.25">
      <c r="B3035" s="463"/>
      <c r="C3035" s="463"/>
    </row>
    <row r="3036" spans="2:3" x14ac:dyDescent="0.25">
      <c r="B3036" s="463"/>
      <c r="C3036" s="463"/>
    </row>
    <row r="3037" spans="2:3" x14ac:dyDescent="0.25">
      <c r="B3037" s="463"/>
      <c r="C3037" s="463"/>
    </row>
    <row r="3038" spans="2:3" x14ac:dyDescent="0.25">
      <c r="B3038" s="463"/>
      <c r="C3038" s="463"/>
    </row>
    <row r="3039" spans="2:3" x14ac:dyDescent="0.25">
      <c r="B3039" s="463"/>
      <c r="C3039" s="463"/>
    </row>
    <row r="3040" spans="2:3" x14ac:dyDescent="0.25">
      <c r="B3040" s="463"/>
      <c r="C3040" s="463"/>
    </row>
    <row r="3041" spans="2:3" x14ac:dyDescent="0.25">
      <c r="B3041" s="463"/>
      <c r="C3041" s="463"/>
    </row>
    <row r="3042" spans="2:3" x14ac:dyDescent="0.25">
      <c r="B3042" s="463"/>
      <c r="C3042" s="463"/>
    </row>
    <row r="3043" spans="2:3" x14ac:dyDescent="0.25">
      <c r="B3043" s="463"/>
      <c r="C3043" s="463"/>
    </row>
    <row r="3044" spans="2:3" x14ac:dyDescent="0.25">
      <c r="B3044" s="463"/>
      <c r="C3044" s="463"/>
    </row>
    <row r="3045" spans="2:3" x14ac:dyDescent="0.25">
      <c r="B3045" s="463"/>
      <c r="C3045" s="463"/>
    </row>
    <row r="3046" spans="2:3" x14ac:dyDescent="0.25">
      <c r="B3046" s="463"/>
      <c r="C3046" s="463"/>
    </row>
    <row r="3047" spans="2:3" x14ac:dyDescent="0.25">
      <c r="B3047" s="463"/>
      <c r="C3047" s="463"/>
    </row>
    <row r="3048" spans="2:3" x14ac:dyDescent="0.25">
      <c r="B3048" s="463"/>
      <c r="C3048" s="463"/>
    </row>
    <row r="3049" spans="2:3" x14ac:dyDescent="0.25">
      <c r="B3049" s="463"/>
      <c r="C3049" s="463"/>
    </row>
    <row r="3050" spans="2:3" x14ac:dyDescent="0.25">
      <c r="B3050" s="463"/>
      <c r="C3050" s="463"/>
    </row>
    <row r="3051" spans="2:3" x14ac:dyDescent="0.25">
      <c r="B3051" s="463"/>
      <c r="C3051" s="463"/>
    </row>
    <row r="3052" spans="2:3" x14ac:dyDescent="0.25">
      <c r="B3052" s="463"/>
      <c r="C3052" s="463"/>
    </row>
    <row r="3053" spans="2:3" x14ac:dyDescent="0.25">
      <c r="B3053" s="463"/>
      <c r="C3053" s="463"/>
    </row>
    <row r="3054" spans="2:3" x14ac:dyDescent="0.25">
      <c r="B3054" s="463"/>
      <c r="C3054" s="463"/>
    </row>
    <row r="3055" spans="2:3" x14ac:dyDescent="0.25">
      <c r="B3055" s="463"/>
      <c r="C3055" s="463"/>
    </row>
    <row r="3056" spans="2:3" x14ac:dyDescent="0.25">
      <c r="B3056" s="463"/>
      <c r="C3056" s="463"/>
    </row>
    <row r="3057" spans="2:3" x14ac:dyDescent="0.25">
      <c r="B3057" s="463"/>
      <c r="C3057" s="463"/>
    </row>
    <row r="3058" spans="2:3" x14ac:dyDescent="0.25">
      <c r="B3058" s="463"/>
      <c r="C3058" s="463"/>
    </row>
    <row r="3059" spans="2:3" x14ac:dyDescent="0.25">
      <c r="B3059" s="463"/>
      <c r="C3059" s="463"/>
    </row>
    <row r="3060" spans="2:3" x14ac:dyDescent="0.25">
      <c r="B3060" s="463"/>
      <c r="C3060" s="463"/>
    </row>
    <row r="3061" spans="2:3" x14ac:dyDescent="0.25">
      <c r="B3061" s="463"/>
      <c r="C3061" s="463"/>
    </row>
    <row r="3062" spans="2:3" x14ac:dyDescent="0.25">
      <c r="B3062" s="463"/>
      <c r="C3062" s="463"/>
    </row>
    <row r="3063" spans="2:3" x14ac:dyDescent="0.25">
      <c r="B3063" s="463"/>
      <c r="C3063" s="463"/>
    </row>
    <row r="3064" spans="2:3" x14ac:dyDescent="0.25">
      <c r="B3064" s="463"/>
      <c r="C3064" s="463"/>
    </row>
    <row r="3065" spans="2:3" x14ac:dyDescent="0.25">
      <c r="B3065" s="463"/>
      <c r="C3065" s="463"/>
    </row>
    <row r="3066" spans="2:3" x14ac:dyDescent="0.25">
      <c r="B3066" s="463"/>
      <c r="C3066" s="463"/>
    </row>
    <row r="3067" spans="2:3" x14ac:dyDescent="0.25">
      <c r="B3067" s="463"/>
      <c r="C3067" s="463"/>
    </row>
    <row r="3068" spans="2:3" x14ac:dyDescent="0.25">
      <c r="B3068" s="463"/>
      <c r="C3068" s="463"/>
    </row>
    <row r="3069" spans="2:3" x14ac:dyDescent="0.25">
      <c r="B3069" s="463"/>
      <c r="C3069" s="463"/>
    </row>
    <row r="3070" spans="2:3" x14ac:dyDescent="0.25">
      <c r="B3070" s="463"/>
      <c r="C3070" s="463"/>
    </row>
    <row r="3071" spans="2:3" x14ac:dyDescent="0.25">
      <c r="B3071" s="463"/>
      <c r="C3071" s="463"/>
    </row>
    <row r="3072" spans="2:3" x14ac:dyDescent="0.25">
      <c r="B3072" s="463"/>
      <c r="C3072" s="463"/>
    </row>
    <row r="3073" spans="2:3" x14ac:dyDescent="0.25">
      <c r="B3073" s="463"/>
      <c r="C3073" s="463"/>
    </row>
    <row r="3074" spans="2:3" x14ac:dyDescent="0.25">
      <c r="B3074" s="463"/>
      <c r="C3074" s="463"/>
    </row>
    <row r="3075" spans="2:3" x14ac:dyDescent="0.25">
      <c r="B3075" s="463"/>
      <c r="C3075" s="463"/>
    </row>
    <row r="3076" spans="2:3" x14ac:dyDescent="0.25">
      <c r="B3076" s="463"/>
      <c r="C3076" s="463"/>
    </row>
    <row r="3077" spans="2:3" x14ac:dyDescent="0.25">
      <c r="B3077" s="463"/>
      <c r="C3077" s="463"/>
    </row>
    <row r="3078" spans="2:3" x14ac:dyDescent="0.25">
      <c r="B3078" s="463"/>
      <c r="C3078" s="463"/>
    </row>
    <row r="3079" spans="2:3" x14ac:dyDescent="0.25">
      <c r="B3079" s="463"/>
      <c r="C3079" s="463"/>
    </row>
    <row r="3080" spans="2:3" x14ac:dyDescent="0.25">
      <c r="B3080" s="463"/>
      <c r="C3080" s="463"/>
    </row>
    <row r="3081" spans="2:3" x14ac:dyDescent="0.25">
      <c r="B3081" s="463"/>
      <c r="C3081" s="463"/>
    </row>
    <row r="3082" spans="2:3" x14ac:dyDescent="0.25">
      <c r="B3082" s="463"/>
      <c r="C3082" s="463"/>
    </row>
    <row r="3083" spans="2:3" x14ac:dyDescent="0.25">
      <c r="B3083" s="463"/>
      <c r="C3083" s="463"/>
    </row>
    <row r="3084" spans="2:3" x14ac:dyDescent="0.25">
      <c r="B3084" s="463"/>
      <c r="C3084" s="463"/>
    </row>
    <row r="3085" spans="2:3" x14ac:dyDescent="0.25">
      <c r="B3085" s="463"/>
      <c r="C3085" s="463"/>
    </row>
    <row r="3086" spans="2:3" x14ac:dyDescent="0.25">
      <c r="B3086" s="463"/>
      <c r="C3086" s="463"/>
    </row>
    <row r="3087" spans="2:3" x14ac:dyDescent="0.25">
      <c r="B3087" s="463"/>
      <c r="C3087" s="463"/>
    </row>
    <row r="3088" spans="2:3" x14ac:dyDescent="0.25">
      <c r="B3088" s="463"/>
      <c r="C3088" s="463"/>
    </row>
    <row r="3089" spans="2:3" x14ac:dyDescent="0.25">
      <c r="B3089" s="463"/>
      <c r="C3089" s="463"/>
    </row>
    <row r="3090" spans="2:3" x14ac:dyDescent="0.25">
      <c r="B3090" s="463"/>
      <c r="C3090" s="463"/>
    </row>
    <row r="3091" spans="2:3" x14ac:dyDescent="0.25">
      <c r="B3091" s="463"/>
      <c r="C3091" s="463"/>
    </row>
    <row r="3092" spans="2:3" x14ac:dyDescent="0.25">
      <c r="B3092" s="463"/>
      <c r="C3092" s="463"/>
    </row>
    <row r="3093" spans="2:3" x14ac:dyDescent="0.25">
      <c r="B3093" s="463"/>
      <c r="C3093" s="463"/>
    </row>
    <row r="3094" spans="2:3" x14ac:dyDescent="0.25">
      <c r="B3094" s="463"/>
      <c r="C3094" s="463"/>
    </row>
    <row r="3095" spans="2:3" x14ac:dyDescent="0.25">
      <c r="B3095" s="463"/>
      <c r="C3095" s="463"/>
    </row>
    <row r="3096" spans="2:3" x14ac:dyDescent="0.25">
      <c r="B3096" s="463"/>
      <c r="C3096" s="463"/>
    </row>
    <row r="3097" spans="2:3" x14ac:dyDescent="0.25">
      <c r="B3097" s="463"/>
      <c r="C3097" s="463"/>
    </row>
    <row r="3098" spans="2:3" x14ac:dyDescent="0.25">
      <c r="B3098" s="463"/>
      <c r="C3098" s="463"/>
    </row>
    <row r="3099" spans="2:3" x14ac:dyDescent="0.25">
      <c r="B3099" s="463"/>
      <c r="C3099" s="463"/>
    </row>
    <row r="3100" spans="2:3" x14ac:dyDescent="0.25">
      <c r="B3100" s="463"/>
      <c r="C3100" s="463"/>
    </row>
    <row r="3101" spans="2:3" x14ac:dyDescent="0.25">
      <c r="B3101" s="463"/>
      <c r="C3101" s="463"/>
    </row>
    <row r="3102" spans="2:3" x14ac:dyDescent="0.25">
      <c r="B3102" s="463"/>
      <c r="C3102" s="463"/>
    </row>
    <row r="3103" spans="2:3" x14ac:dyDescent="0.25">
      <c r="B3103" s="463"/>
      <c r="C3103" s="463"/>
    </row>
    <row r="3104" spans="2:3" x14ac:dyDescent="0.25">
      <c r="B3104" s="463"/>
      <c r="C3104" s="463"/>
    </row>
    <row r="3105" spans="2:3" x14ac:dyDescent="0.25">
      <c r="B3105" s="463"/>
      <c r="C3105" s="463"/>
    </row>
    <row r="3106" spans="2:3" x14ac:dyDescent="0.25">
      <c r="B3106" s="463"/>
      <c r="C3106" s="463"/>
    </row>
    <row r="3107" spans="2:3" x14ac:dyDescent="0.25">
      <c r="B3107" s="463"/>
      <c r="C3107" s="463"/>
    </row>
    <row r="3108" spans="2:3" x14ac:dyDescent="0.25">
      <c r="B3108" s="463"/>
      <c r="C3108" s="463"/>
    </row>
    <row r="3109" spans="2:3" x14ac:dyDescent="0.25">
      <c r="B3109" s="463"/>
      <c r="C3109" s="463"/>
    </row>
    <row r="3110" spans="2:3" x14ac:dyDescent="0.25">
      <c r="B3110" s="463"/>
      <c r="C3110" s="463"/>
    </row>
    <row r="3111" spans="2:3" x14ac:dyDescent="0.25">
      <c r="B3111" s="463"/>
      <c r="C3111" s="463"/>
    </row>
    <row r="3112" spans="2:3" x14ac:dyDescent="0.25">
      <c r="B3112" s="463"/>
      <c r="C3112" s="463"/>
    </row>
    <row r="3113" spans="2:3" x14ac:dyDescent="0.25">
      <c r="B3113" s="463"/>
      <c r="C3113" s="463"/>
    </row>
    <row r="3114" spans="2:3" x14ac:dyDescent="0.25">
      <c r="B3114" s="463"/>
      <c r="C3114" s="463"/>
    </row>
    <row r="3115" spans="2:3" x14ac:dyDescent="0.25">
      <c r="B3115" s="463"/>
      <c r="C3115" s="463"/>
    </row>
    <row r="3116" spans="2:3" x14ac:dyDescent="0.25">
      <c r="B3116" s="463"/>
      <c r="C3116" s="463"/>
    </row>
    <row r="3117" spans="2:3" x14ac:dyDescent="0.25">
      <c r="B3117" s="463"/>
      <c r="C3117" s="463"/>
    </row>
    <row r="3118" spans="2:3" x14ac:dyDescent="0.25">
      <c r="B3118" s="463"/>
      <c r="C3118" s="463"/>
    </row>
    <row r="3119" spans="2:3" x14ac:dyDescent="0.25">
      <c r="B3119" s="463"/>
      <c r="C3119" s="463"/>
    </row>
    <row r="3120" spans="2:3" x14ac:dyDescent="0.25">
      <c r="B3120" s="463"/>
      <c r="C3120" s="463"/>
    </row>
    <row r="3121" spans="2:3" x14ac:dyDescent="0.25">
      <c r="B3121" s="463"/>
      <c r="C3121" s="463"/>
    </row>
    <row r="3122" spans="2:3" x14ac:dyDescent="0.25">
      <c r="B3122" s="463"/>
      <c r="C3122" s="463"/>
    </row>
    <row r="3123" spans="2:3" x14ac:dyDescent="0.25">
      <c r="B3123" s="463"/>
      <c r="C3123" s="463"/>
    </row>
    <row r="3124" spans="2:3" x14ac:dyDescent="0.25">
      <c r="B3124" s="463"/>
      <c r="C3124" s="463"/>
    </row>
    <row r="3125" spans="2:3" x14ac:dyDescent="0.25">
      <c r="B3125" s="463"/>
      <c r="C3125" s="463"/>
    </row>
    <row r="3126" spans="2:3" x14ac:dyDescent="0.25">
      <c r="B3126" s="463"/>
      <c r="C3126" s="463"/>
    </row>
    <row r="3127" spans="2:3" x14ac:dyDescent="0.25">
      <c r="B3127" s="463"/>
      <c r="C3127" s="463"/>
    </row>
    <row r="3128" spans="2:3" x14ac:dyDescent="0.25">
      <c r="B3128" s="463"/>
      <c r="C3128" s="463"/>
    </row>
    <row r="3129" spans="2:3" x14ac:dyDescent="0.25">
      <c r="B3129" s="463"/>
      <c r="C3129" s="463"/>
    </row>
    <row r="3130" spans="2:3" x14ac:dyDescent="0.25">
      <c r="B3130" s="463"/>
      <c r="C3130" s="463"/>
    </row>
    <row r="3131" spans="2:3" x14ac:dyDescent="0.25">
      <c r="B3131" s="463"/>
      <c r="C3131" s="463"/>
    </row>
    <row r="3132" spans="2:3" x14ac:dyDescent="0.25">
      <c r="B3132" s="463"/>
      <c r="C3132" s="463"/>
    </row>
    <row r="3133" spans="2:3" x14ac:dyDescent="0.25">
      <c r="B3133" s="463"/>
      <c r="C3133" s="463"/>
    </row>
    <row r="3134" spans="2:3" x14ac:dyDescent="0.25">
      <c r="B3134" s="463"/>
      <c r="C3134" s="463"/>
    </row>
    <row r="3135" spans="2:3" x14ac:dyDescent="0.25">
      <c r="B3135" s="463"/>
      <c r="C3135" s="463"/>
    </row>
    <row r="3136" spans="2:3" x14ac:dyDescent="0.25">
      <c r="B3136" s="463"/>
      <c r="C3136" s="463"/>
    </row>
    <row r="3137" spans="2:3" x14ac:dyDescent="0.25">
      <c r="B3137" s="463"/>
      <c r="C3137" s="463"/>
    </row>
    <row r="3138" spans="2:3" x14ac:dyDescent="0.25">
      <c r="B3138" s="463"/>
      <c r="C3138" s="463"/>
    </row>
    <row r="3139" spans="2:3" x14ac:dyDescent="0.25">
      <c r="B3139" s="463"/>
      <c r="C3139" s="463"/>
    </row>
    <row r="3140" spans="2:3" x14ac:dyDescent="0.25">
      <c r="B3140" s="463"/>
      <c r="C3140" s="463"/>
    </row>
    <row r="3141" spans="2:3" x14ac:dyDescent="0.25">
      <c r="B3141" s="463"/>
      <c r="C3141" s="463"/>
    </row>
    <row r="3142" spans="2:3" x14ac:dyDescent="0.25">
      <c r="B3142" s="463"/>
      <c r="C3142" s="463"/>
    </row>
    <row r="3143" spans="2:3" x14ac:dyDescent="0.25">
      <c r="B3143" s="463"/>
      <c r="C3143" s="463"/>
    </row>
    <row r="3144" spans="2:3" x14ac:dyDescent="0.25">
      <c r="B3144" s="463"/>
      <c r="C3144" s="463"/>
    </row>
    <row r="3145" spans="2:3" x14ac:dyDescent="0.25">
      <c r="B3145" s="463"/>
      <c r="C3145" s="463"/>
    </row>
    <row r="3146" spans="2:3" x14ac:dyDescent="0.25">
      <c r="B3146" s="463"/>
      <c r="C3146" s="463"/>
    </row>
    <row r="3147" spans="2:3" x14ac:dyDescent="0.25">
      <c r="B3147" s="463"/>
      <c r="C3147" s="463"/>
    </row>
    <row r="3148" spans="2:3" x14ac:dyDescent="0.25">
      <c r="B3148" s="463"/>
      <c r="C3148" s="463"/>
    </row>
    <row r="3149" spans="2:3" x14ac:dyDescent="0.25">
      <c r="B3149" s="463"/>
      <c r="C3149" s="463"/>
    </row>
    <row r="3150" spans="2:3" x14ac:dyDescent="0.25">
      <c r="B3150" s="463"/>
      <c r="C3150" s="463"/>
    </row>
    <row r="3151" spans="2:3" x14ac:dyDescent="0.25">
      <c r="B3151" s="463"/>
      <c r="C3151" s="463"/>
    </row>
    <row r="3152" spans="2:3" x14ac:dyDescent="0.25">
      <c r="B3152" s="463"/>
      <c r="C3152" s="463"/>
    </row>
    <row r="3153" spans="2:3" x14ac:dyDescent="0.25">
      <c r="B3153" s="463"/>
      <c r="C3153" s="463"/>
    </row>
    <row r="3154" spans="2:3" x14ac:dyDescent="0.25">
      <c r="B3154" s="463"/>
      <c r="C3154" s="463"/>
    </row>
    <row r="3155" spans="2:3" x14ac:dyDescent="0.25">
      <c r="B3155" s="463"/>
      <c r="C3155" s="463"/>
    </row>
    <row r="3156" spans="2:3" x14ac:dyDescent="0.25">
      <c r="B3156" s="463"/>
      <c r="C3156" s="463"/>
    </row>
    <row r="3157" spans="2:3" x14ac:dyDescent="0.25">
      <c r="B3157" s="463"/>
      <c r="C3157" s="463"/>
    </row>
    <row r="3158" spans="2:3" x14ac:dyDescent="0.25">
      <c r="B3158" s="463"/>
      <c r="C3158" s="463"/>
    </row>
    <row r="3159" spans="2:3" x14ac:dyDescent="0.25">
      <c r="B3159" s="463"/>
      <c r="C3159" s="463"/>
    </row>
    <row r="3160" spans="2:3" x14ac:dyDescent="0.25">
      <c r="B3160" s="463"/>
      <c r="C3160" s="463"/>
    </row>
    <row r="3161" spans="2:3" x14ac:dyDescent="0.25">
      <c r="B3161" s="463"/>
      <c r="C3161" s="463"/>
    </row>
    <row r="3162" spans="2:3" x14ac:dyDescent="0.25">
      <c r="B3162" s="463"/>
      <c r="C3162" s="463"/>
    </row>
    <row r="3163" spans="2:3" x14ac:dyDescent="0.25">
      <c r="B3163" s="463"/>
      <c r="C3163" s="463"/>
    </row>
    <row r="3164" spans="2:3" x14ac:dyDescent="0.25">
      <c r="B3164" s="463"/>
      <c r="C3164" s="463"/>
    </row>
    <row r="3165" spans="2:3" x14ac:dyDescent="0.25">
      <c r="B3165" s="463"/>
      <c r="C3165" s="463"/>
    </row>
    <row r="3166" spans="2:3" x14ac:dyDescent="0.25">
      <c r="B3166" s="463"/>
      <c r="C3166" s="463"/>
    </row>
    <row r="3167" spans="2:3" x14ac:dyDescent="0.25">
      <c r="B3167" s="463"/>
      <c r="C3167" s="463"/>
    </row>
    <row r="3168" spans="2:3" x14ac:dyDescent="0.25">
      <c r="B3168" s="463"/>
      <c r="C3168" s="463"/>
    </row>
    <row r="3169" spans="2:3" x14ac:dyDescent="0.25">
      <c r="B3169" s="463"/>
      <c r="C3169" s="463"/>
    </row>
    <row r="3170" spans="2:3" x14ac:dyDescent="0.25">
      <c r="B3170" s="463"/>
      <c r="C3170" s="463"/>
    </row>
    <row r="3171" spans="2:3" x14ac:dyDescent="0.25">
      <c r="B3171" s="463"/>
      <c r="C3171" s="463"/>
    </row>
    <row r="3172" spans="2:3" x14ac:dyDescent="0.25">
      <c r="B3172" s="463"/>
      <c r="C3172" s="463"/>
    </row>
    <row r="3173" spans="2:3" x14ac:dyDescent="0.25">
      <c r="B3173" s="463"/>
      <c r="C3173" s="463"/>
    </row>
    <row r="3174" spans="2:3" x14ac:dyDescent="0.25">
      <c r="B3174" s="463"/>
      <c r="C3174" s="463"/>
    </row>
    <row r="3175" spans="2:3" x14ac:dyDescent="0.25">
      <c r="B3175" s="463"/>
      <c r="C3175" s="463"/>
    </row>
    <row r="3176" spans="2:3" x14ac:dyDescent="0.25">
      <c r="B3176" s="463"/>
      <c r="C3176" s="463"/>
    </row>
    <row r="3177" spans="2:3" x14ac:dyDescent="0.25">
      <c r="B3177" s="463"/>
      <c r="C3177" s="463"/>
    </row>
    <row r="3178" spans="2:3" x14ac:dyDescent="0.25">
      <c r="B3178" s="463"/>
      <c r="C3178" s="463"/>
    </row>
    <row r="3179" spans="2:3" x14ac:dyDescent="0.25">
      <c r="B3179" s="463"/>
      <c r="C3179" s="463"/>
    </row>
    <row r="3180" spans="2:3" x14ac:dyDescent="0.25">
      <c r="B3180" s="463"/>
      <c r="C3180" s="463"/>
    </row>
    <row r="3181" spans="2:3" x14ac:dyDescent="0.25">
      <c r="B3181" s="463"/>
      <c r="C3181" s="463"/>
    </row>
    <row r="3182" spans="2:3" x14ac:dyDescent="0.25">
      <c r="B3182" s="463"/>
      <c r="C3182" s="463"/>
    </row>
    <row r="3183" spans="2:3" x14ac:dyDescent="0.25">
      <c r="B3183" s="463"/>
      <c r="C3183" s="463"/>
    </row>
    <row r="3184" spans="2:3" x14ac:dyDescent="0.25">
      <c r="B3184" s="463"/>
      <c r="C3184" s="463"/>
    </row>
    <row r="3185" spans="2:3" x14ac:dyDescent="0.25">
      <c r="B3185" s="463"/>
      <c r="C3185" s="463"/>
    </row>
    <row r="3186" spans="2:3" x14ac:dyDescent="0.25">
      <c r="B3186" s="463"/>
      <c r="C3186" s="463"/>
    </row>
    <row r="3187" spans="2:3" x14ac:dyDescent="0.25">
      <c r="B3187" s="463"/>
      <c r="C3187" s="463"/>
    </row>
    <row r="3188" spans="2:3" x14ac:dyDescent="0.25">
      <c r="B3188" s="463"/>
      <c r="C3188" s="463"/>
    </row>
    <row r="3189" spans="2:3" x14ac:dyDescent="0.25">
      <c r="B3189" s="463"/>
      <c r="C3189" s="463"/>
    </row>
    <row r="3190" spans="2:3" x14ac:dyDescent="0.25">
      <c r="B3190" s="463"/>
      <c r="C3190" s="463"/>
    </row>
    <row r="3191" spans="2:3" x14ac:dyDescent="0.25">
      <c r="B3191" s="463"/>
      <c r="C3191" s="463"/>
    </row>
    <row r="3192" spans="2:3" x14ac:dyDescent="0.25">
      <c r="B3192" s="463"/>
      <c r="C3192" s="463"/>
    </row>
    <row r="3193" spans="2:3" x14ac:dyDescent="0.25">
      <c r="B3193" s="463"/>
      <c r="C3193" s="463"/>
    </row>
    <row r="3194" spans="2:3" x14ac:dyDescent="0.25">
      <c r="B3194" s="463"/>
      <c r="C3194" s="463"/>
    </row>
    <row r="3195" spans="2:3" x14ac:dyDescent="0.25">
      <c r="B3195" s="463"/>
      <c r="C3195" s="463"/>
    </row>
    <row r="3196" spans="2:3" x14ac:dyDescent="0.25">
      <c r="B3196" s="463"/>
      <c r="C3196" s="463"/>
    </row>
    <row r="3197" spans="2:3" x14ac:dyDescent="0.25">
      <c r="B3197" s="463"/>
      <c r="C3197" s="463"/>
    </row>
    <row r="3198" spans="2:3" x14ac:dyDescent="0.25">
      <c r="B3198" s="463"/>
      <c r="C3198" s="463"/>
    </row>
    <row r="3199" spans="2:3" x14ac:dyDescent="0.25">
      <c r="B3199" s="463"/>
      <c r="C3199" s="463"/>
    </row>
    <row r="3200" spans="2:3" x14ac:dyDescent="0.25">
      <c r="B3200" s="463"/>
      <c r="C3200" s="463"/>
    </row>
    <row r="3201" spans="2:3" x14ac:dyDescent="0.25">
      <c r="B3201" s="463"/>
      <c r="C3201" s="463"/>
    </row>
    <row r="3202" spans="2:3" x14ac:dyDescent="0.25">
      <c r="B3202" s="463"/>
      <c r="C3202" s="463"/>
    </row>
    <row r="3203" spans="2:3" x14ac:dyDescent="0.25">
      <c r="B3203" s="463"/>
      <c r="C3203" s="463"/>
    </row>
    <row r="3204" spans="2:3" x14ac:dyDescent="0.25">
      <c r="B3204" s="463"/>
      <c r="C3204" s="463"/>
    </row>
    <row r="3205" spans="2:3" x14ac:dyDescent="0.25">
      <c r="B3205" s="463"/>
      <c r="C3205" s="463"/>
    </row>
    <row r="3206" spans="2:3" x14ac:dyDescent="0.25">
      <c r="B3206" s="463"/>
      <c r="C3206" s="463"/>
    </row>
    <row r="3207" spans="2:3" x14ac:dyDescent="0.25">
      <c r="B3207" s="463"/>
      <c r="C3207" s="463"/>
    </row>
    <row r="3208" spans="2:3" x14ac:dyDescent="0.25">
      <c r="B3208" s="463"/>
      <c r="C3208" s="463"/>
    </row>
    <row r="3209" spans="2:3" x14ac:dyDescent="0.25">
      <c r="B3209" s="463"/>
      <c r="C3209" s="463"/>
    </row>
    <row r="3210" spans="2:3" x14ac:dyDescent="0.25">
      <c r="B3210" s="463"/>
      <c r="C3210" s="463"/>
    </row>
    <row r="3211" spans="2:3" x14ac:dyDescent="0.25">
      <c r="B3211" s="463"/>
      <c r="C3211" s="463"/>
    </row>
    <row r="3212" spans="2:3" x14ac:dyDescent="0.25">
      <c r="B3212" s="463"/>
      <c r="C3212" s="463"/>
    </row>
    <row r="3213" spans="2:3" x14ac:dyDescent="0.25">
      <c r="B3213" s="463"/>
      <c r="C3213" s="463"/>
    </row>
    <row r="3214" spans="2:3" x14ac:dyDescent="0.25">
      <c r="B3214" s="463"/>
      <c r="C3214" s="463"/>
    </row>
    <row r="3215" spans="2:3" x14ac:dyDescent="0.25">
      <c r="B3215" s="463"/>
      <c r="C3215" s="463"/>
    </row>
    <row r="3216" spans="2:3" x14ac:dyDescent="0.25">
      <c r="B3216" s="463"/>
      <c r="C3216" s="463"/>
    </row>
    <row r="3217" spans="2:3" x14ac:dyDescent="0.25">
      <c r="B3217" s="463"/>
      <c r="C3217" s="463"/>
    </row>
    <row r="3218" spans="2:3" x14ac:dyDescent="0.25">
      <c r="B3218" s="463"/>
      <c r="C3218" s="463"/>
    </row>
    <row r="3219" spans="2:3" x14ac:dyDescent="0.25">
      <c r="B3219" s="463"/>
      <c r="C3219" s="463"/>
    </row>
    <row r="3220" spans="2:3" x14ac:dyDescent="0.25">
      <c r="B3220" s="463"/>
      <c r="C3220" s="463"/>
    </row>
    <row r="3221" spans="2:3" x14ac:dyDescent="0.25">
      <c r="B3221" s="463"/>
      <c r="C3221" s="463"/>
    </row>
    <row r="3222" spans="2:3" x14ac:dyDescent="0.25">
      <c r="B3222" s="463"/>
      <c r="C3222" s="463"/>
    </row>
    <row r="3223" spans="2:3" x14ac:dyDescent="0.25">
      <c r="B3223" s="463"/>
      <c r="C3223" s="463"/>
    </row>
    <row r="3224" spans="2:3" x14ac:dyDescent="0.25">
      <c r="B3224" s="463"/>
      <c r="C3224" s="463"/>
    </row>
    <row r="3225" spans="2:3" x14ac:dyDescent="0.25">
      <c r="B3225" s="463"/>
      <c r="C3225" s="463"/>
    </row>
    <row r="3226" spans="2:3" x14ac:dyDescent="0.25">
      <c r="B3226" s="463"/>
      <c r="C3226" s="463"/>
    </row>
    <row r="3227" spans="2:3" x14ac:dyDescent="0.25">
      <c r="B3227" s="463"/>
      <c r="C3227" s="463"/>
    </row>
    <row r="3228" spans="2:3" x14ac:dyDescent="0.25">
      <c r="B3228" s="463"/>
      <c r="C3228" s="463"/>
    </row>
    <row r="3229" spans="2:3" x14ac:dyDescent="0.25">
      <c r="B3229" s="463"/>
      <c r="C3229" s="463"/>
    </row>
    <row r="3230" spans="2:3" x14ac:dyDescent="0.25">
      <c r="B3230" s="463"/>
      <c r="C3230" s="463"/>
    </row>
    <row r="3231" spans="2:3" x14ac:dyDescent="0.25">
      <c r="B3231" s="463"/>
      <c r="C3231" s="463"/>
    </row>
    <row r="3232" spans="2:3" x14ac:dyDescent="0.25">
      <c r="B3232" s="463"/>
      <c r="C3232" s="463"/>
    </row>
    <row r="3233" spans="2:3" x14ac:dyDescent="0.25">
      <c r="B3233" s="463"/>
      <c r="C3233" s="463"/>
    </row>
    <row r="3234" spans="2:3" x14ac:dyDescent="0.25">
      <c r="B3234" s="463"/>
      <c r="C3234" s="463"/>
    </row>
    <row r="3235" spans="2:3" x14ac:dyDescent="0.25">
      <c r="B3235" s="463"/>
      <c r="C3235" s="463"/>
    </row>
    <row r="3236" spans="2:3" x14ac:dyDescent="0.25">
      <c r="B3236" s="463"/>
      <c r="C3236" s="463"/>
    </row>
    <row r="3237" spans="2:3" x14ac:dyDescent="0.25">
      <c r="B3237" s="463"/>
      <c r="C3237" s="463"/>
    </row>
    <row r="3238" spans="2:3" x14ac:dyDescent="0.25">
      <c r="B3238" s="463"/>
      <c r="C3238" s="463"/>
    </row>
    <row r="3239" spans="2:3" x14ac:dyDescent="0.25">
      <c r="B3239" s="463"/>
      <c r="C3239" s="463"/>
    </row>
    <row r="3240" spans="2:3" x14ac:dyDescent="0.25">
      <c r="B3240" s="463"/>
      <c r="C3240" s="463"/>
    </row>
    <row r="3241" spans="2:3" x14ac:dyDescent="0.25">
      <c r="B3241" s="463"/>
      <c r="C3241" s="463"/>
    </row>
    <row r="3242" spans="2:3" x14ac:dyDescent="0.25">
      <c r="B3242" s="463"/>
      <c r="C3242" s="463"/>
    </row>
    <row r="3243" spans="2:3" x14ac:dyDescent="0.25">
      <c r="B3243" s="463"/>
      <c r="C3243" s="463"/>
    </row>
    <row r="3244" spans="2:3" x14ac:dyDescent="0.25">
      <c r="B3244" s="463"/>
      <c r="C3244" s="463"/>
    </row>
    <row r="3245" spans="2:3" x14ac:dyDescent="0.25">
      <c r="B3245" s="463"/>
      <c r="C3245" s="463"/>
    </row>
    <row r="3246" spans="2:3" x14ac:dyDescent="0.25">
      <c r="B3246" s="463"/>
      <c r="C3246" s="463"/>
    </row>
    <row r="3247" spans="2:3" x14ac:dyDescent="0.25">
      <c r="B3247" s="463"/>
      <c r="C3247" s="463"/>
    </row>
    <row r="3248" spans="2:3" x14ac:dyDescent="0.25">
      <c r="B3248" s="463"/>
      <c r="C3248" s="463"/>
    </row>
    <row r="3249" spans="2:3" x14ac:dyDescent="0.25">
      <c r="B3249" s="463"/>
      <c r="C3249" s="463"/>
    </row>
    <row r="3250" spans="2:3" x14ac:dyDescent="0.25">
      <c r="B3250" s="463"/>
      <c r="C3250" s="463"/>
    </row>
    <row r="3251" spans="2:3" x14ac:dyDescent="0.25">
      <c r="B3251" s="463"/>
      <c r="C3251" s="463"/>
    </row>
    <row r="3252" spans="2:3" x14ac:dyDescent="0.25">
      <c r="B3252" s="463"/>
      <c r="C3252" s="463"/>
    </row>
    <row r="3253" spans="2:3" x14ac:dyDescent="0.25">
      <c r="B3253" s="463"/>
      <c r="C3253" s="463"/>
    </row>
    <row r="3254" spans="2:3" x14ac:dyDescent="0.25">
      <c r="B3254" s="463"/>
      <c r="C3254" s="463"/>
    </row>
    <row r="3255" spans="2:3" x14ac:dyDescent="0.25">
      <c r="B3255" s="463"/>
      <c r="C3255" s="463"/>
    </row>
    <row r="3256" spans="2:3" x14ac:dyDescent="0.25">
      <c r="B3256" s="463"/>
      <c r="C3256" s="463"/>
    </row>
    <row r="3257" spans="2:3" x14ac:dyDescent="0.25">
      <c r="B3257" s="463"/>
      <c r="C3257" s="463"/>
    </row>
    <row r="3258" spans="2:3" x14ac:dyDescent="0.25">
      <c r="B3258" s="463"/>
      <c r="C3258" s="463"/>
    </row>
    <row r="3259" spans="2:3" x14ac:dyDescent="0.25">
      <c r="B3259" s="463"/>
      <c r="C3259" s="463"/>
    </row>
    <row r="3260" spans="2:3" x14ac:dyDescent="0.25">
      <c r="B3260" s="463"/>
      <c r="C3260" s="463"/>
    </row>
    <row r="3261" spans="2:3" x14ac:dyDescent="0.25">
      <c r="B3261" s="463"/>
      <c r="C3261" s="463"/>
    </row>
    <row r="3262" spans="2:3" x14ac:dyDescent="0.25">
      <c r="B3262" s="463"/>
      <c r="C3262" s="463"/>
    </row>
    <row r="3263" spans="2:3" x14ac:dyDescent="0.25">
      <c r="B3263" s="463"/>
      <c r="C3263" s="463"/>
    </row>
    <row r="3264" spans="2:3" x14ac:dyDescent="0.25">
      <c r="B3264" s="463"/>
      <c r="C3264" s="463"/>
    </row>
    <row r="3265" spans="2:3" x14ac:dyDescent="0.25">
      <c r="B3265" s="463"/>
      <c r="C3265" s="463"/>
    </row>
    <row r="3266" spans="2:3" x14ac:dyDescent="0.25">
      <c r="B3266" s="463"/>
      <c r="C3266" s="463"/>
    </row>
    <row r="3267" spans="2:3" x14ac:dyDescent="0.25">
      <c r="B3267" s="463"/>
      <c r="C3267" s="463"/>
    </row>
    <row r="3268" spans="2:3" x14ac:dyDescent="0.25">
      <c r="B3268" s="463"/>
      <c r="C3268" s="463"/>
    </row>
    <row r="3269" spans="2:3" x14ac:dyDescent="0.25">
      <c r="B3269" s="463"/>
      <c r="C3269" s="463"/>
    </row>
    <row r="3270" spans="2:3" x14ac:dyDescent="0.25">
      <c r="B3270" s="463"/>
      <c r="C3270" s="463"/>
    </row>
    <row r="3271" spans="2:3" x14ac:dyDescent="0.25">
      <c r="B3271" s="463"/>
      <c r="C3271" s="463"/>
    </row>
    <row r="3272" spans="2:3" x14ac:dyDescent="0.25">
      <c r="B3272" s="463"/>
      <c r="C3272" s="463"/>
    </row>
    <row r="3273" spans="2:3" x14ac:dyDescent="0.25">
      <c r="B3273" s="463"/>
      <c r="C3273" s="463"/>
    </row>
    <row r="3274" spans="2:3" x14ac:dyDescent="0.25">
      <c r="B3274" s="463"/>
      <c r="C3274" s="463"/>
    </row>
    <row r="3275" spans="2:3" x14ac:dyDescent="0.25">
      <c r="B3275" s="463"/>
      <c r="C3275" s="463"/>
    </row>
    <row r="3276" spans="2:3" x14ac:dyDescent="0.25">
      <c r="B3276" s="463"/>
      <c r="C3276" s="463"/>
    </row>
    <row r="3277" spans="2:3" x14ac:dyDescent="0.25">
      <c r="B3277" s="463"/>
      <c r="C3277" s="463"/>
    </row>
    <row r="3278" spans="2:3" x14ac:dyDescent="0.25">
      <c r="B3278" s="463"/>
      <c r="C3278" s="463"/>
    </row>
    <row r="3279" spans="2:3" x14ac:dyDescent="0.25">
      <c r="B3279" s="463"/>
      <c r="C3279" s="463"/>
    </row>
    <row r="3280" spans="2:3" x14ac:dyDescent="0.25">
      <c r="B3280" s="463"/>
      <c r="C3280" s="463"/>
    </row>
    <row r="3281" spans="2:3" x14ac:dyDescent="0.25">
      <c r="B3281" s="463"/>
      <c r="C3281" s="463"/>
    </row>
    <row r="3282" spans="2:3" x14ac:dyDescent="0.25">
      <c r="B3282" s="463"/>
      <c r="C3282" s="463"/>
    </row>
    <row r="3283" spans="2:3" x14ac:dyDescent="0.25">
      <c r="B3283" s="463"/>
      <c r="C3283" s="463"/>
    </row>
    <row r="3284" spans="2:3" x14ac:dyDescent="0.25">
      <c r="B3284" s="463"/>
      <c r="C3284" s="463"/>
    </row>
    <row r="3285" spans="2:3" x14ac:dyDescent="0.25">
      <c r="B3285" s="463"/>
      <c r="C3285" s="463"/>
    </row>
    <row r="3286" spans="2:3" x14ac:dyDescent="0.25">
      <c r="B3286" s="463"/>
      <c r="C3286" s="463"/>
    </row>
    <row r="3287" spans="2:3" x14ac:dyDescent="0.25">
      <c r="B3287" s="463"/>
      <c r="C3287" s="463"/>
    </row>
    <row r="3288" spans="2:3" x14ac:dyDescent="0.25">
      <c r="B3288" s="463"/>
      <c r="C3288" s="463"/>
    </row>
    <row r="3289" spans="2:3" x14ac:dyDescent="0.25">
      <c r="B3289" s="463"/>
      <c r="C3289" s="463"/>
    </row>
    <row r="3290" spans="2:3" x14ac:dyDescent="0.25">
      <c r="B3290" s="463"/>
      <c r="C3290" s="463"/>
    </row>
    <row r="3291" spans="2:3" x14ac:dyDescent="0.25">
      <c r="B3291" s="463"/>
      <c r="C3291" s="463"/>
    </row>
    <row r="3292" spans="2:3" x14ac:dyDescent="0.25">
      <c r="B3292" s="463"/>
      <c r="C3292" s="463"/>
    </row>
    <row r="3293" spans="2:3" x14ac:dyDescent="0.25">
      <c r="B3293" s="463"/>
      <c r="C3293" s="463"/>
    </row>
    <row r="3294" spans="2:3" x14ac:dyDescent="0.25">
      <c r="B3294" s="463"/>
      <c r="C3294" s="463"/>
    </row>
    <row r="3295" spans="2:3" x14ac:dyDescent="0.25">
      <c r="B3295" s="463"/>
      <c r="C3295" s="463"/>
    </row>
    <row r="3296" spans="2:3" x14ac:dyDescent="0.25">
      <c r="B3296" s="463"/>
      <c r="C3296" s="463"/>
    </row>
    <row r="3297" spans="2:3" x14ac:dyDescent="0.25">
      <c r="B3297" s="463"/>
      <c r="C3297" s="463"/>
    </row>
    <row r="3298" spans="2:3" x14ac:dyDescent="0.25">
      <c r="B3298" s="463"/>
      <c r="C3298" s="463"/>
    </row>
    <row r="3299" spans="2:3" x14ac:dyDescent="0.25">
      <c r="B3299" s="463"/>
      <c r="C3299" s="463"/>
    </row>
    <row r="3300" spans="2:3" x14ac:dyDescent="0.25">
      <c r="B3300" s="463"/>
      <c r="C3300" s="463"/>
    </row>
    <row r="3301" spans="2:3" x14ac:dyDescent="0.25">
      <c r="B3301" s="463"/>
      <c r="C3301" s="463"/>
    </row>
    <row r="3302" spans="2:3" x14ac:dyDescent="0.25">
      <c r="B3302" s="463"/>
      <c r="C3302" s="463"/>
    </row>
    <row r="3303" spans="2:3" x14ac:dyDescent="0.25">
      <c r="B3303" s="463"/>
      <c r="C3303" s="463"/>
    </row>
    <row r="3304" spans="2:3" x14ac:dyDescent="0.25">
      <c r="B3304" s="463"/>
      <c r="C3304" s="463"/>
    </row>
    <row r="3305" spans="2:3" x14ac:dyDescent="0.25">
      <c r="B3305" s="463"/>
      <c r="C3305" s="463"/>
    </row>
    <row r="3306" spans="2:3" x14ac:dyDescent="0.25">
      <c r="B3306" s="463"/>
      <c r="C3306" s="463"/>
    </row>
    <row r="3307" spans="2:3" x14ac:dyDescent="0.25">
      <c r="B3307" s="463"/>
      <c r="C3307" s="463"/>
    </row>
    <row r="3308" spans="2:3" x14ac:dyDescent="0.25">
      <c r="B3308" s="463"/>
      <c r="C3308" s="463"/>
    </row>
    <row r="3309" spans="2:3" x14ac:dyDescent="0.25">
      <c r="B3309" s="463"/>
      <c r="C3309" s="463"/>
    </row>
    <row r="3310" spans="2:3" x14ac:dyDescent="0.25">
      <c r="B3310" s="463"/>
      <c r="C3310" s="463"/>
    </row>
    <row r="3311" spans="2:3" x14ac:dyDescent="0.25">
      <c r="B3311" s="463"/>
      <c r="C3311" s="463"/>
    </row>
    <row r="3312" spans="2:3" x14ac:dyDescent="0.25">
      <c r="B3312" s="463"/>
      <c r="C3312" s="463"/>
    </row>
    <row r="3313" spans="2:3" x14ac:dyDescent="0.25">
      <c r="B3313" s="463"/>
      <c r="C3313" s="463"/>
    </row>
    <row r="3314" spans="2:3" x14ac:dyDescent="0.25">
      <c r="B3314" s="463"/>
      <c r="C3314" s="463"/>
    </row>
    <row r="3315" spans="2:3" x14ac:dyDescent="0.25">
      <c r="B3315" s="463"/>
      <c r="C3315" s="463"/>
    </row>
    <row r="3316" spans="2:3" x14ac:dyDescent="0.25">
      <c r="B3316" s="463"/>
      <c r="C3316" s="463"/>
    </row>
    <row r="3317" spans="2:3" x14ac:dyDescent="0.25">
      <c r="B3317" s="463"/>
      <c r="C3317" s="463"/>
    </row>
    <row r="3318" spans="2:3" x14ac:dyDescent="0.25">
      <c r="B3318" s="463"/>
      <c r="C3318" s="463"/>
    </row>
    <row r="3319" spans="2:3" x14ac:dyDescent="0.25">
      <c r="B3319" s="463"/>
      <c r="C3319" s="463"/>
    </row>
    <row r="3320" spans="2:3" x14ac:dyDescent="0.25">
      <c r="B3320" s="463"/>
      <c r="C3320" s="463"/>
    </row>
    <row r="3321" spans="2:3" x14ac:dyDescent="0.25">
      <c r="B3321" s="463"/>
      <c r="C3321" s="463"/>
    </row>
    <row r="3322" spans="2:3" x14ac:dyDescent="0.25">
      <c r="B3322" s="463"/>
      <c r="C3322" s="463"/>
    </row>
    <row r="3323" spans="2:3" x14ac:dyDescent="0.25">
      <c r="B3323" s="463"/>
      <c r="C3323" s="463"/>
    </row>
    <row r="3324" spans="2:3" x14ac:dyDescent="0.25">
      <c r="B3324" s="463"/>
      <c r="C3324" s="463"/>
    </row>
    <row r="3325" spans="2:3" x14ac:dyDescent="0.25">
      <c r="B3325" s="463"/>
      <c r="C3325" s="463"/>
    </row>
    <row r="3326" spans="2:3" x14ac:dyDescent="0.25">
      <c r="B3326" s="463"/>
      <c r="C3326" s="463"/>
    </row>
    <row r="3327" spans="2:3" x14ac:dyDescent="0.25">
      <c r="B3327" s="463"/>
      <c r="C3327" s="463"/>
    </row>
    <row r="3328" spans="2:3" x14ac:dyDescent="0.25">
      <c r="B3328" s="463"/>
      <c r="C3328" s="463"/>
    </row>
    <row r="3329" spans="2:3" x14ac:dyDescent="0.25">
      <c r="B3329" s="463"/>
      <c r="C3329" s="463"/>
    </row>
    <row r="3330" spans="2:3" x14ac:dyDescent="0.25">
      <c r="B3330" s="463"/>
      <c r="C3330" s="463"/>
    </row>
    <row r="3331" spans="2:3" x14ac:dyDescent="0.25">
      <c r="B3331" s="463"/>
      <c r="C3331" s="463"/>
    </row>
    <row r="3332" spans="2:3" x14ac:dyDescent="0.25">
      <c r="B3332" s="463"/>
      <c r="C3332" s="463"/>
    </row>
    <row r="3333" spans="2:3" x14ac:dyDescent="0.25">
      <c r="B3333" s="463"/>
      <c r="C3333" s="463"/>
    </row>
    <row r="3334" spans="2:3" x14ac:dyDescent="0.25">
      <c r="B3334" s="463"/>
      <c r="C3334" s="463"/>
    </row>
    <row r="3335" spans="2:3" x14ac:dyDescent="0.25">
      <c r="B3335" s="463"/>
      <c r="C3335" s="463"/>
    </row>
    <row r="3336" spans="2:3" x14ac:dyDescent="0.25">
      <c r="B3336" s="463"/>
      <c r="C3336" s="463"/>
    </row>
    <row r="3337" spans="2:3" x14ac:dyDescent="0.25">
      <c r="B3337" s="463"/>
      <c r="C3337" s="463"/>
    </row>
    <row r="3338" spans="2:3" x14ac:dyDescent="0.25">
      <c r="B3338" s="463"/>
      <c r="C3338" s="463"/>
    </row>
    <row r="3339" spans="2:3" x14ac:dyDescent="0.25">
      <c r="B3339" s="463"/>
      <c r="C3339" s="463"/>
    </row>
    <row r="3340" spans="2:3" x14ac:dyDescent="0.25">
      <c r="B3340" s="463"/>
      <c r="C3340" s="463"/>
    </row>
    <row r="3341" spans="2:3" x14ac:dyDescent="0.25">
      <c r="B3341" s="463"/>
      <c r="C3341" s="463"/>
    </row>
    <row r="3342" spans="2:3" x14ac:dyDescent="0.25">
      <c r="B3342" s="463"/>
      <c r="C3342" s="463"/>
    </row>
    <row r="3343" spans="2:3" x14ac:dyDescent="0.25">
      <c r="B3343" s="463"/>
      <c r="C3343" s="463"/>
    </row>
    <row r="3344" spans="2:3" x14ac:dyDescent="0.25">
      <c r="B3344" s="463"/>
      <c r="C3344" s="463"/>
    </row>
    <row r="3345" spans="2:3" x14ac:dyDescent="0.25">
      <c r="B3345" s="463"/>
      <c r="C3345" s="463"/>
    </row>
    <row r="3346" spans="2:3" x14ac:dyDescent="0.25">
      <c r="B3346" s="463"/>
      <c r="C3346" s="463"/>
    </row>
    <row r="3347" spans="2:3" x14ac:dyDescent="0.25">
      <c r="B3347" s="463"/>
      <c r="C3347" s="463"/>
    </row>
    <row r="3348" spans="2:3" x14ac:dyDescent="0.25">
      <c r="B3348" s="463"/>
      <c r="C3348" s="463"/>
    </row>
    <row r="3349" spans="2:3" x14ac:dyDescent="0.25">
      <c r="B3349" s="463"/>
      <c r="C3349" s="463"/>
    </row>
    <row r="3350" spans="2:3" x14ac:dyDescent="0.25">
      <c r="B3350" s="463"/>
      <c r="C3350" s="463"/>
    </row>
    <row r="3351" spans="2:3" x14ac:dyDescent="0.25">
      <c r="B3351" s="463"/>
      <c r="C3351" s="463"/>
    </row>
    <row r="3352" spans="2:3" x14ac:dyDescent="0.25">
      <c r="B3352" s="463"/>
      <c r="C3352" s="463"/>
    </row>
    <row r="3353" spans="2:3" x14ac:dyDescent="0.25">
      <c r="B3353" s="463"/>
      <c r="C3353" s="463"/>
    </row>
    <row r="3354" spans="2:3" x14ac:dyDescent="0.25">
      <c r="B3354" s="463"/>
      <c r="C3354" s="463"/>
    </row>
    <row r="3355" spans="2:3" x14ac:dyDescent="0.25">
      <c r="B3355" s="463"/>
      <c r="C3355" s="463"/>
    </row>
    <row r="3356" spans="2:3" x14ac:dyDescent="0.25">
      <c r="B3356" s="463"/>
      <c r="C3356" s="463"/>
    </row>
    <row r="3357" spans="2:3" x14ac:dyDescent="0.25">
      <c r="B3357" s="463"/>
      <c r="C3357" s="463"/>
    </row>
    <row r="3358" spans="2:3" x14ac:dyDescent="0.25">
      <c r="B3358" s="463"/>
      <c r="C3358" s="463"/>
    </row>
    <row r="3359" spans="2:3" x14ac:dyDescent="0.25">
      <c r="B3359" s="463"/>
      <c r="C3359" s="463"/>
    </row>
    <row r="3360" spans="2:3" x14ac:dyDescent="0.25">
      <c r="B3360" s="463"/>
      <c r="C3360" s="463"/>
    </row>
    <row r="3361" spans="2:3" x14ac:dyDescent="0.25">
      <c r="B3361" s="463"/>
      <c r="C3361" s="463"/>
    </row>
    <row r="3362" spans="2:3" x14ac:dyDescent="0.25">
      <c r="B3362" s="463"/>
      <c r="C3362" s="463"/>
    </row>
    <row r="3363" spans="2:3" x14ac:dyDescent="0.25">
      <c r="B3363" s="463"/>
      <c r="C3363" s="463"/>
    </row>
    <row r="3364" spans="2:3" x14ac:dyDescent="0.25">
      <c r="B3364" s="463"/>
      <c r="C3364" s="463"/>
    </row>
    <row r="3365" spans="2:3" x14ac:dyDescent="0.25">
      <c r="B3365" s="463"/>
      <c r="C3365" s="463"/>
    </row>
    <row r="3366" spans="2:3" x14ac:dyDescent="0.25">
      <c r="B3366" s="463"/>
      <c r="C3366" s="463"/>
    </row>
    <row r="3367" spans="2:3" x14ac:dyDescent="0.25">
      <c r="B3367" s="463"/>
      <c r="C3367" s="463"/>
    </row>
    <row r="3368" spans="2:3" x14ac:dyDescent="0.25">
      <c r="B3368" s="463"/>
      <c r="C3368" s="463"/>
    </row>
    <row r="3369" spans="2:3" x14ac:dyDescent="0.25">
      <c r="B3369" s="463"/>
      <c r="C3369" s="463"/>
    </row>
    <row r="3370" spans="2:3" x14ac:dyDescent="0.25">
      <c r="B3370" s="463"/>
      <c r="C3370" s="463"/>
    </row>
    <row r="3371" spans="2:3" x14ac:dyDescent="0.25">
      <c r="B3371" s="463"/>
      <c r="C3371" s="463"/>
    </row>
    <row r="3372" spans="2:3" x14ac:dyDescent="0.25">
      <c r="B3372" s="463"/>
      <c r="C3372" s="463"/>
    </row>
    <row r="3373" spans="2:3" x14ac:dyDescent="0.25">
      <c r="B3373" s="463"/>
      <c r="C3373" s="463"/>
    </row>
    <row r="3374" spans="2:3" x14ac:dyDescent="0.25">
      <c r="B3374" s="463"/>
      <c r="C3374" s="463"/>
    </row>
    <row r="3375" spans="2:3" x14ac:dyDescent="0.25">
      <c r="B3375" s="463"/>
      <c r="C3375" s="463"/>
    </row>
    <row r="3376" spans="2:3" x14ac:dyDescent="0.25">
      <c r="B3376" s="463"/>
      <c r="C3376" s="463"/>
    </row>
    <row r="3377" spans="2:3" x14ac:dyDescent="0.25">
      <c r="B3377" s="463"/>
      <c r="C3377" s="463"/>
    </row>
    <row r="3378" spans="2:3" x14ac:dyDescent="0.25">
      <c r="B3378" s="463"/>
      <c r="C3378" s="463"/>
    </row>
    <row r="3379" spans="2:3" x14ac:dyDescent="0.25">
      <c r="B3379" s="463"/>
      <c r="C3379" s="463"/>
    </row>
    <row r="3380" spans="2:3" x14ac:dyDescent="0.25">
      <c r="B3380" s="463"/>
      <c r="C3380" s="463"/>
    </row>
    <row r="3381" spans="2:3" x14ac:dyDescent="0.25">
      <c r="B3381" s="463"/>
      <c r="C3381" s="463"/>
    </row>
    <row r="3382" spans="2:3" x14ac:dyDescent="0.25">
      <c r="B3382" s="463"/>
      <c r="C3382" s="463"/>
    </row>
    <row r="3383" spans="2:3" x14ac:dyDescent="0.25">
      <c r="B3383" s="463"/>
      <c r="C3383" s="463"/>
    </row>
    <row r="3384" spans="2:3" x14ac:dyDescent="0.25">
      <c r="B3384" s="463"/>
      <c r="C3384" s="463"/>
    </row>
    <row r="3385" spans="2:3" x14ac:dyDescent="0.25">
      <c r="B3385" s="463"/>
      <c r="C3385" s="463"/>
    </row>
    <row r="3386" spans="2:3" x14ac:dyDescent="0.25">
      <c r="B3386" s="463"/>
      <c r="C3386" s="463"/>
    </row>
    <row r="3387" spans="2:3" x14ac:dyDescent="0.25">
      <c r="B3387" s="463"/>
      <c r="C3387" s="463"/>
    </row>
    <row r="3388" spans="2:3" x14ac:dyDescent="0.25">
      <c r="B3388" s="463"/>
      <c r="C3388" s="463"/>
    </row>
    <row r="3389" spans="2:3" x14ac:dyDescent="0.25">
      <c r="B3389" s="463"/>
      <c r="C3389" s="463"/>
    </row>
    <row r="3390" spans="2:3" x14ac:dyDescent="0.25">
      <c r="B3390" s="463"/>
      <c r="C3390" s="463"/>
    </row>
    <row r="3391" spans="2:3" x14ac:dyDescent="0.25">
      <c r="B3391" s="463"/>
      <c r="C3391" s="463"/>
    </row>
    <row r="3392" spans="2:3" x14ac:dyDescent="0.25">
      <c r="B3392" s="463"/>
      <c r="C3392" s="463"/>
    </row>
    <row r="3393" spans="2:3" x14ac:dyDescent="0.25">
      <c r="B3393" s="463"/>
      <c r="C3393" s="463"/>
    </row>
    <row r="3394" spans="2:3" x14ac:dyDescent="0.25">
      <c r="B3394" s="463"/>
      <c r="C3394" s="463"/>
    </row>
    <row r="3395" spans="2:3" x14ac:dyDescent="0.25">
      <c r="B3395" s="463"/>
      <c r="C3395" s="463"/>
    </row>
    <row r="3396" spans="2:3" x14ac:dyDescent="0.25">
      <c r="B3396" s="463"/>
      <c r="C3396" s="463"/>
    </row>
    <row r="3397" spans="2:3" x14ac:dyDescent="0.25">
      <c r="B3397" s="463"/>
      <c r="C3397" s="463"/>
    </row>
    <row r="3398" spans="2:3" x14ac:dyDescent="0.25">
      <c r="B3398" s="463"/>
      <c r="C3398" s="463"/>
    </row>
    <row r="3399" spans="2:3" x14ac:dyDescent="0.25">
      <c r="B3399" s="463"/>
      <c r="C3399" s="463"/>
    </row>
    <row r="3400" spans="2:3" x14ac:dyDescent="0.25">
      <c r="B3400" s="463"/>
      <c r="C3400" s="463"/>
    </row>
    <row r="3401" spans="2:3" x14ac:dyDescent="0.25">
      <c r="B3401" s="463"/>
      <c r="C3401" s="463"/>
    </row>
    <row r="3402" spans="2:3" x14ac:dyDescent="0.25">
      <c r="B3402" s="463"/>
      <c r="C3402" s="463"/>
    </row>
    <row r="3403" spans="2:3" x14ac:dyDescent="0.25">
      <c r="B3403" s="463"/>
      <c r="C3403" s="463"/>
    </row>
    <row r="3404" spans="2:3" x14ac:dyDescent="0.25">
      <c r="B3404" s="463"/>
      <c r="C3404" s="463"/>
    </row>
    <row r="3405" spans="2:3" x14ac:dyDescent="0.25">
      <c r="B3405" s="463"/>
      <c r="C3405" s="463"/>
    </row>
    <row r="3406" spans="2:3" x14ac:dyDescent="0.25">
      <c r="B3406" s="463"/>
      <c r="C3406" s="463"/>
    </row>
    <row r="3407" spans="2:3" x14ac:dyDescent="0.25">
      <c r="B3407" s="463"/>
      <c r="C3407" s="463"/>
    </row>
    <row r="3408" spans="2:3" x14ac:dyDescent="0.25">
      <c r="B3408" s="463"/>
      <c r="C3408" s="463"/>
    </row>
    <row r="3409" spans="2:3" x14ac:dyDescent="0.25">
      <c r="B3409" s="463"/>
      <c r="C3409" s="463"/>
    </row>
    <row r="3410" spans="2:3" x14ac:dyDescent="0.25">
      <c r="B3410" s="463"/>
      <c r="C3410" s="463"/>
    </row>
    <row r="3411" spans="2:3" x14ac:dyDescent="0.25">
      <c r="B3411" s="463"/>
      <c r="C3411" s="463"/>
    </row>
    <row r="3412" spans="2:3" x14ac:dyDescent="0.25">
      <c r="B3412" s="463"/>
      <c r="C3412" s="463"/>
    </row>
    <row r="3413" spans="2:3" x14ac:dyDescent="0.25">
      <c r="B3413" s="463"/>
      <c r="C3413" s="463"/>
    </row>
    <row r="3414" spans="2:3" x14ac:dyDescent="0.25">
      <c r="B3414" s="463"/>
      <c r="C3414" s="463"/>
    </row>
    <row r="3415" spans="2:3" x14ac:dyDescent="0.25">
      <c r="B3415" s="463"/>
      <c r="C3415" s="463"/>
    </row>
    <row r="3416" spans="2:3" x14ac:dyDescent="0.25">
      <c r="B3416" s="463"/>
      <c r="C3416" s="463"/>
    </row>
    <row r="3417" spans="2:3" x14ac:dyDescent="0.25">
      <c r="B3417" s="463"/>
      <c r="C3417" s="463"/>
    </row>
    <row r="3418" spans="2:3" x14ac:dyDescent="0.25">
      <c r="B3418" s="463"/>
      <c r="C3418" s="463"/>
    </row>
    <row r="3419" spans="2:3" x14ac:dyDescent="0.25">
      <c r="B3419" s="463"/>
      <c r="C3419" s="463"/>
    </row>
    <row r="3420" spans="2:3" x14ac:dyDescent="0.25">
      <c r="B3420" s="463"/>
      <c r="C3420" s="463"/>
    </row>
    <row r="3421" spans="2:3" x14ac:dyDescent="0.25">
      <c r="B3421" s="463"/>
      <c r="C3421" s="463"/>
    </row>
    <row r="3422" spans="2:3" x14ac:dyDescent="0.25">
      <c r="B3422" s="463"/>
      <c r="C3422" s="463"/>
    </row>
    <row r="3423" spans="2:3" x14ac:dyDescent="0.25">
      <c r="B3423" s="463"/>
      <c r="C3423" s="463"/>
    </row>
    <row r="3424" spans="2:3" x14ac:dyDescent="0.25">
      <c r="B3424" s="463"/>
      <c r="C3424" s="463"/>
    </row>
    <row r="3425" spans="2:3" x14ac:dyDescent="0.25">
      <c r="B3425" s="463"/>
      <c r="C3425" s="463"/>
    </row>
    <row r="3426" spans="2:3" x14ac:dyDescent="0.25">
      <c r="B3426" s="463"/>
      <c r="C3426" s="463"/>
    </row>
    <row r="3427" spans="2:3" x14ac:dyDescent="0.25">
      <c r="B3427" s="463"/>
      <c r="C3427" s="463"/>
    </row>
    <row r="3428" spans="2:3" x14ac:dyDescent="0.25">
      <c r="B3428" s="463"/>
      <c r="C3428" s="463"/>
    </row>
    <row r="3429" spans="2:3" x14ac:dyDescent="0.25">
      <c r="B3429" s="463"/>
      <c r="C3429" s="463"/>
    </row>
    <row r="3430" spans="2:3" x14ac:dyDescent="0.25">
      <c r="B3430" s="463"/>
      <c r="C3430" s="463"/>
    </row>
    <row r="3431" spans="2:3" x14ac:dyDescent="0.25">
      <c r="B3431" s="463"/>
      <c r="C3431" s="463"/>
    </row>
    <row r="3432" spans="2:3" x14ac:dyDescent="0.25">
      <c r="B3432" s="463"/>
      <c r="C3432" s="463"/>
    </row>
    <row r="3433" spans="2:3" x14ac:dyDescent="0.25">
      <c r="B3433" s="463"/>
      <c r="C3433" s="463"/>
    </row>
    <row r="3434" spans="2:3" x14ac:dyDescent="0.25">
      <c r="B3434" s="463"/>
      <c r="C3434" s="463"/>
    </row>
    <row r="3435" spans="2:3" x14ac:dyDescent="0.25">
      <c r="B3435" s="463"/>
      <c r="C3435" s="463"/>
    </row>
    <row r="3436" spans="2:3" x14ac:dyDescent="0.25">
      <c r="B3436" s="463"/>
      <c r="C3436" s="463"/>
    </row>
    <row r="3437" spans="2:3" x14ac:dyDescent="0.25">
      <c r="B3437" s="463"/>
      <c r="C3437" s="463"/>
    </row>
    <row r="3438" spans="2:3" x14ac:dyDescent="0.25">
      <c r="B3438" s="463"/>
      <c r="C3438" s="463"/>
    </row>
    <row r="3439" spans="2:3" x14ac:dyDescent="0.25">
      <c r="B3439" s="463"/>
      <c r="C3439" s="463"/>
    </row>
    <row r="3440" spans="2:3" x14ac:dyDescent="0.25">
      <c r="B3440" s="463"/>
      <c r="C3440" s="463"/>
    </row>
    <row r="3441" spans="2:3" x14ac:dyDescent="0.25">
      <c r="B3441" s="463"/>
      <c r="C3441" s="463"/>
    </row>
    <row r="3442" spans="2:3" x14ac:dyDescent="0.25">
      <c r="B3442" s="463"/>
      <c r="C3442" s="463"/>
    </row>
    <row r="3443" spans="2:3" x14ac:dyDescent="0.25">
      <c r="B3443" s="463"/>
      <c r="C3443" s="463"/>
    </row>
    <row r="3444" spans="2:3" x14ac:dyDescent="0.25">
      <c r="B3444" s="463"/>
      <c r="C3444" s="463"/>
    </row>
    <row r="3445" spans="2:3" x14ac:dyDescent="0.25">
      <c r="B3445" s="463"/>
      <c r="C3445" s="463"/>
    </row>
    <row r="3446" spans="2:3" x14ac:dyDescent="0.25">
      <c r="B3446" s="463"/>
      <c r="C3446" s="463"/>
    </row>
    <row r="3447" spans="2:3" x14ac:dyDescent="0.25">
      <c r="B3447" s="463"/>
      <c r="C3447" s="463"/>
    </row>
    <row r="3448" spans="2:3" x14ac:dyDescent="0.25">
      <c r="B3448" s="463"/>
      <c r="C3448" s="463"/>
    </row>
    <row r="3449" spans="2:3" x14ac:dyDescent="0.25">
      <c r="B3449" s="463"/>
      <c r="C3449" s="463"/>
    </row>
    <row r="3450" spans="2:3" x14ac:dyDescent="0.25">
      <c r="B3450" s="463"/>
      <c r="C3450" s="463"/>
    </row>
    <row r="3451" spans="2:3" x14ac:dyDescent="0.25">
      <c r="B3451" s="463"/>
      <c r="C3451" s="463"/>
    </row>
    <row r="3452" spans="2:3" x14ac:dyDescent="0.25">
      <c r="B3452" s="463"/>
      <c r="C3452" s="463"/>
    </row>
    <row r="3453" spans="2:3" x14ac:dyDescent="0.25">
      <c r="B3453" s="463"/>
      <c r="C3453" s="463"/>
    </row>
    <row r="3454" spans="2:3" x14ac:dyDescent="0.25">
      <c r="B3454" s="463"/>
      <c r="C3454" s="463"/>
    </row>
    <row r="3455" spans="2:3" x14ac:dyDescent="0.25">
      <c r="B3455" s="463"/>
      <c r="C3455" s="463"/>
    </row>
    <row r="3456" spans="2:3" x14ac:dyDescent="0.25">
      <c r="B3456" s="463"/>
      <c r="C3456" s="463"/>
    </row>
    <row r="3457" spans="2:3" x14ac:dyDescent="0.25">
      <c r="B3457" s="463"/>
      <c r="C3457" s="463"/>
    </row>
    <row r="3458" spans="2:3" x14ac:dyDescent="0.25">
      <c r="B3458" s="463"/>
      <c r="C3458" s="463"/>
    </row>
    <row r="3459" spans="2:3" x14ac:dyDescent="0.25">
      <c r="B3459" s="463"/>
      <c r="C3459" s="463"/>
    </row>
    <row r="3460" spans="2:3" x14ac:dyDescent="0.25">
      <c r="B3460" s="463"/>
      <c r="C3460" s="463"/>
    </row>
    <row r="3461" spans="2:3" x14ac:dyDescent="0.25">
      <c r="B3461" s="463"/>
      <c r="C3461" s="463"/>
    </row>
    <row r="3462" spans="2:3" x14ac:dyDescent="0.25">
      <c r="B3462" s="463"/>
      <c r="C3462" s="463"/>
    </row>
    <row r="3463" spans="2:3" x14ac:dyDescent="0.25">
      <c r="B3463" s="463"/>
      <c r="C3463" s="463"/>
    </row>
    <row r="3464" spans="2:3" x14ac:dyDescent="0.25">
      <c r="B3464" s="463"/>
      <c r="C3464" s="463"/>
    </row>
    <row r="3465" spans="2:3" x14ac:dyDescent="0.25">
      <c r="B3465" s="463"/>
      <c r="C3465" s="463"/>
    </row>
    <row r="3466" spans="2:3" x14ac:dyDescent="0.25">
      <c r="B3466" s="463"/>
      <c r="C3466" s="463"/>
    </row>
    <row r="3467" spans="2:3" x14ac:dyDescent="0.25">
      <c r="B3467" s="463"/>
      <c r="C3467" s="463"/>
    </row>
    <row r="3468" spans="2:3" x14ac:dyDescent="0.25">
      <c r="B3468" s="463"/>
      <c r="C3468" s="463"/>
    </row>
    <row r="3469" spans="2:3" x14ac:dyDescent="0.25">
      <c r="B3469" s="463"/>
      <c r="C3469" s="463"/>
    </row>
    <row r="3470" spans="2:3" x14ac:dyDescent="0.25">
      <c r="B3470" s="463"/>
      <c r="C3470" s="463"/>
    </row>
    <row r="3471" spans="2:3" x14ac:dyDescent="0.25">
      <c r="B3471" s="463"/>
      <c r="C3471" s="463"/>
    </row>
    <row r="3472" spans="2:3" x14ac:dyDescent="0.25">
      <c r="B3472" s="463"/>
      <c r="C3472" s="463"/>
    </row>
    <row r="3473" spans="2:3" x14ac:dyDescent="0.25">
      <c r="B3473" s="463"/>
      <c r="C3473" s="463"/>
    </row>
    <row r="3474" spans="2:3" x14ac:dyDescent="0.25">
      <c r="B3474" s="463"/>
      <c r="C3474" s="463"/>
    </row>
    <row r="3475" spans="2:3" x14ac:dyDescent="0.25">
      <c r="B3475" s="463"/>
      <c r="C3475" s="463"/>
    </row>
    <row r="3476" spans="2:3" x14ac:dyDescent="0.25">
      <c r="B3476" s="463"/>
      <c r="C3476" s="463"/>
    </row>
    <row r="3477" spans="2:3" x14ac:dyDescent="0.25">
      <c r="B3477" s="463"/>
      <c r="C3477" s="463"/>
    </row>
    <row r="3478" spans="2:3" x14ac:dyDescent="0.25">
      <c r="B3478" s="463"/>
      <c r="C3478" s="463"/>
    </row>
    <row r="3479" spans="2:3" x14ac:dyDescent="0.25">
      <c r="B3479" s="463"/>
      <c r="C3479" s="463"/>
    </row>
    <row r="3480" spans="2:3" x14ac:dyDescent="0.25">
      <c r="B3480" s="463"/>
      <c r="C3480" s="463"/>
    </row>
    <row r="3481" spans="2:3" x14ac:dyDescent="0.25">
      <c r="B3481" s="463"/>
      <c r="C3481" s="463"/>
    </row>
    <row r="3482" spans="2:3" x14ac:dyDescent="0.25">
      <c r="B3482" s="463"/>
      <c r="C3482" s="463"/>
    </row>
    <row r="3483" spans="2:3" x14ac:dyDescent="0.25">
      <c r="B3483" s="463"/>
      <c r="C3483" s="463"/>
    </row>
    <row r="3484" spans="2:3" x14ac:dyDescent="0.25">
      <c r="B3484" s="463"/>
      <c r="C3484" s="463"/>
    </row>
    <row r="3485" spans="2:3" x14ac:dyDescent="0.25">
      <c r="B3485" s="463"/>
      <c r="C3485" s="463"/>
    </row>
    <row r="3486" spans="2:3" x14ac:dyDescent="0.25">
      <c r="B3486" s="463"/>
      <c r="C3486" s="463"/>
    </row>
    <row r="3487" spans="2:3" x14ac:dyDescent="0.25">
      <c r="B3487" s="463"/>
      <c r="C3487" s="463"/>
    </row>
    <row r="3488" spans="2:3" x14ac:dyDescent="0.25">
      <c r="B3488" s="463"/>
      <c r="C3488" s="463"/>
    </row>
    <row r="3489" spans="2:3" x14ac:dyDescent="0.25">
      <c r="B3489" s="463"/>
      <c r="C3489" s="463"/>
    </row>
    <row r="3490" spans="2:3" x14ac:dyDescent="0.25">
      <c r="B3490" s="463"/>
      <c r="C3490" s="463"/>
    </row>
    <row r="3491" spans="2:3" x14ac:dyDescent="0.25">
      <c r="B3491" s="463"/>
      <c r="C3491" s="463"/>
    </row>
    <row r="3492" spans="2:3" x14ac:dyDescent="0.25">
      <c r="B3492" s="463"/>
      <c r="C3492" s="463"/>
    </row>
    <row r="3493" spans="2:3" x14ac:dyDescent="0.25">
      <c r="B3493" s="463"/>
      <c r="C3493" s="463"/>
    </row>
    <row r="3494" spans="2:3" x14ac:dyDescent="0.25">
      <c r="B3494" s="463"/>
      <c r="C3494" s="463"/>
    </row>
    <row r="3495" spans="2:3" x14ac:dyDescent="0.25">
      <c r="B3495" s="463"/>
      <c r="C3495" s="463"/>
    </row>
    <row r="3496" spans="2:3" x14ac:dyDescent="0.25">
      <c r="B3496" s="463"/>
      <c r="C3496" s="463"/>
    </row>
    <row r="3497" spans="2:3" x14ac:dyDescent="0.25">
      <c r="B3497" s="463"/>
      <c r="C3497" s="463"/>
    </row>
    <row r="3498" spans="2:3" x14ac:dyDescent="0.25">
      <c r="B3498" s="463"/>
      <c r="C3498" s="463"/>
    </row>
    <row r="3499" spans="2:3" x14ac:dyDescent="0.25">
      <c r="B3499" s="463"/>
      <c r="C3499" s="463"/>
    </row>
    <row r="3500" spans="2:3" x14ac:dyDescent="0.25">
      <c r="B3500" s="463"/>
      <c r="C3500" s="463"/>
    </row>
    <row r="3501" spans="2:3" x14ac:dyDescent="0.25">
      <c r="B3501" s="463"/>
      <c r="C3501" s="463"/>
    </row>
    <row r="3502" spans="2:3" x14ac:dyDescent="0.25">
      <c r="B3502" s="463"/>
      <c r="C3502" s="463"/>
    </row>
    <row r="3503" spans="2:3" x14ac:dyDescent="0.25">
      <c r="B3503" s="463"/>
      <c r="C3503" s="463"/>
    </row>
    <row r="3504" spans="2:3" x14ac:dyDescent="0.25">
      <c r="B3504" s="463"/>
      <c r="C3504" s="463"/>
    </row>
    <row r="3505" spans="2:3" x14ac:dyDescent="0.25">
      <c r="B3505" s="463"/>
      <c r="C3505" s="463"/>
    </row>
    <row r="3506" spans="2:3" x14ac:dyDescent="0.25">
      <c r="B3506" s="463"/>
      <c r="C3506" s="463"/>
    </row>
    <row r="3507" spans="2:3" x14ac:dyDescent="0.25">
      <c r="B3507" s="463"/>
      <c r="C3507" s="463"/>
    </row>
    <row r="3508" spans="2:3" x14ac:dyDescent="0.25">
      <c r="B3508" s="463"/>
      <c r="C3508" s="463"/>
    </row>
    <row r="3509" spans="2:3" x14ac:dyDescent="0.25">
      <c r="B3509" s="463"/>
      <c r="C3509" s="463"/>
    </row>
    <row r="3510" spans="2:3" x14ac:dyDescent="0.25">
      <c r="B3510" s="463"/>
      <c r="C3510" s="463"/>
    </row>
    <row r="3511" spans="2:3" x14ac:dyDescent="0.25">
      <c r="B3511" s="463"/>
      <c r="C3511" s="463"/>
    </row>
    <row r="3512" spans="2:3" x14ac:dyDescent="0.25">
      <c r="B3512" s="463"/>
      <c r="C3512" s="463"/>
    </row>
    <row r="3513" spans="2:3" x14ac:dyDescent="0.25">
      <c r="B3513" s="463"/>
      <c r="C3513" s="463"/>
    </row>
    <row r="3514" spans="2:3" x14ac:dyDescent="0.25">
      <c r="B3514" s="463"/>
      <c r="C3514" s="463"/>
    </row>
    <row r="3515" spans="2:3" x14ac:dyDescent="0.25">
      <c r="B3515" s="463"/>
      <c r="C3515" s="463"/>
    </row>
    <row r="3516" spans="2:3" x14ac:dyDescent="0.25">
      <c r="B3516" s="463"/>
      <c r="C3516" s="463"/>
    </row>
    <row r="3517" spans="2:3" x14ac:dyDescent="0.25">
      <c r="B3517" s="463"/>
      <c r="C3517" s="463"/>
    </row>
    <row r="3518" spans="2:3" x14ac:dyDescent="0.25">
      <c r="B3518" s="463"/>
      <c r="C3518" s="463"/>
    </row>
    <row r="3519" spans="2:3" x14ac:dyDescent="0.25">
      <c r="B3519" s="463"/>
      <c r="C3519" s="463"/>
    </row>
    <row r="3520" spans="2:3" x14ac:dyDescent="0.25">
      <c r="B3520" s="463"/>
      <c r="C3520" s="463"/>
    </row>
    <row r="3521" spans="2:3" x14ac:dyDescent="0.25">
      <c r="B3521" s="463"/>
      <c r="C3521" s="463"/>
    </row>
    <row r="3522" spans="2:3" x14ac:dyDescent="0.25">
      <c r="B3522" s="463"/>
      <c r="C3522" s="463"/>
    </row>
    <row r="3523" spans="2:3" x14ac:dyDescent="0.25">
      <c r="B3523" s="463"/>
      <c r="C3523" s="463"/>
    </row>
    <row r="3524" spans="2:3" x14ac:dyDescent="0.25">
      <c r="B3524" s="463"/>
      <c r="C3524" s="463"/>
    </row>
    <row r="3525" spans="2:3" x14ac:dyDescent="0.25">
      <c r="B3525" s="463"/>
      <c r="C3525" s="463"/>
    </row>
    <row r="3526" spans="2:3" x14ac:dyDescent="0.25">
      <c r="B3526" s="463"/>
      <c r="C3526" s="463"/>
    </row>
    <row r="3527" spans="2:3" x14ac:dyDescent="0.25">
      <c r="B3527" s="463"/>
      <c r="C3527" s="463"/>
    </row>
    <row r="3528" spans="2:3" x14ac:dyDescent="0.25">
      <c r="B3528" s="463"/>
      <c r="C3528" s="463"/>
    </row>
    <row r="3529" spans="2:3" x14ac:dyDescent="0.25">
      <c r="B3529" s="463"/>
      <c r="C3529" s="463"/>
    </row>
    <row r="3530" spans="2:3" x14ac:dyDescent="0.25">
      <c r="B3530" s="463"/>
      <c r="C3530" s="463"/>
    </row>
    <row r="3531" spans="2:3" x14ac:dyDescent="0.25">
      <c r="B3531" s="463"/>
      <c r="C3531" s="463"/>
    </row>
    <row r="3532" spans="2:3" x14ac:dyDescent="0.25">
      <c r="B3532" s="463"/>
      <c r="C3532" s="463"/>
    </row>
    <row r="3533" spans="2:3" x14ac:dyDescent="0.25">
      <c r="B3533" s="463"/>
      <c r="C3533" s="463"/>
    </row>
    <row r="3534" spans="2:3" x14ac:dyDescent="0.25">
      <c r="B3534" s="463"/>
      <c r="C3534" s="463"/>
    </row>
    <row r="3535" spans="2:3" x14ac:dyDescent="0.25">
      <c r="B3535" s="463"/>
      <c r="C3535" s="463"/>
    </row>
    <row r="3536" spans="2:3" x14ac:dyDescent="0.25">
      <c r="B3536" s="463"/>
      <c r="C3536" s="463"/>
    </row>
    <row r="3537" spans="2:3" x14ac:dyDescent="0.25">
      <c r="B3537" s="463"/>
      <c r="C3537" s="463"/>
    </row>
    <row r="3538" spans="2:3" x14ac:dyDescent="0.25">
      <c r="B3538" s="463"/>
      <c r="C3538" s="463"/>
    </row>
    <row r="3539" spans="2:3" x14ac:dyDescent="0.25">
      <c r="B3539" s="463"/>
      <c r="C3539" s="463"/>
    </row>
    <row r="3540" spans="2:3" x14ac:dyDescent="0.25">
      <c r="B3540" s="463"/>
      <c r="C3540" s="463"/>
    </row>
    <row r="3541" spans="2:3" x14ac:dyDescent="0.25">
      <c r="B3541" s="463"/>
      <c r="C3541" s="463"/>
    </row>
    <row r="3542" spans="2:3" x14ac:dyDescent="0.25">
      <c r="B3542" s="463"/>
      <c r="C3542" s="463"/>
    </row>
    <row r="3543" spans="2:3" x14ac:dyDescent="0.25">
      <c r="B3543" s="463"/>
      <c r="C3543" s="463"/>
    </row>
    <row r="3544" spans="2:3" x14ac:dyDescent="0.25">
      <c r="B3544" s="463"/>
      <c r="C3544" s="463"/>
    </row>
    <row r="3545" spans="2:3" x14ac:dyDescent="0.25">
      <c r="B3545" s="463"/>
      <c r="C3545" s="463"/>
    </row>
    <row r="3546" spans="2:3" x14ac:dyDescent="0.25">
      <c r="B3546" s="463"/>
      <c r="C3546" s="463"/>
    </row>
    <row r="3547" spans="2:3" x14ac:dyDescent="0.25">
      <c r="B3547" s="463"/>
      <c r="C3547" s="463"/>
    </row>
    <row r="3548" spans="2:3" x14ac:dyDescent="0.25">
      <c r="B3548" s="463"/>
      <c r="C3548" s="463"/>
    </row>
    <row r="3549" spans="2:3" x14ac:dyDescent="0.25">
      <c r="B3549" s="463"/>
      <c r="C3549" s="463"/>
    </row>
    <row r="3550" spans="2:3" x14ac:dyDescent="0.25">
      <c r="B3550" s="463"/>
      <c r="C3550" s="463"/>
    </row>
    <row r="3551" spans="2:3" x14ac:dyDescent="0.25">
      <c r="B3551" s="463"/>
      <c r="C3551" s="463"/>
    </row>
    <row r="3552" spans="2:3" x14ac:dyDescent="0.25">
      <c r="B3552" s="463"/>
      <c r="C3552" s="463"/>
    </row>
    <row r="3553" spans="2:3" x14ac:dyDescent="0.25">
      <c r="B3553" s="463"/>
      <c r="C3553" s="463"/>
    </row>
    <row r="3554" spans="2:3" x14ac:dyDescent="0.25">
      <c r="B3554" s="463"/>
      <c r="C3554" s="463"/>
    </row>
    <row r="3555" spans="2:3" x14ac:dyDescent="0.25">
      <c r="B3555" s="463"/>
      <c r="C3555" s="463"/>
    </row>
    <row r="3556" spans="2:3" x14ac:dyDescent="0.25">
      <c r="B3556" s="463"/>
      <c r="C3556" s="463"/>
    </row>
    <row r="3557" spans="2:3" x14ac:dyDescent="0.25">
      <c r="B3557" s="463"/>
      <c r="C3557" s="463"/>
    </row>
    <row r="3558" spans="2:3" x14ac:dyDescent="0.25">
      <c r="B3558" s="463"/>
      <c r="C3558" s="463"/>
    </row>
    <row r="3559" spans="2:3" x14ac:dyDescent="0.25">
      <c r="B3559" s="463"/>
      <c r="C3559" s="463"/>
    </row>
    <row r="3560" spans="2:3" x14ac:dyDescent="0.25">
      <c r="B3560" s="463"/>
      <c r="C3560" s="463"/>
    </row>
    <row r="3561" spans="2:3" x14ac:dyDescent="0.25">
      <c r="B3561" s="463"/>
      <c r="C3561" s="463"/>
    </row>
    <row r="3562" spans="2:3" x14ac:dyDescent="0.25">
      <c r="B3562" s="463"/>
      <c r="C3562" s="463"/>
    </row>
    <row r="3563" spans="2:3" x14ac:dyDescent="0.25">
      <c r="B3563" s="463"/>
      <c r="C3563" s="463"/>
    </row>
    <row r="3564" spans="2:3" x14ac:dyDescent="0.25">
      <c r="B3564" s="463"/>
      <c r="C3564" s="463"/>
    </row>
    <row r="3565" spans="2:3" x14ac:dyDescent="0.25">
      <c r="B3565" s="463"/>
      <c r="C3565" s="463"/>
    </row>
    <row r="3566" spans="2:3" x14ac:dyDescent="0.25">
      <c r="B3566" s="463"/>
      <c r="C3566" s="463"/>
    </row>
    <row r="3567" spans="2:3" x14ac:dyDescent="0.25">
      <c r="B3567" s="463"/>
      <c r="C3567" s="463"/>
    </row>
    <row r="3568" spans="2:3" x14ac:dyDescent="0.25">
      <c r="B3568" s="463"/>
      <c r="C3568" s="463"/>
    </row>
    <row r="3569" spans="2:3" x14ac:dyDescent="0.25">
      <c r="B3569" s="463"/>
      <c r="C3569" s="463"/>
    </row>
    <row r="3570" spans="2:3" x14ac:dyDescent="0.25">
      <c r="B3570" s="463"/>
      <c r="C3570" s="463"/>
    </row>
    <row r="3571" spans="2:3" x14ac:dyDescent="0.25">
      <c r="B3571" s="463"/>
      <c r="C3571" s="463"/>
    </row>
    <row r="3572" spans="2:3" x14ac:dyDescent="0.25">
      <c r="B3572" s="463"/>
      <c r="C3572" s="463"/>
    </row>
    <row r="3573" spans="2:3" x14ac:dyDescent="0.25">
      <c r="B3573" s="463"/>
      <c r="C3573" s="463"/>
    </row>
    <row r="3574" spans="2:3" x14ac:dyDescent="0.25">
      <c r="B3574" s="463"/>
      <c r="C3574" s="463"/>
    </row>
    <row r="3575" spans="2:3" x14ac:dyDescent="0.25">
      <c r="B3575" s="463"/>
      <c r="C3575" s="463"/>
    </row>
    <row r="3576" spans="2:3" x14ac:dyDescent="0.25">
      <c r="B3576" s="463"/>
      <c r="C3576" s="463"/>
    </row>
    <row r="3577" spans="2:3" x14ac:dyDescent="0.25">
      <c r="B3577" s="463"/>
      <c r="C3577" s="463"/>
    </row>
    <row r="3578" spans="2:3" x14ac:dyDescent="0.25">
      <c r="B3578" s="463"/>
      <c r="C3578" s="463"/>
    </row>
    <row r="3579" spans="2:3" x14ac:dyDescent="0.25">
      <c r="B3579" s="463"/>
      <c r="C3579" s="463"/>
    </row>
    <row r="3580" spans="2:3" x14ac:dyDescent="0.25">
      <c r="B3580" s="463"/>
      <c r="C3580" s="463"/>
    </row>
    <row r="3581" spans="2:3" x14ac:dyDescent="0.25">
      <c r="B3581" s="463"/>
      <c r="C3581" s="463"/>
    </row>
    <row r="3582" spans="2:3" x14ac:dyDescent="0.25">
      <c r="B3582" s="463"/>
      <c r="C3582" s="463"/>
    </row>
    <row r="3583" spans="2:3" x14ac:dyDescent="0.25">
      <c r="B3583" s="463"/>
      <c r="C3583" s="463"/>
    </row>
    <row r="3584" spans="2:3" x14ac:dyDescent="0.25">
      <c r="B3584" s="463"/>
      <c r="C3584" s="463"/>
    </row>
    <row r="3585" spans="2:3" x14ac:dyDescent="0.25">
      <c r="B3585" s="463"/>
      <c r="C3585" s="463"/>
    </row>
    <row r="3586" spans="2:3" x14ac:dyDescent="0.25">
      <c r="B3586" s="463"/>
      <c r="C3586" s="463"/>
    </row>
    <row r="3587" spans="2:3" x14ac:dyDescent="0.25">
      <c r="B3587" s="463"/>
      <c r="C3587" s="463"/>
    </row>
    <row r="3588" spans="2:3" x14ac:dyDescent="0.25">
      <c r="B3588" s="463"/>
      <c r="C3588" s="463"/>
    </row>
    <row r="3589" spans="2:3" x14ac:dyDescent="0.25">
      <c r="B3589" s="463"/>
      <c r="C3589" s="463"/>
    </row>
    <row r="3590" spans="2:3" x14ac:dyDescent="0.25">
      <c r="B3590" s="463"/>
      <c r="C3590" s="463"/>
    </row>
    <row r="3591" spans="2:3" x14ac:dyDescent="0.25">
      <c r="B3591" s="463"/>
      <c r="C3591" s="463"/>
    </row>
    <row r="3592" spans="2:3" x14ac:dyDescent="0.25">
      <c r="B3592" s="463"/>
      <c r="C3592" s="463"/>
    </row>
    <row r="3593" spans="2:3" x14ac:dyDescent="0.25">
      <c r="B3593" s="463"/>
      <c r="C3593" s="463"/>
    </row>
    <row r="3594" spans="2:3" x14ac:dyDescent="0.25">
      <c r="B3594" s="463"/>
      <c r="C3594" s="463"/>
    </row>
    <row r="3595" spans="2:3" x14ac:dyDescent="0.25">
      <c r="B3595" s="463"/>
      <c r="C3595" s="463"/>
    </row>
    <row r="3596" spans="2:3" x14ac:dyDescent="0.25">
      <c r="B3596" s="463"/>
      <c r="C3596" s="463"/>
    </row>
    <row r="3597" spans="2:3" x14ac:dyDescent="0.25">
      <c r="B3597" s="463"/>
      <c r="C3597" s="463"/>
    </row>
    <row r="3598" spans="2:3" x14ac:dyDescent="0.25">
      <c r="B3598" s="463"/>
      <c r="C3598" s="463"/>
    </row>
    <row r="3599" spans="2:3" x14ac:dyDescent="0.25">
      <c r="B3599" s="463"/>
      <c r="C3599" s="463"/>
    </row>
    <row r="3600" spans="2:3" x14ac:dyDescent="0.25">
      <c r="B3600" s="463"/>
      <c r="C3600" s="463"/>
    </row>
    <row r="3601" spans="2:3" x14ac:dyDescent="0.25">
      <c r="B3601" s="463"/>
      <c r="C3601" s="463"/>
    </row>
    <row r="3602" spans="2:3" x14ac:dyDescent="0.25">
      <c r="B3602" s="463"/>
      <c r="C3602" s="463"/>
    </row>
    <row r="3603" spans="2:3" x14ac:dyDescent="0.25">
      <c r="B3603" s="463"/>
      <c r="C3603" s="463"/>
    </row>
    <row r="3604" spans="2:3" x14ac:dyDescent="0.25">
      <c r="B3604" s="463"/>
      <c r="C3604" s="463"/>
    </row>
    <row r="3605" spans="2:3" x14ac:dyDescent="0.25">
      <c r="B3605" s="463"/>
      <c r="C3605" s="463"/>
    </row>
    <row r="3606" spans="2:3" x14ac:dyDescent="0.25">
      <c r="B3606" s="463"/>
      <c r="C3606" s="463"/>
    </row>
    <row r="3607" spans="2:3" x14ac:dyDescent="0.25">
      <c r="B3607" s="463"/>
      <c r="C3607" s="463"/>
    </row>
    <row r="3608" spans="2:3" x14ac:dyDescent="0.25">
      <c r="B3608" s="463"/>
      <c r="C3608" s="463"/>
    </row>
    <row r="3609" spans="2:3" x14ac:dyDescent="0.25">
      <c r="B3609" s="463"/>
      <c r="C3609" s="463"/>
    </row>
    <row r="3610" spans="2:3" x14ac:dyDescent="0.25">
      <c r="B3610" s="463"/>
      <c r="C3610" s="463"/>
    </row>
    <row r="3611" spans="2:3" x14ac:dyDescent="0.25">
      <c r="B3611" s="463"/>
      <c r="C3611" s="463"/>
    </row>
    <row r="3612" spans="2:3" x14ac:dyDescent="0.25">
      <c r="B3612" s="463"/>
      <c r="C3612" s="463"/>
    </row>
    <row r="3613" spans="2:3" x14ac:dyDescent="0.25">
      <c r="B3613" s="463"/>
      <c r="C3613" s="463"/>
    </row>
    <row r="3614" spans="2:3" x14ac:dyDescent="0.25">
      <c r="B3614" s="463"/>
      <c r="C3614" s="463"/>
    </row>
    <row r="3615" spans="2:3" x14ac:dyDescent="0.25">
      <c r="B3615" s="463"/>
      <c r="C3615" s="463"/>
    </row>
    <row r="3616" spans="2:3" x14ac:dyDescent="0.25">
      <c r="B3616" s="463"/>
      <c r="C3616" s="463"/>
    </row>
    <row r="3617" spans="2:3" x14ac:dyDescent="0.25">
      <c r="B3617" s="463"/>
      <c r="C3617" s="463"/>
    </row>
    <row r="3618" spans="2:3" x14ac:dyDescent="0.25">
      <c r="B3618" s="463"/>
      <c r="C3618" s="463"/>
    </row>
    <row r="3619" spans="2:3" x14ac:dyDescent="0.25">
      <c r="B3619" s="463"/>
      <c r="C3619" s="463"/>
    </row>
    <row r="3620" spans="2:3" x14ac:dyDescent="0.25">
      <c r="B3620" s="463"/>
      <c r="C3620" s="463"/>
    </row>
    <row r="3621" spans="2:3" x14ac:dyDescent="0.25">
      <c r="B3621" s="463"/>
      <c r="C3621" s="463"/>
    </row>
    <row r="3622" spans="2:3" x14ac:dyDescent="0.25">
      <c r="B3622" s="463"/>
      <c r="C3622" s="463"/>
    </row>
    <row r="3623" spans="2:3" x14ac:dyDescent="0.25">
      <c r="B3623" s="463"/>
      <c r="C3623" s="463"/>
    </row>
    <row r="3624" spans="2:3" x14ac:dyDescent="0.25">
      <c r="B3624" s="463"/>
      <c r="C3624" s="463"/>
    </row>
    <row r="3625" spans="2:3" x14ac:dyDescent="0.25">
      <c r="B3625" s="463"/>
      <c r="C3625" s="463"/>
    </row>
    <row r="3626" spans="2:3" x14ac:dyDescent="0.25">
      <c r="B3626" s="463"/>
      <c r="C3626" s="463"/>
    </row>
    <row r="3627" spans="2:3" x14ac:dyDescent="0.25">
      <c r="B3627" s="463"/>
      <c r="C3627" s="463"/>
    </row>
    <row r="3628" spans="2:3" x14ac:dyDescent="0.25">
      <c r="B3628" s="463"/>
      <c r="C3628" s="463"/>
    </row>
    <row r="3629" spans="2:3" x14ac:dyDescent="0.25">
      <c r="B3629" s="463"/>
      <c r="C3629" s="463"/>
    </row>
    <row r="3630" spans="2:3" x14ac:dyDescent="0.25">
      <c r="B3630" s="463"/>
      <c r="C3630" s="463"/>
    </row>
    <row r="3631" spans="2:3" x14ac:dyDescent="0.25">
      <c r="B3631" s="463"/>
      <c r="C3631" s="463"/>
    </row>
    <row r="3632" spans="2:3" x14ac:dyDescent="0.25">
      <c r="B3632" s="463"/>
      <c r="C3632" s="463"/>
    </row>
    <row r="3633" spans="2:3" x14ac:dyDescent="0.25">
      <c r="B3633" s="463"/>
      <c r="C3633" s="463"/>
    </row>
    <row r="3634" spans="2:3" x14ac:dyDescent="0.25">
      <c r="B3634" s="463"/>
      <c r="C3634" s="463"/>
    </row>
    <row r="3635" spans="2:3" x14ac:dyDescent="0.25">
      <c r="B3635" s="463"/>
      <c r="C3635" s="463"/>
    </row>
    <row r="3636" spans="2:3" x14ac:dyDescent="0.25">
      <c r="B3636" s="463"/>
      <c r="C3636" s="463"/>
    </row>
    <row r="3637" spans="2:3" x14ac:dyDescent="0.25">
      <c r="B3637" s="463"/>
      <c r="C3637" s="463"/>
    </row>
    <row r="3638" spans="2:3" x14ac:dyDescent="0.25">
      <c r="B3638" s="463"/>
      <c r="C3638" s="463"/>
    </row>
    <row r="3639" spans="2:3" x14ac:dyDescent="0.25">
      <c r="B3639" s="463"/>
      <c r="C3639" s="463"/>
    </row>
    <row r="3640" spans="2:3" x14ac:dyDescent="0.25">
      <c r="B3640" s="463"/>
      <c r="C3640" s="463"/>
    </row>
    <row r="3641" spans="2:3" x14ac:dyDescent="0.25">
      <c r="B3641" s="463"/>
      <c r="C3641" s="463"/>
    </row>
    <row r="3642" spans="2:3" x14ac:dyDescent="0.25">
      <c r="B3642" s="463"/>
      <c r="C3642" s="463"/>
    </row>
    <row r="3643" spans="2:3" x14ac:dyDescent="0.25">
      <c r="B3643" s="463"/>
      <c r="C3643" s="463"/>
    </row>
    <row r="3644" spans="2:3" x14ac:dyDescent="0.25">
      <c r="B3644" s="463"/>
      <c r="C3644" s="463"/>
    </row>
    <row r="3645" spans="2:3" x14ac:dyDescent="0.25">
      <c r="B3645" s="463"/>
      <c r="C3645" s="463"/>
    </row>
    <row r="3646" spans="2:3" x14ac:dyDescent="0.25">
      <c r="B3646" s="463"/>
      <c r="C3646" s="463"/>
    </row>
    <row r="3647" spans="2:3" x14ac:dyDescent="0.25">
      <c r="B3647" s="463"/>
      <c r="C3647" s="463"/>
    </row>
    <row r="3648" spans="2:3" x14ac:dyDescent="0.25">
      <c r="B3648" s="463"/>
      <c r="C3648" s="463"/>
    </row>
    <row r="3649" spans="2:3" x14ac:dyDescent="0.25">
      <c r="B3649" s="463"/>
      <c r="C3649" s="463"/>
    </row>
    <row r="3650" spans="2:3" x14ac:dyDescent="0.25">
      <c r="B3650" s="463"/>
      <c r="C3650" s="463"/>
    </row>
    <row r="3651" spans="2:3" x14ac:dyDescent="0.25">
      <c r="B3651" s="463"/>
      <c r="C3651" s="463"/>
    </row>
    <row r="3652" spans="2:3" x14ac:dyDescent="0.25">
      <c r="B3652" s="463"/>
      <c r="C3652" s="463"/>
    </row>
    <row r="3653" spans="2:3" x14ac:dyDescent="0.25">
      <c r="B3653" s="463"/>
      <c r="C3653" s="463"/>
    </row>
    <row r="3654" spans="2:3" x14ac:dyDescent="0.25">
      <c r="B3654" s="463"/>
      <c r="C3654" s="463"/>
    </row>
    <row r="3655" spans="2:3" x14ac:dyDescent="0.25">
      <c r="B3655" s="463"/>
      <c r="C3655" s="463"/>
    </row>
    <row r="3656" spans="2:3" x14ac:dyDescent="0.25">
      <c r="B3656" s="463"/>
      <c r="C3656" s="463"/>
    </row>
    <row r="3657" spans="2:3" x14ac:dyDescent="0.25">
      <c r="B3657" s="463"/>
      <c r="C3657" s="463"/>
    </row>
    <row r="3658" spans="2:3" x14ac:dyDescent="0.25">
      <c r="B3658" s="463"/>
      <c r="C3658" s="463"/>
    </row>
    <row r="3659" spans="2:3" x14ac:dyDescent="0.25">
      <c r="B3659" s="463"/>
      <c r="C3659" s="463"/>
    </row>
    <row r="3660" spans="2:3" x14ac:dyDescent="0.25">
      <c r="B3660" s="463"/>
      <c r="C3660" s="463"/>
    </row>
    <row r="3661" spans="2:3" x14ac:dyDescent="0.25">
      <c r="B3661" s="463"/>
      <c r="C3661" s="463"/>
    </row>
    <row r="3662" spans="2:3" x14ac:dyDescent="0.25">
      <c r="B3662" s="463"/>
      <c r="C3662" s="463"/>
    </row>
    <row r="3663" spans="2:3" x14ac:dyDescent="0.25">
      <c r="B3663" s="463"/>
      <c r="C3663" s="463"/>
    </row>
    <row r="3664" spans="2:3" x14ac:dyDescent="0.25">
      <c r="B3664" s="463"/>
      <c r="C3664" s="463"/>
    </row>
    <row r="3665" spans="2:3" x14ac:dyDescent="0.25">
      <c r="B3665" s="463"/>
      <c r="C3665" s="463"/>
    </row>
    <row r="3666" spans="2:3" x14ac:dyDescent="0.25">
      <c r="B3666" s="463"/>
      <c r="C3666" s="463"/>
    </row>
    <row r="3667" spans="2:3" x14ac:dyDescent="0.25">
      <c r="B3667" s="463"/>
      <c r="C3667" s="463"/>
    </row>
    <row r="3668" spans="2:3" x14ac:dyDescent="0.25">
      <c r="B3668" s="463"/>
      <c r="C3668" s="463"/>
    </row>
    <row r="3669" spans="2:3" x14ac:dyDescent="0.25">
      <c r="B3669" s="463"/>
      <c r="C3669" s="463"/>
    </row>
    <row r="3670" spans="2:3" x14ac:dyDescent="0.25">
      <c r="B3670" s="463"/>
      <c r="C3670" s="463"/>
    </row>
    <row r="3671" spans="2:3" x14ac:dyDescent="0.25">
      <c r="B3671" s="463"/>
      <c r="C3671" s="463"/>
    </row>
    <row r="3672" spans="2:3" x14ac:dyDescent="0.25">
      <c r="B3672" s="463"/>
      <c r="C3672" s="463"/>
    </row>
    <row r="3673" spans="2:3" x14ac:dyDescent="0.25">
      <c r="B3673" s="463"/>
      <c r="C3673" s="463"/>
    </row>
    <row r="3674" spans="2:3" x14ac:dyDescent="0.25">
      <c r="B3674" s="463"/>
      <c r="C3674" s="463"/>
    </row>
    <row r="3675" spans="2:3" x14ac:dyDescent="0.25">
      <c r="B3675" s="463"/>
      <c r="C3675" s="463"/>
    </row>
    <row r="3676" spans="2:3" x14ac:dyDescent="0.25">
      <c r="B3676" s="463"/>
      <c r="C3676" s="463"/>
    </row>
    <row r="3677" spans="2:3" x14ac:dyDescent="0.25">
      <c r="B3677" s="463"/>
      <c r="C3677" s="463"/>
    </row>
    <row r="3678" spans="2:3" x14ac:dyDescent="0.25">
      <c r="B3678" s="463"/>
      <c r="C3678" s="463"/>
    </row>
    <row r="3679" spans="2:3" x14ac:dyDescent="0.25">
      <c r="B3679" s="463"/>
      <c r="C3679" s="463"/>
    </row>
    <row r="3680" spans="2:3" x14ac:dyDescent="0.25">
      <c r="B3680" s="463"/>
      <c r="C3680" s="463"/>
    </row>
    <row r="3681" spans="2:3" x14ac:dyDescent="0.25">
      <c r="B3681" s="463"/>
      <c r="C3681" s="463"/>
    </row>
    <row r="3682" spans="2:3" x14ac:dyDescent="0.25">
      <c r="B3682" s="463"/>
      <c r="C3682" s="463"/>
    </row>
    <row r="3683" spans="2:3" x14ac:dyDescent="0.25">
      <c r="B3683" s="463"/>
      <c r="C3683" s="463"/>
    </row>
    <row r="3684" spans="2:3" x14ac:dyDescent="0.25">
      <c r="B3684" s="463"/>
      <c r="C3684" s="463"/>
    </row>
    <row r="3685" spans="2:3" x14ac:dyDescent="0.25">
      <c r="B3685" s="463"/>
      <c r="C3685" s="463"/>
    </row>
    <row r="3686" spans="2:3" x14ac:dyDescent="0.25">
      <c r="B3686" s="463"/>
      <c r="C3686" s="463"/>
    </row>
    <row r="3687" spans="2:3" x14ac:dyDescent="0.25">
      <c r="B3687" s="463"/>
      <c r="C3687" s="463"/>
    </row>
    <row r="3688" spans="2:3" x14ac:dyDescent="0.25">
      <c r="B3688" s="463"/>
      <c r="C3688" s="463"/>
    </row>
    <row r="3689" spans="2:3" x14ac:dyDescent="0.25">
      <c r="B3689" s="463"/>
      <c r="C3689" s="463"/>
    </row>
    <row r="3690" spans="2:3" x14ac:dyDescent="0.25">
      <c r="B3690" s="463"/>
      <c r="C3690" s="463"/>
    </row>
    <row r="3691" spans="2:3" x14ac:dyDescent="0.25">
      <c r="B3691" s="463"/>
      <c r="C3691" s="463"/>
    </row>
    <row r="3692" spans="2:3" x14ac:dyDescent="0.25">
      <c r="B3692" s="463"/>
      <c r="C3692" s="463"/>
    </row>
    <row r="3693" spans="2:3" x14ac:dyDescent="0.25">
      <c r="B3693" s="463"/>
      <c r="C3693" s="463"/>
    </row>
    <row r="3694" spans="2:3" x14ac:dyDescent="0.25">
      <c r="B3694" s="463"/>
      <c r="C3694" s="463"/>
    </row>
    <row r="3695" spans="2:3" x14ac:dyDescent="0.25">
      <c r="B3695" s="463"/>
      <c r="C3695" s="463"/>
    </row>
    <row r="3696" spans="2:3" x14ac:dyDescent="0.25">
      <c r="B3696" s="463"/>
      <c r="C3696" s="463"/>
    </row>
    <row r="3697" spans="2:3" x14ac:dyDescent="0.25">
      <c r="B3697" s="463"/>
      <c r="C3697" s="463"/>
    </row>
    <row r="3698" spans="2:3" x14ac:dyDescent="0.25">
      <c r="B3698" s="463"/>
      <c r="C3698" s="463"/>
    </row>
    <row r="3699" spans="2:3" x14ac:dyDescent="0.25">
      <c r="B3699" s="463"/>
      <c r="C3699" s="463"/>
    </row>
    <row r="3700" spans="2:3" x14ac:dyDescent="0.25">
      <c r="B3700" s="463"/>
      <c r="C3700" s="463"/>
    </row>
    <row r="3701" spans="2:3" x14ac:dyDescent="0.25">
      <c r="B3701" s="463"/>
      <c r="C3701" s="463"/>
    </row>
    <row r="3702" spans="2:3" x14ac:dyDescent="0.25">
      <c r="B3702" s="463"/>
      <c r="C3702" s="463"/>
    </row>
    <row r="3703" spans="2:3" x14ac:dyDescent="0.25">
      <c r="B3703" s="463"/>
      <c r="C3703" s="463"/>
    </row>
    <row r="3704" spans="2:3" x14ac:dyDescent="0.25">
      <c r="B3704" s="463"/>
      <c r="C3704" s="463"/>
    </row>
    <row r="3705" spans="2:3" x14ac:dyDescent="0.25">
      <c r="B3705" s="463"/>
      <c r="C3705" s="463"/>
    </row>
    <row r="3706" spans="2:3" x14ac:dyDescent="0.25">
      <c r="B3706" s="463"/>
      <c r="C3706" s="463"/>
    </row>
    <row r="3707" spans="2:3" x14ac:dyDescent="0.25">
      <c r="B3707" s="463"/>
      <c r="C3707" s="463"/>
    </row>
    <row r="3708" spans="2:3" x14ac:dyDescent="0.25">
      <c r="B3708" s="463"/>
      <c r="C3708" s="463"/>
    </row>
    <row r="3709" spans="2:3" x14ac:dyDescent="0.25">
      <c r="B3709" s="463"/>
      <c r="C3709" s="463"/>
    </row>
    <row r="3710" spans="2:3" x14ac:dyDescent="0.25">
      <c r="B3710" s="463"/>
      <c r="C3710" s="463"/>
    </row>
    <row r="3711" spans="2:3" x14ac:dyDescent="0.25">
      <c r="B3711" s="463"/>
      <c r="C3711" s="463"/>
    </row>
    <row r="3712" spans="2:3" x14ac:dyDescent="0.25">
      <c r="B3712" s="463"/>
      <c r="C3712" s="463"/>
    </row>
    <row r="3713" spans="2:3" x14ac:dyDescent="0.25">
      <c r="B3713" s="463"/>
      <c r="C3713" s="463"/>
    </row>
    <row r="3714" spans="2:3" x14ac:dyDescent="0.25">
      <c r="B3714" s="463"/>
      <c r="C3714" s="463"/>
    </row>
    <row r="3715" spans="2:3" x14ac:dyDescent="0.25">
      <c r="B3715" s="463"/>
      <c r="C3715" s="463"/>
    </row>
    <row r="3716" spans="2:3" x14ac:dyDescent="0.25">
      <c r="B3716" s="463"/>
      <c r="C3716" s="463"/>
    </row>
    <row r="3717" spans="2:3" x14ac:dyDescent="0.25">
      <c r="B3717" s="463"/>
      <c r="C3717" s="463"/>
    </row>
    <row r="3718" spans="2:3" x14ac:dyDescent="0.25">
      <c r="B3718" s="463"/>
      <c r="C3718" s="463"/>
    </row>
    <row r="3719" spans="2:3" x14ac:dyDescent="0.25">
      <c r="B3719" s="463"/>
      <c r="C3719" s="463"/>
    </row>
    <row r="3720" spans="2:3" x14ac:dyDescent="0.25">
      <c r="B3720" s="463"/>
      <c r="C3720" s="463"/>
    </row>
    <row r="3721" spans="2:3" x14ac:dyDescent="0.25">
      <c r="B3721" s="463"/>
      <c r="C3721" s="463"/>
    </row>
    <row r="3722" spans="2:3" x14ac:dyDescent="0.25">
      <c r="B3722" s="463"/>
      <c r="C3722" s="463"/>
    </row>
    <row r="3723" spans="2:3" x14ac:dyDescent="0.25">
      <c r="B3723" s="463"/>
      <c r="C3723" s="463"/>
    </row>
    <row r="3724" spans="2:3" x14ac:dyDescent="0.25">
      <c r="B3724" s="463"/>
      <c r="C3724" s="463"/>
    </row>
    <row r="3725" spans="2:3" x14ac:dyDescent="0.25">
      <c r="B3725" s="463"/>
      <c r="C3725" s="463"/>
    </row>
    <row r="3726" spans="2:3" x14ac:dyDescent="0.25">
      <c r="B3726" s="463"/>
      <c r="C3726" s="463"/>
    </row>
    <row r="3727" spans="2:3" x14ac:dyDescent="0.25">
      <c r="B3727" s="463"/>
      <c r="C3727" s="463"/>
    </row>
    <row r="3728" spans="2:3" x14ac:dyDescent="0.25">
      <c r="B3728" s="463"/>
      <c r="C3728" s="463"/>
    </row>
    <row r="3729" spans="2:3" x14ac:dyDescent="0.25">
      <c r="B3729" s="463"/>
      <c r="C3729" s="463"/>
    </row>
    <row r="3730" spans="2:3" x14ac:dyDescent="0.25">
      <c r="B3730" s="463"/>
      <c r="C3730" s="463"/>
    </row>
    <row r="3731" spans="2:3" x14ac:dyDescent="0.25">
      <c r="B3731" s="463"/>
      <c r="C3731" s="463"/>
    </row>
    <row r="3732" spans="2:3" x14ac:dyDescent="0.25">
      <c r="B3732" s="463"/>
      <c r="C3732" s="463"/>
    </row>
    <row r="3733" spans="2:3" x14ac:dyDescent="0.25">
      <c r="B3733" s="463"/>
      <c r="C3733" s="463"/>
    </row>
    <row r="3734" spans="2:3" x14ac:dyDescent="0.25">
      <c r="B3734" s="463"/>
      <c r="C3734" s="463"/>
    </row>
    <row r="3735" spans="2:3" x14ac:dyDescent="0.25">
      <c r="B3735" s="463"/>
      <c r="C3735" s="463"/>
    </row>
    <row r="3736" spans="2:3" x14ac:dyDescent="0.25">
      <c r="B3736" s="463"/>
      <c r="C3736" s="463"/>
    </row>
    <row r="3737" spans="2:3" x14ac:dyDescent="0.25">
      <c r="B3737" s="463"/>
      <c r="C3737" s="463"/>
    </row>
    <row r="3738" spans="2:3" x14ac:dyDescent="0.25">
      <c r="B3738" s="463"/>
      <c r="C3738" s="463"/>
    </row>
    <row r="3739" spans="2:3" x14ac:dyDescent="0.25">
      <c r="B3739" s="463"/>
      <c r="C3739" s="463"/>
    </row>
    <row r="3740" spans="2:3" x14ac:dyDescent="0.25">
      <c r="B3740" s="463"/>
      <c r="C3740" s="463"/>
    </row>
    <row r="3741" spans="2:3" x14ac:dyDescent="0.25">
      <c r="B3741" s="463"/>
      <c r="C3741" s="463"/>
    </row>
    <row r="3742" spans="2:3" x14ac:dyDescent="0.25">
      <c r="B3742" s="463"/>
      <c r="C3742" s="463"/>
    </row>
    <row r="3743" spans="2:3" x14ac:dyDescent="0.25">
      <c r="B3743" s="463"/>
      <c r="C3743" s="463"/>
    </row>
    <row r="3744" spans="2:3" x14ac:dyDescent="0.25">
      <c r="B3744" s="463"/>
      <c r="C3744" s="463"/>
    </row>
    <row r="3745" spans="2:3" x14ac:dyDescent="0.25">
      <c r="B3745" s="463"/>
      <c r="C3745" s="463"/>
    </row>
    <row r="3746" spans="2:3" x14ac:dyDescent="0.25">
      <c r="B3746" s="463"/>
      <c r="C3746" s="463"/>
    </row>
    <row r="3747" spans="2:3" x14ac:dyDescent="0.25">
      <c r="B3747" s="463"/>
      <c r="C3747" s="463"/>
    </row>
    <row r="3748" spans="2:3" x14ac:dyDescent="0.25">
      <c r="B3748" s="463"/>
      <c r="C3748" s="463"/>
    </row>
    <row r="3749" spans="2:3" x14ac:dyDescent="0.25">
      <c r="B3749" s="463"/>
      <c r="C3749" s="463"/>
    </row>
    <row r="3750" spans="2:3" x14ac:dyDescent="0.25">
      <c r="B3750" s="463"/>
      <c r="C3750" s="463"/>
    </row>
    <row r="3751" spans="2:3" x14ac:dyDescent="0.25">
      <c r="B3751" s="463"/>
      <c r="C3751" s="463"/>
    </row>
    <row r="3752" spans="2:3" x14ac:dyDescent="0.25">
      <c r="B3752" s="463"/>
      <c r="C3752" s="463"/>
    </row>
    <row r="3753" spans="2:3" x14ac:dyDescent="0.25">
      <c r="B3753" s="463"/>
      <c r="C3753" s="463"/>
    </row>
    <row r="3754" spans="2:3" x14ac:dyDescent="0.25">
      <c r="B3754" s="463"/>
      <c r="C3754" s="463"/>
    </row>
    <row r="3755" spans="2:3" x14ac:dyDescent="0.25">
      <c r="B3755" s="463"/>
      <c r="C3755" s="463"/>
    </row>
    <row r="3756" spans="2:3" x14ac:dyDescent="0.25">
      <c r="B3756" s="463"/>
      <c r="C3756" s="463"/>
    </row>
    <row r="3757" spans="2:3" x14ac:dyDescent="0.25">
      <c r="B3757" s="463"/>
      <c r="C3757" s="463"/>
    </row>
    <row r="3758" spans="2:3" x14ac:dyDescent="0.25">
      <c r="B3758" s="463"/>
      <c r="C3758" s="463"/>
    </row>
    <row r="3759" spans="2:3" x14ac:dyDescent="0.25">
      <c r="B3759" s="463"/>
      <c r="C3759" s="463"/>
    </row>
    <row r="3760" spans="2:3" x14ac:dyDescent="0.25">
      <c r="B3760" s="463"/>
      <c r="C3760" s="463"/>
    </row>
    <row r="3761" spans="2:3" x14ac:dyDescent="0.25">
      <c r="B3761" s="463"/>
      <c r="C3761" s="463"/>
    </row>
    <row r="3762" spans="2:3" x14ac:dyDescent="0.25">
      <c r="B3762" s="463"/>
      <c r="C3762" s="463"/>
    </row>
    <row r="3763" spans="2:3" x14ac:dyDescent="0.25">
      <c r="B3763" s="463"/>
      <c r="C3763" s="463"/>
    </row>
    <row r="3764" spans="2:3" x14ac:dyDescent="0.25">
      <c r="B3764" s="463"/>
      <c r="C3764" s="463"/>
    </row>
    <row r="3765" spans="2:3" x14ac:dyDescent="0.25">
      <c r="B3765" s="463"/>
      <c r="C3765" s="463"/>
    </row>
    <row r="3766" spans="2:3" x14ac:dyDescent="0.25">
      <c r="B3766" s="463"/>
      <c r="C3766" s="463"/>
    </row>
    <row r="3767" spans="2:3" x14ac:dyDescent="0.25">
      <c r="B3767" s="463"/>
      <c r="C3767" s="463"/>
    </row>
    <row r="3768" spans="2:3" x14ac:dyDescent="0.25">
      <c r="B3768" s="463"/>
      <c r="C3768" s="463"/>
    </row>
    <row r="3769" spans="2:3" x14ac:dyDescent="0.25">
      <c r="B3769" s="463"/>
      <c r="C3769" s="463"/>
    </row>
    <row r="3770" spans="2:3" x14ac:dyDescent="0.25">
      <c r="B3770" s="463"/>
      <c r="C3770" s="463"/>
    </row>
    <row r="3771" spans="2:3" x14ac:dyDescent="0.25">
      <c r="B3771" s="463"/>
      <c r="C3771" s="463"/>
    </row>
    <row r="3772" spans="2:3" x14ac:dyDescent="0.25">
      <c r="B3772" s="463"/>
      <c r="C3772" s="463"/>
    </row>
    <row r="3773" spans="2:3" x14ac:dyDescent="0.25">
      <c r="B3773" s="463"/>
      <c r="C3773" s="463"/>
    </row>
    <row r="3774" spans="2:3" x14ac:dyDescent="0.25">
      <c r="B3774" s="463"/>
      <c r="C3774" s="463"/>
    </row>
    <row r="3775" spans="2:3" x14ac:dyDescent="0.25">
      <c r="B3775" s="463"/>
      <c r="C3775" s="463"/>
    </row>
    <row r="3776" spans="2:3" x14ac:dyDescent="0.25">
      <c r="B3776" s="463"/>
      <c r="C3776" s="463"/>
    </row>
    <row r="3777" spans="2:3" x14ac:dyDescent="0.25">
      <c r="B3777" s="463"/>
      <c r="C3777" s="463"/>
    </row>
    <row r="3778" spans="2:3" x14ac:dyDescent="0.25">
      <c r="B3778" s="463"/>
      <c r="C3778" s="463"/>
    </row>
    <row r="3779" spans="2:3" x14ac:dyDescent="0.25">
      <c r="B3779" s="463"/>
      <c r="C3779" s="463"/>
    </row>
    <row r="3780" spans="2:3" x14ac:dyDescent="0.25">
      <c r="B3780" s="463"/>
      <c r="C3780" s="463"/>
    </row>
    <row r="3781" spans="2:3" x14ac:dyDescent="0.25">
      <c r="B3781" s="463"/>
      <c r="C3781" s="463"/>
    </row>
    <row r="3782" spans="2:3" x14ac:dyDescent="0.25">
      <c r="B3782" s="463"/>
      <c r="C3782" s="463"/>
    </row>
    <row r="3783" spans="2:3" x14ac:dyDescent="0.25">
      <c r="B3783" s="463"/>
      <c r="C3783" s="463"/>
    </row>
    <row r="3784" spans="2:3" x14ac:dyDescent="0.25">
      <c r="B3784" s="463"/>
      <c r="C3784" s="463"/>
    </row>
    <row r="3785" spans="2:3" x14ac:dyDescent="0.25">
      <c r="B3785" s="463"/>
      <c r="C3785" s="463"/>
    </row>
    <row r="3786" spans="2:3" x14ac:dyDescent="0.25">
      <c r="B3786" s="463"/>
      <c r="C3786" s="463"/>
    </row>
    <row r="3787" spans="2:3" x14ac:dyDescent="0.25">
      <c r="B3787" s="463"/>
      <c r="C3787" s="463"/>
    </row>
    <row r="3788" spans="2:3" x14ac:dyDescent="0.25">
      <c r="B3788" s="463"/>
      <c r="C3788" s="463"/>
    </row>
    <row r="3789" spans="2:3" x14ac:dyDescent="0.25">
      <c r="B3789" s="463"/>
      <c r="C3789" s="463"/>
    </row>
    <row r="3790" spans="2:3" x14ac:dyDescent="0.25">
      <c r="B3790" s="463"/>
      <c r="C3790" s="463"/>
    </row>
    <row r="3791" spans="2:3" x14ac:dyDescent="0.25">
      <c r="B3791" s="463"/>
      <c r="C3791" s="463"/>
    </row>
    <row r="3792" spans="2:3" x14ac:dyDescent="0.25">
      <c r="B3792" s="463"/>
      <c r="C3792" s="463"/>
    </row>
    <row r="3793" spans="2:3" x14ac:dyDescent="0.25">
      <c r="B3793" s="463"/>
      <c r="C3793" s="463"/>
    </row>
    <row r="3794" spans="2:3" x14ac:dyDescent="0.25">
      <c r="B3794" s="463"/>
      <c r="C3794" s="463"/>
    </row>
    <row r="3795" spans="2:3" x14ac:dyDescent="0.25">
      <c r="B3795" s="463"/>
      <c r="C3795" s="463"/>
    </row>
    <row r="3796" spans="2:3" x14ac:dyDescent="0.25">
      <c r="B3796" s="463"/>
      <c r="C3796" s="463"/>
    </row>
    <row r="3797" spans="2:3" x14ac:dyDescent="0.25">
      <c r="B3797" s="463"/>
      <c r="C3797" s="463"/>
    </row>
    <row r="3798" spans="2:3" x14ac:dyDescent="0.25">
      <c r="B3798" s="463"/>
      <c r="C3798" s="463"/>
    </row>
    <row r="3799" spans="2:3" x14ac:dyDescent="0.25">
      <c r="B3799" s="463"/>
      <c r="C3799" s="463"/>
    </row>
    <row r="3800" spans="2:3" x14ac:dyDescent="0.25">
      <c r="B3800" s="463"/>
      <c r="C3800" s="463"/>
    </row>
    <row r="3801" spans="2:3" x14ac:dyDescent="0.25">
      <c r="B3801" s="463"/>
      <c r="C3801" s="463"/>
    </row>
    <row r="3802" spans="2:3" x14ac:dyDescent="0.25">
      <c r="B3802" s="463"/>
      <c r="C3802" s="463"/>
    </row>
    <row r="3803" spans="2:3" x14ac:dyDescent="0.25">
      <c r="B3803" s="463"/>
      <c r="C3803" s="463"/>
    </row>
    <row r="3804" spans="2:3" x14ac:dyDescent="0.25">
      <c r="B3804" s="463"/>
      <c r="C3804" s="463"/>
    </row>
    <row r="3805" spans="2:3" x14ac:dyDescent="0.25">
      <c r="B3805" s="463"/>
      <c r="C3805" s="463"/>
    </row>
    <row r="3806" spans="2:3" x14ac:dyDescent="0.25">
      <c r="B3806" s="463"/>
      <c r="C3806" s="463"/>
    </row>
    <row r="3807" spans="2:3" x14ac:dyDescent="0.25">
      <c r="B3807" s="463"/>
      <c r="C3807" s="463"/>
    </row>
    <row r="3808" spans="2:3" x14ac:dyDescent="0.25">
      <c r="B3808" s="463"/>
      <c r="C3808" s="463"/>
    </row>
    <row r="3809" spans="2:3" x14ac:dyDescent="0.25">
      <c r="B3809" s="463"/>
      <c r="C3809" s="463"/>
    </row>
    <row r="3810" spans="2:3" x14ac:dyDescent="0.25">
      <c r="B3810" s="463"/>
      <c r="C3810" s="463"/>
    </row>
    <row r="3811" spans="2:3" x14ac:dyDescent="0.25">
      <c r="B3811" s="463"/>
      <c r="C3811" s="463"/>
    </row>
    <row r="3812" spans="2:3" x14ac:dyDescent="0.25">
      <c r="B3812" s="463"/>
      <c r="C3812" s="463"/>
    </row>
    <row r="3813" spans="2:3" x14ac:dyDescent="0.25">
      <c r="B3813" s="463"/>
      <c r="C3813" s="463"/>
    </row>
    <row r="3814" spans="2:3" x14ac:dyDescent="0.25">
      <c r="B3814" s="463"/>
      <c r="C3814" s="463"/>
    </row>
    <row r="3815" spans="2:3" x14ac:dyDescent="0.25">
      <c r="B3815" s="463"/>
      <c r="C3815" s="463"/>
    </row>
    <row r="3816" spans="2:3" x14ac:dyDescent="0.25">
      <c r="B3816" s="463"/>
      <c r="C3816" s="463"/>
    </row>
    <row r="3817" spans="2:3" x14ac:dyDescent="0.25">
      <c r="B3817" s="463"/>
      <c r="C3817" s="463"/>
    </row>
    <row r="3818" spans="2:3" x14ac:dyDescent="0.25">
      <c r="B3818" s="463"/>
      <c r="C3818" s="463"/>
    </row>
    <row r="3819" spans="2:3" x14ac:dyDescent="0.25">
      <c r="B3819" s="463"/>
      <c r="C3819" s="463"/>
    </row>
    <row r="3820" spans="2:3" x14ac:dyDescent="0.25">
      <c r="B3820" s="463"/>
      <c r="C3820" s="463"/>
    </row>
    <row r="3821" spans="2:3" x14ac:dyDescent="0.25">
      <c r="B3821" s="463"/>
      <c r="C3821" s="463"/>
    </row>
    <row r="3822" spans="2:3" x14ac:dyDescent="0.25">
      <c r="B3822" s="463"/>
      <c r="C3822" s="463"/>
    </row>
    <row r="3823" spans="2:3" x14ac:dyDescent="0.25">
      <c r="B3823" s="463"/>
      <c r="C3823" s="463"/>
    </row>
    <row r="3824" spans="2:3" x14ac:dyDescent="0.25">
      <c r="B3824" s="463"/>
      <c r="C3824" s="463"/>
    </row>
    <row r="3825" spans="2:3" x14ac:dyDescent="0.25">
      <c r="B3825" s="463"/>
      <c r="C3825" s="463"/>
    </row>
    <row r="3826" spans="2:3" x14ac:dyDescent="0.25">
      <c r="B3826" s="463"/>
      <c r="C3826" s="463"/>
    </row>
    <row r="3827" spans="2:3" x14ac:dyDescent="0.25">
      <c r="B3827" s="463"/>
      <c r="C3827" s="463"/>
    </row>
    <row r="3828" spans="2:3" x14ac:dyDescent="0.25">
      <c r="B3828" s="463"/>
      <c r="C3828" s="463"/>
    </row>
    <row r="3829" spans="2:3" x14ac:dyDescent="0.25">
      <c r="B3829" s="463"/>
      <c r="C3829" s="463"/>
    </row>
    <row r="3830" spans="2:3" x14ac:dyDescent="0.25">
      <c r="B3830" s="463"/>
      <c r="C3830" s="463"/>
    </row>
    <row r="3831" spans="2:3" x14ac:dyDescent="0.25">
      <c r="B3831" s="463"/>
      <c r="C3831" s="463"/>
    </row>
    <row r="3832" spans="2:3" x14ac:dyDescent="0.25">
      <c r="B3832" s="463"/>
      <c r="C3832" s="463"/>
    </row>
    <row r="3833" spans="2:3" x14ac:dyDescent="0.25">
      <c r="B3833" s="463"/>
      <c r="C3833" s="463"/>
    </row>
    <row r="3834" spans="2:3" x14ac:dyDescent="0.25">
      <c r="B3834" s="463"/>
      <c r="C3834" s="463"/>
    </row>
    <row r="3835" spans="2:3" x14ac:dyDescent="0.25">
      <c r="B3835" s="463"/>
      <c r="C3835" s="463"/>
    </row>
    <row r="3836" spans="2:3" x14ac:dyDescent="0.25">
      <c r="B3836" s="463"/>
      <c r="C3836" s="463"/>
    </row>
    <row r="3837" spans="2:3" x14ac:dyDescent="0.25">
      <c r="B3837" s="463"/>
      <c r="C3837" s="463"/>
    </row>
    <row r="3838" spans="2:3" x14ac:dyDescent="0.25">
      <c r="B3838" s="463"/>
      <c r="C3838" s="463"/>
    </row>
    <row r="3839" spans="2:3" x14ac:dyDescent="0.25">
      <c r="B3839" s="463"/>
      <c r="C3839" s="463"/>
    </row>
    <row r="3840" spans="2:3" x14ac:dyDescent="0.25">
      <c r="B3840" s="463"/>
      <c r="C3840" s="463"/>
    </row>
    <row r="3841" spans="2:3" x14ac:dyDescent="0.25">
      <c r="B3841" s="463"/>
      <c r="C3841" s="463"/>
    </row>
    <row r="3842" spans="2:3" x14ac:dyDescent="0.25">
      <c r="B3842" s="463"/>
      <c r="C3842" s="463"/>
    </row>
    <row r="3843" spans="2:3" x14ac:dyDescent="0.25">
      <c r="B3843" s="463"/>
      <c r="C3843" s="463"/>
    </row>
    <row r="3844" spans="2:3" x14ac:dyDescent="0.25">
      <c r="B3844" s="463"/>
      <c r="C3844" s="463"/>
    </row>
    <row r="3845" spans="2:3" x14ac:dyDescent="0.25">
      <c r="B3845" s="463"/>
      <c r="C3845" s="463"/>
    </row>
    <row r="3846" spans="2:3" x14ac:dyDescent="0.25">
      <c r="B3846" s="463"/>
      <c r="C3846" s="463"/>
    </row>
    <row r="3847" spans="2:3" x14ac:dyDescent="0.25">
      <c r="B3847" s="463"/>
      <c r="C3847" s="463"/>
    </row>
    <row r="3848" spans="2:3" x14ac:dyDescent="0.25">
      <c r="B3848" s="463"/>
      <c r="C3848" s="463"/>
    </row>
    <row r="3849" spans="2:3" x14ac:dyDescent="0.25">
      <c r="B3849" s="463"/>
      <c r="C3849" s="463"/>
    </row>
    <row r="3850" spans="2:3" x14ac:dyDescent="0.25">
      <c r="B3850" s="463"/>
      <c r="C3850" s="463"/>
    </row>
    <row r="3851" spans="2:3" x14ac:dyDescent="0.25">
      <c r="B3851" s="463"/>
      <c r="C3851" s="463"/>
    </row>
    <row r="3852" spans="2:3" x14ac:dyDescent="0.25">
      <c r="B3852" s="463"/>
      <c r="C3852" s="463"/>
    </row>
    <row r="3853" spans="2:3" x14ac:dyDescent="0.25">
      <c r="B3853" s="463"/>
      <c r="C3853" s="463"/>
    </row>
    <row r="3854" spans="2:3" x14ac:dyDescent="0.25">
      <c r="B3854" s="463"/>
      <c r="C3854" s="463"/>
    </row>
    <row r="3855" spans="2:3" x14ac:dyDescent="0.25">
      <c r="B3855" s="463"/>
      <c r="C3855" s="463"/>
    </row>
    <row r="3856" spans="2:3" x14ac:dyDescent="0.25">
      <c r="B3856" s="463"/>
      <c r="C3856" s="463"/>
    </row>
    <row r="3857" spans="2:3" x14ac:dyDescent="0.25">
      <c r="B3857" s="463"/>
      <c r="C3857" s="463"/>
    </row>
    <row r="3858" spans="2:3" x14ac:dyDescent="0.25">
      <c r="B3858" s="463"/>
      <c r="C3858" s="463"/>
    </row>
    <row r="3859" spans="2:3" x14ac:dyDescent="0.25">
      <c r="B3859" s="463"/>
      <c r="C3859" s="463"/>
    </row>
    <row r="3860" spans="2:3" x14ac:dyDescent="0.25">
      <c r="B3860" s="463"/>
      <c r="C3860" s="463"/>
    </row>
    <row r="3861" spans="2:3" x14ac:dyDescent="0.25">
      <c r="B3861" s="463"/>
      <c r="C3861" s="463"/>
    </row>
    <row r="3862" spans="2:3" x14ac:dyDescent="0.25">
      <c r="B3862" s="463"/>
      <c r="C3862" s="463"/>
    </row>
    <row r="3863" spans="2:3" x14ac:dyDescent="0.25">
      <c r="B3863" s="463"/>
      <c r="C3863" s="463"/>
    </row>
    <row r="3864" spans="2:3" x14ac:dyDescent="0.25">
      <c r="B3864" s="463"/>
      <c r="C3864" s="463"/>
    </row>
    <row r="3865" spans="2:3" x14ac:dyDescent="0.25">
      <c r="B3865" s="463"/>
      <c r="C3865" s="463"/>
    </row>
    <row r="3866" spans="2:3" x14ac:dyDescent="0.25">
      <c r="B3866" s="463"/>
      <c r="C3866" s="463"/>
    </row>
    <row r="3867" spans="2:3" x14ac:dyDescent="0.25">
      <c r="B3867" s="463"/>
      <c r="C3867" s="463"/>
    </row>
    <row r="3868" spans="2:3" x14ac:dyDescent="0.25">
      <c r="B3868" s="463"/>
      <c r="C3868" s="463"/>
    </row>
    <row r="3869" spans="2:3" x14ac:dyDescent="0.25">
      <c r="B3869" s="463"/>
      <c r="C3869" s="463"/>
    </row>
    <row r="3870" spans="2:3" x14ac:dyDescent="0.25">
      <c r="B3870" s="463"/>
      <c r="C3870" s="463"/>
    </row>
    <row r="3871" spans="2:3" x14ac:dyDescent="0.25">
      <c r="B3871" s="463"/>
      <c r="C3871" s="463"/>
    </row>
    <row r="3872" spans="2:3" x14ac:dyDescent="0.25">
      <c r="B3872" s="463"/>
      <c r="C3872" s="463"/>
    </row>
    <row r="3873" spans="2:3" x14ac:dyDescent="0.25">
      <c r="B3873" s="463"/>
      <c r="C3873" s="463"/>
    </row>
    <row r="3874" spans="2:3" x14ac:dyDescent="0.25">
      <c r="B3874" s="463"/>
      <c r="C3874" s="463"/>
    </row>
    <row r="3875" spans="2:3" x14ac:dyDescent="0.25">
      <c r="B3875" s="463"/>
      <c r="C3875" s="463"/>
    </row>
    <row r="3876" spans="2:3" x14ac:dyDescent="0.25">
      <c r="B3876" s="463"/>
      <c r="C3876" s="463"/>
    </row>
    <row r="3877" spans="2:3" x14ac:dyDescent="0.25">
      <c r="B3877" s="463"/>
      <c r="C3877" s="463"/>
    </row>
    <row r="3878" spans="2:3" x14ac:dyDescent="0.25">
      <c r="B3878" s="463"/>
      <c r="C3878" s="463"/>
    </row>
    <row r="3879" spans="2:3" x14ac:dyDescent="0.25">
      <c r="B3879" s="463"/>
      <c r="C3879" s="463"/>
    </row>
    <row r="3880" spans="2:3" x14ac:dyDescent="0.25">
      <c r="B3880" s="463"/>
      <c r="C3880" s="463"/>
    </row>
    <row r="3881" spans="2:3" x14ac:dyDescent="0.25">
      <c r="B3881" s="463"/>
      <c r="C3881" s="463"/>
    </row>
    <row r="3882" spans="2:3" x14ac:dyDescent="0.25">
      <c r="B3882" s="463"/>
      <c r="C3882" s="463"/>
    </row>
    <row r="3883" spans="2:3" x14ac:dyDescent="0.25">
      <c r="B3883" s="463"/>
      <c r="C3883" s="463"/>
    </row>
    <row r="3884" spans="2:3" x14ac:dyDescent="0.25">
      <c r="B3884" s="463"/>
      <c r="C3884" s="463"/>
    </row>
    <row r="3885" spans="2:3" x14ac:dyDescent="0.25">
      <c r="B3885" s="463"/>
      <c r="C3885" s="463"/>
    </row>
    <row r="3886" spans="2:3" x14ac:dyDescent="0.25">
      <c r="B3886" s="463"/>
      <c r="C3886" s="463"/>
    </row>
    <row r="3887" spans="2:3" x14ac:dyDescent="0.25">
      <c r="B3887" s="463"/>
      <c r="C3887" s="463"/>
    </row>
    <row r="3888" spans="2:3" x14ac:dyDescent="0.25">
      <c r="B3888" s="463"/>
      <c r="C3888" s="463"/>
    </row>
    <row r="3889" spans="2:3" x14ac:dyDescent="0.25">
      <c r="B3889" s="463"/>
      <c r="C3889" s="463"/>
    </row>
    <row r="3890" spans="2:3" x14ac:dyDescent="0.25">
      <c r="B3890" s="463"/>
      <c r="C3890" s="463"/>
    </row>
    <row r="3891" spans="2:3" x14ac:dyDescent="0.25">
      <c r="B3891" s="463"/>
      <c r="C3891" s="463"/>
    </row>
    <row r="3892" spans="2:3" x14ac:dyDescent="0.25">
      <c r="B3892" s="463"/>
      <c r="C3892" s="463"/>
    </row>
    <row r="3893" spans="2:3" x14ac:dyDescent="0.25">
      <c r="B3893" s="463"/>
      <c r="C3893" s="463"/>
    </row>
    <row r="3894" spans="2:3" x14ac:dyDescent="0.25">
      <c r="B3894" s="463"/>
      <c r="C3894" s="463"/>
    </row>
    <row r="3895" spans="2:3" x14ac:dyDescent="0.25">
      <c r="B3895" s="463"/>
      <c r="C3895" s="463"/>
    </row>
    <row r="3896" spans="2:3" x14ac:dyDescent="0.25">
      <c r="B3896" s="463"/>
      <c r="C3896" s="463"/>
    </row>
    <row r="3897" spans="2:3" x14ac:dyDescent="0.25">
      <c r="B3897" s="463"/>
      <c r="C3897" s="463"/>
    </row>
    <row r="3898" spans="2:3" x14ac:dyDescent="0.25">
      <c r="B3898" s="463"/>
      <c r="C3898" s="463"/>
    </row>
    <row r="3899" spans="2:3" x14ac:dyDescent="0.25">
      <c r="B3899" s="463"/>
      <c r="C3899" s="463"/>
    </row>
    <row r="3900" spans="2:3" x14ac:dyDescent="0.25">
      <c r="B3900" s="463"/>
      <c r="C3900" s="463"/>
    </row>
    <row r="3901" spans="2:3" x14ac:dyDescent="0.25">
      <c r="B3901" s="463"/>
      <c r="C3901" s="463"/>
    </row>
    <row r="3902" spans="2:3" x14ac:dyDescent="0.25">
      <c r="B3902" s="463"/>
      <c r="C3902" s="463"/>
    </row>
    <row r="3903" spans="2:3" x14ac:dyDescent="0.25">
      <c r="B3903" s="463"/>
      <c r="C3903" s="463"/>
    </row>
    <row r="3904" spans="2:3" x14ac:dyDescent="0.25">
      <c r="B3904" s="463"/>
      <c r="C3904" s="463"/>
    </row>
    <row r="3905" spans="2:3" x14ac:dyDescent="0.25">
      <c r="B3905" s="463"/>
      <c r="C3905" s="463"/>
    </row>
    <row r="3906" spans="2:3" x14ac:dyDescent="0.25">
      <c r="B3906" s="463"/>
      <c r="C3906" s="463"/>
    </row>
    <row r="3907" spans="2:3" x14ac:dyDescent="0.25">
      <c r="B3907" s="463"/>
      <c r="C3907" s="463"/>
    </row>
    <row r="3908" spans="2:3" x14ac:dyDescent="0.25">
      <c r="B3908" s="463"/>
      <c r="C3908" s="463"/>
    </row>
    <row r="3909" spans="2:3" x14ac:dyDescent="0.25">
      <c r="B3909" s="463"/>
      <c r="C3909" s="463"/>
    </row>
    <row r="3910" spans="2:3" x14ac:dyDescent="0.25">
      <c r="B3910" s="463"/>
      <c r="C3910" s="463"/>
    </row>
    <row r="3911" spans="2:3" x14ac:dyDescent="0.25">
      <c r="B3911" s="463"/>
      <c r="C3911" s="463"/>
    </row>
    <row r="3912" spans="2:3" x14ac:dyDescent="0.25">
      <c r="B3912" s="463"/>
      <c r="C3912" s="463"/>
    </row>
    <row r="3913" spans="2:3" x14ac:dyDescent="0.25">
      <c r="B3913" s="463"/>
      <c r="C3913" s="463"/>
    </row>
    <row r="3914" spans="2:3" x14ac:dyDescent="0.25">
      <c r="B3914" s="463"/>
      <c r="C3914" s="463"/>
    </row>
    <row r="3915" spans="2:3" x14ac:dyDescent="0.25">
      <c r="B3915" s="463"/>
      <c r="C3915" s="463"/>
    </row>
    <row r="3916" spans="2:3" x14ac:dyDescent="0.25">
      <c r="B3916" s="463"/>
      <c r="C3916" s="463"/>
    </row>
    <row r="3917" spans="2:3" x14ac:dyDescent="0.25">
      <c r="B3917" s="463"/>
      <c r="C3917" s="463"/>
    </row>
    <row r="3918" spans="2:3" x14ac:dyDescent="0.25">
      <c r="B3918" s="463"/>
      <c r="C3918" s="463"/>
    </row>
    <row r="3919" spans="2:3" x14ac:dyDescent="0.25">
      <c r="B3919" s="463"/>
      <c r="C3919" s="463"/>
    </row>
    <row r="3920" spans="2:3" x14ac:dyDescent="0.25">
      <c r="B3920" s="463"/>
      <c r="C3920" s="463"/>
    </row>
    <row r="3921" spans="2:3" x14ac:dyDescent="0.25">
      <c r="B3921" s="463"/>
      <c r="C3921" s="463"/>
    </row>
    <row r="3922" spans="2:3" x14ac:dyDescent="0.25">
      <c r="B3922" s="463"/>
      <c r="C3922" s="463"/>
    </row>
    <row r="3923" spans="2:3" x14ac:dyDescent="0.25">
      <c r="B3923" s="463"/>
      <c r="C3923" s="463"/>
    </row>
    <row r="3924" spans="2:3" x14ac:dyDescent="0.25">
      <c r="B3924" s="463"/>
      <c r="C3924" s="463"/>
    </row>
    <row r="3925" spans="2:3" x14ac:dyDescent="0.25">
      <c r="B3925" s="463"/>
      <c r="C3925" s="463"/>
    </row>
    <row r="3926" spans="2:3" x14ac:dyDescent="0.25">
      <c r="B3926" s="463"/>
      <c r="C3926" s="463"/>
    </row>
    <row r="3927" spans="2:3" x14ac:dyDescent="0.25">
      <c r="B3927" s="463"/>
      <c r="C3927" s="463"/>
    </row>
    <row r="3928" spans="2:3" x14ac:dyDescent="0.25">
      <c r="B3928" s="463"/>
      <c r="C3928" s="463"/>
    </row>
    <row r="3929" spans="2:3" x14ac:dyDescent="0.25">
      <c r="B3929" s="463"/>
      <c r="C3929" s="463"/>
    </row>
    <row r="3930" spans="2:3" x14ac:dyDescent="0.25">
      <c r="B3930" s="463"/>
      <c r="C3930" s="463"/>
    </row>
    <row r="3931" spans="2:3" x14ac:dyDescent="0.25">
      <c r="B3931" s="463"/>
      <c r="C3931" s="463"/>
    </row>
    <row r="3932" spans="2:3" x14ac:dyDescent="0.25">
      <c r="B3932" s="463"/>
      <c r="C3932" s="463"/>
    </row>
    <row r="3933" spans="2:3" x14ac:dyDescent="0.25">
      <c r="B3933" s="463"/>
      <c r="C3933" s="463"/>
    </row>
    <row r="3934" spans="2:3" x14ac:dyDescent="0.25">
      <c r="B3934" s="463"/>
      <c r="C3934" s="463"/>
    </row>
    <row r="3935" spans="2:3" x14ac:dyDescent="0.25">
      <c r="B3935" s="463"/>
      <c r="C3935" s="463"/>
    </row>
    <row r="3936" spans="2:3" x14ac:dyDescent="0.25">
      <c r="B3936" s="463"/>
      <c r="C3936" s="463"/>
    </row>
    <row r="3937" spans="2:3" x14ac:dyDescent="0.25">
      <c r="B3937" s="463"/>
      <c r="C3937" s="463"/>
    </row>
    <row r="3938" spans="2:3" x14ac:dyDescent="0.25">
      <c r="B3938" s="463"/>
      <c r="C3938" s="463"/>
    </row>
    <row r="3939" spans="2:3" x14ac:dyDescent="0.25">
      <c r="B3939" s="463"/>
      <c r="C3939" s="463"/>
    </row>
    <row r="3940" spans="2:3" x14ac:dyDescent="0.25">
      <c r="B3940" s="463"/>
      <c r="C3940" s="463"/>
    </row>
    <row r="3941" spans="2:3" x14ac:dyDescent="0.25">
      <c r="B3941" s="463"/>
      <c r="C3941" s="463"/>
    </row>
    <row r="3942" spans="2:3" x14ac:dyDescent="0.25">
      <c r="B3942" s="463"/>
      <c r="C3942" s="463"/>
    </row>
    <row r="3943" spans="2:3" x14ac:dyDescent="0.25">
      <c r="B3943" s="463"/>
      <c r="C3943" s="463"/>
    </row>
    <row r="3944" spans="2:3" x14ac:dyDescent="0.25">
      <c r="B3944" s="463"/>
      <c r="C3944" s="463"/>
    </row>
    <row r="3945" spans="2:3" x14ac:dyDescent="0.25">
      <c r="B3945" s="463"/>
      <c r="C3945" s="463"/>
    </row>
    <row r="3946" spans="2:3" x14ac:dyDescent="0.25">
      <c r="B3946" s="463"/>
      <c r="C3946" s="463"/>
    </row>
    <row r="3947" spans="2:3" x14ac:dyDescent="0.25">
      <c r="B3947" s="463"/>
      <c r="C3947" s="463"/>
    </row>
    <row r="3948" spans="2:3" x14ac:dyDescent="0.25">
      <c r="B3948" s="463"/>
      <c r="C3948" s="463"/>
    </row>
    <row r="3949" spans="2:3" x14ac:dyDescent="0.25">
      <c r="B3949" s="463"/>
      <c r="C3949" s="463"/>
    </row>
    <row r="3950" spans="2:3" x14ac:dyDescent="0.25">
      <c r="B3950" s="463"/>
      <c r="C3950" s="463"/>
    </row>
    <row r="3951" spans="2:3" x14ac:dyDescent="0.25">
      <c r="B3951" s="463"/>
      <c r="C3951" s="463"/>
    </row>
    <row r="3952" spans="2:3" x14ac:dyDescent="0.25">
      <c r="B3952" s="463"/>
      <c r="C3952" s="463"/>
    </row>
    <row r="3953" spans="2:3" x14ac:dyDescent="0.25">
      <c r="B3953" s="463"/>
      <c r="C3953" s="463"/>
    </row>
    <row r="3954" spans="2:3" x14ac:dyDescent="0.25">
      <c r="B3954" s="463"/>
      <c r="C3954" s="463"/>
    </row>
    <row r="3955" spans="2:3" x14ac:dyDescent="0.25">
      <c r="B3955" s="463"/>
      <c r="C3955" s="463"/>
    </row>
    <row r="3956" spans="2:3" x14ac:dyDescent="0.25">
      <c r="B3956" s="463"/>
      <c r="C3956" s="463"/>
    </row>
    <row r="3957" spans="2:3" x14ac:dyDescent="0.25">
      <c r="B3957" s="463"/>
      <c r="C3957" s="463"/>
    </row>
    <row r="3958" spans="2:3" x14ac:dyDescent="0.25">
      <c r="B3958" s="463"/>
      <c r="C3958" s="463"/>
    </row>
    <row r="3959" spans="2:3" x14ac:dyDescent="0.25">
      <c r="B3959" s="463"/>
      <c r="C3959" s="463"/>
    </row>
    <row r="3960" spans="2:3" x14ac:dyDescent="0.25">
      <c r="B3960" s="463"/>
      <c r="C3960" s="463"/>
    </row>
    <row r="3961" spans="2:3" x14ac:dyDescent="0.25">
      <c r="B3961" s="463"/>
      <c r="C3961" s="463"/>
    </row>
    <row r="3962" spans="2:3" x14ac:dyDescent="0.25">
      <c r="B3962" s="463"/>
      <c r="C3962" s="463"/>
    </row>
    <row r="3963" spans="2:3" x14ac:dyDescent="0.25">
      <c r="B3963" s="463"/>
      <c r="C3963" s="463"/>
    </row>
    <row r="3964" spans="2:3" x14ac:dyDescent="0.25">
      <c r="B3964" s="463"/>
      <c r="C3964" s="463"/>
    </row>
    <row r="3965" spans="2:3" x14ac:dyDescent="0.25">
      <c r="B3965" s="463"/>
      <c r="C3965" s="463"/>
    </row>
    <row r="3966" spans="2:3" x14ac:dyDescent="0.25">
      <c r="B3966" s="463"/>
      <c r="C3966" s="463"/>
    </row>
    <row r="3967" spans="2:3" x14ac:dyDescent="0.25">
      <c r="B3967" s="463"/>
      <c r="C3967" s="463"/>
    </row>
    <row r="3968" spans="2:3" x14ac:dyDescent="0.25">
      <c r="B3968" s="463"/>
      <c r="C3968" s="463"/>
    </row>
    <row r="3969" spans="2:3" x14ac:dyDescent="0.25">
      <c r="B3969" s="463"/>
      <c r="C3969" s="463"/>
    </row>
    <row r="3970" spans="2:3" x14ac:dyDescent="0.25">
      <c r="B3970" s="463"/>
      <c r="C3970" s="463"/>
    </row>
    <row r="3971" spans="2:3" x14ac:dyDescent="0.25">
      <c r="B3971" s="463"/>
      <c r="C3971" s="463"/>
    </row>
    <row r="3972" spans="2:3" x14ac:dyDescent="0.25">
      <c r="B3972" s="463"/>
      <c r="C3972" s="463"/>
    </row>
    <row r="3973" spans="2:3" x14ac:dyDescent="0.25">
      <c r="B3973" s="463"/>
      <c r="C3973" s="463"/>
    </row>
    <row r="3974" spans="2:3" x14ac:dyDescent="0.25">
      <c r="B3974" s="463"/>
      <c r="C3974" s="463"/>
    </row>
    <row r="3975" spans="2:3" x14ac:dyDescent="0.25">
      <c r="B3975" s="463"/>
      <c r="C3975" s="463"/>
    </row>
    <row r="3976" spans="2:3" x14ac:dyDescent="0.25">
      <c r="B3976" s="463"/>
      <c r="C3976" s="463"/>
    </row>
    <row r="3977" spans="2:3" x14ac:dyDescent="0.25">
      <c r="B3977" s="463"/>
      <c r="C3977" s="463"/>
    </row>
    <row r="3978" spans="2:3" x14ac:dyDescent="0.25">
      <c r="B3978" s="463"/>
      <c r="C3978" s="463"/>
    </row>
    <row r="3979" spans="2:3" x14ac:dyDescent="0.25">
      <c r="B3979" s="463"/>
      <c r="C3979" s="463"/>
    </row>
    <row r="3980" spans="2:3" x14ac:dyDescent="0.25">
      <c r="B3980" s="463"/>
      <c r="C3980" s="463"/>
    </row>
    <row r="3981" spans="2:3" x14ac:dyDescent="0.25">
      <c r="B3981" s="463"/>
      <c r="C3981" s="463"/>
    </row>
    <row r="3982" spans="2:3" x14ac:dyDescent="0.25">
      <c r="B3982" s="463"/>
      <c r="C3982" s="463"/>
    </row>
    <row r="3983" spans="2:3" x14ac:dyDescent="0.25">
      <c r="B3983" s="463"/>
      <c r="C3983" s="463"/>
    </row>
    <row r="3984" spans="2:3" x14ac:dyDescent="0.25">
      <c r="B3984" s="463"/>
      <c r="C3984" s="463"/>
    </row>
    <row r="3985" spans="2:3" x14ac:dyDescent="0.25">
      <c r="B3985" s="463"/>
      <c r="C3985" s="463"/>
    </row>
    <row r="3986" spans="2:3" x14ac:dyDescent="0.25">
      <c r="B3986" s="463"/>
      <c r="C3986" s="463"/>
    </row>
    <row r="3987" spans="2:3" x14ac:dyDescent="0.25">
      <c r="B3987" s="463"/>
      <c r="C3987" s="463"/>
    </row>
    <row r="3988" spans="2:3" x14ac:dyDescent="0.25">
      <c r="B3988" s="463"/>
      <c r="C3988" s="463"/>
    </row>
    <row r="3989" spans="2:3" x14ac:dyDescent="0.25">
      <c r="B3989" s="463"/>
      <c r="C3989" s="463"/>
    </row>
    <row r="3990" spans="2:3" x14ac:dyDescent="0.25">
      <c r="B3990" s="463"/>
      <c r="C3990" s="463"/>
    </row>
    <row r="3991" spans="2:3" x14ac:dyDescent="0.25">
      <c r="B3991" s="463"/>
      <c r="C3991" s="463"/>
    </row>
    <row r="3992" spans="2:3" x14ac:dyDescent="0.25">
      <c r="B3992" s="463"/>
      <c r="C3992" s="463"/>
    </row>
    <row r="3993" spans="2:3" x14ac:dyDescent="0.25">
      <c r="B3993" s="463"/>
      <c r="C3993" s="463"/>
    </row>
    <row r="3994" spans="2:3" x14ac:dyDescent="0.25">
      <c r="B3994" s="463"/>
      <c r="C3994" s="463"/>
    </row>
    <row r="3995" spans="2:3" x14ac:dyDescent="0.25">
      <c r="B3995" s="463"/>
      <c r="C3995" s="463"/>
    </row>
    <row r="3996" spans="2:3" x14ac:dyDescent="0.25">
      <c r="B3996" s="463"/>
      <c r="C3996" s="463"/>
    </row>
    <row r="3997" spans="2:3" x14ac:dyDescent="0.25">
      <c r="B3997" s="463"/>
      <c r="C3997" s="463"/>
    </row>
    <row r="3998" spans="2:3" x14ac:dyDescent="0.25">
      <c r="B3998" s="463"/>
      <c r="C3998" s="463"/>
    </row>
    <row r="3999" spans="2:3" x14ac:dyDescent="0.25">
      <c r="B3999" s="463"/>
      <c r="C3999" s="463"/>
    </row>
    <row r="4000" spans="2:3" x14ac:dyDescent="0.25">
      <c r="B4000" s="463"/>
      <c r="C4000" s="463"/>
    </row>
    <row r="4001" spans="2:3" x14ac:dyDescent="0.25">
      <c r="B4001" s="463"/>
      <c r="C4001" s="463"/>
    </row>
    <row r="4002" spans="2:3" x14ac:dyDescent="0.25">
      <c r="B4002" s="463"/>
      <c r="C4002" s="463"/>
    </row>
    <row r="4003" spans="2:3" x14ac:dyDescent="0.25">
      <c r="B4003" s="463"/>
      <c r="C4003" s="463"/>
    </row>
    <row r="4004" spans="2:3" x14ac:dyDescent="0.25">
      <c r="B4004" s="463"/>
      <c r="C4004" s="463"/>
    </row>
    <row r="4005" spans="2:3" x14ac:dyDescent="0.25">
      <c r="B4005" s="463"/>
      <c r="C4005" s="463"/>
    </row>
    <row r="4006" spans="2:3" x14ac:dyDescent="0.25">
      <c r="B4006" s="463"/>
      <c r="C4006" s="463"/>
    </row>
    <row r="4007" spans="2:3" x14ac:dyDescent="0.25">
      <c r="B4007" s="463"/>
      <c r="C4007" s="463"/>
    </row>
    <row r="4008" spans="2:3" x14ac:dyDescent="0.25">
      <c r="B4008" s="463"/>
      <c r="C4008" s="463"/>
    </row>
    <row r="4009" spans="2:3" x14ac:dyDescent="0.25">
      <c r="B4009" s="463"/>
      <c r="C4009" s="463"/>
    </row>
    <row r="4010" spans="2:3" x14ac:dyDescent="0.25">
      <c r="B4010" s="463"/>
      <c r="C4010" s="463"/>
    </row>
    <row r="4011" spans="2:3" x14ac:dyDescent="0.25">
      <c r="B4011" s="463"/>
      <c r="C4011" s="463"/>
    </row>
    <row r="4012" spans="2:3" x14ac:dyDescent="0.25">
      <c r="B4012" s="463"/>
      <c r="C4012" s="463"/>
    </row>
    <row r="4013" spans="2:3" x14ac:dyDescent="0.25">
      <c r="B4013" s="463"/>
      <c r="C4013" s="463"/>
    </row>
    <row r="4014" spans="2:3" x14ac:dyDescent="0.25">
      <c r="B4014" s="463"/>
      <c r="C4014" s="463"/>
    </row>
    <row r="4015" spans="2:3" x14ac:dyDescent="0.25">
      <c r="B4015" s="463"/>
      <c r="C4015" s="463"/>
    </row>
    <row r="4016" spans="2:3" x14ac:dyDescent="0.25">
      <c r="B4016" s="463"/>
      <c r="C4016" s="463"/>
    </row>
    <row r="4017" spans="2:3" x14ac:dyDescent="0.25">
      <c r="B4017" s="463"/>
      <c r="C4017" s="463"/>
    </row>
    <row r="4018" spans="2:3" x14ac:dyDescent="0.25">
      <c r="B4018" s="463"/>
      <c r="C4018" s="463"/>
    </row>
    <row r="4019" spans="2:3" x14ac:dyDescent="0.25">
      <c r="B4019" s="463"/>
      <c r="C4019" s="463"/>
    </row>
    <row r="4020" spans="2:3" x14ac:dyDescent="0.25">
      <c r="B4020" s="463"/>
      <c r="C4020" s="463"/>
    </row>
    <row r="4021" spans="2:3" x14ac:dyDescent="0.25">
      <c r="B4021" s="463"/>
      <c r="C4021" s="463"/>
    </row>
    <row r="4022" spans="2:3" x14ac:dyDescent="0.25">
      <c r="B4022" s="463"/>
      <c r="C4022" s="463"/>
    </row>
    <row r="4023" spans="2:3" x14ac:dyDescent="0.25">
      <c r="B4023" s="463"/>
      <c r="C4023" s="463"/>
    </row>
    <row r="4024" spans="2:3" x14ac:dyDescent="0.25">
      <c r="B4024" s="463"/>
      <c r="C4024" s="463"/>
    </row>
    <row r="4025" spans="2:3" x14ac:dyDescent="0.25">
      <c r="B4025" s="463"/>
      <c r="C4025" s="463"/>
    </row>
    <row r="4026" spans="2:3" x14ac:dyDescent="0.25">
      <c r="B4026" s="463"/>
      <c r="C4026" s="463"/>
    </row>
    <row r="4027" spans="2:3" x14ac:dyDescent="0.25">
      <c r="B4027" s="463"/>
      <c r="C4027" s="463"/>
    </row>
    <row r="4028" spans="2:3" x14ac:dyDescent="0.25">
      <c r="B4028" s="463"/>
      <c r="C4028" s="463"/>
    </row>
    <row r="4029" spans="2:3" x14ac:dyDescent="0.25">
      <c r="B4029" s="463"/>
      <c r="C4029" s="463"/>
    </row>
    <row r="4030" spans="2:3" x14ac:dyDescent="0.25">
      <c r="B4030" s="463"/>
      <c r="C4030" s="463"/>
    </row>
    <row r="4031" spans="2:3" x14ac:dyDescent="0.25">
      <c r="B4031" s="463"/>
      <c r="C4031" s="463"/>
    </row>
    <row r="4032" spans="2:3" x14ac:dyDescent="0.25">
      <c r="B4032" s="463"/>
      <c r="C4032" s="463"/>
    </row>
    <row r="4033" spans="2:3" x14ac:dyDescent="0.25">
      <c r="B4033" s="463"/>
      <c r="C4033" s="463"/>
    </row>
    <row r="4034" spans="2:3" x14ac:dyDescent="0.25">
      <c r="B4034" s="463"/>
      <c r="C4034" s="463"/>
    </row>
    <row r="4035" spans="2:3" x14ac:dyDescent="0.25">
      <c r="B4035" s="463"/>
      <c r="C4035" s="463"/>
    </row>
    <row r="4036" spans="2:3" x14ac:dyDescent="0.25">
      <c r="B4036" s="463"/>
      <c r="C4036" s="463"/>
    </row>
    <row r="4037" spans="2:3" x14ac:dyDescent="0.25">
      <c r="B4037" s="463"/>
      <c r="C4037" s="463"/>
    </row>
    <row r="4038" spans="2:3" x14ac:dyDescent="0.25">
      <c r="B4038" s="463"/>
      <c r="C4038" s="463"/>
    </row>
    <row r="4039" spans="2:3" x14ac:dyDescent="0.25">
      <c r="B4039" s="463"/>
      <c r="C4039" s="463"/>
    </row>
    <row r="4040" spans="2:3" x14ac:dyDescent="0.25">
      <c r="B4040" s="463"/>
      <c r="C4040" s="463"/>
    </row>
    <row r="4041" spans="2:3" x14ac:dyDescent="0.25">
      <c r="B4041" s="463"/>
      <c r="C4041" s="463"/>
    </row>
    <row r="4042" spans="2:3" x14ac:dyDescent="0.25">
      <c r="B4042" s="463"/>
      <c r="C4042" s="463"/>
    </row>
    <row r="4043" spans="2:3" x14ac:dyDescent="0.25">
      <c r="B4043" s="463"/>
      <c r="C4043" s="463"/>
    </row>
    <row r="4044" spans="2:3" x14ac:dyDescent="0.25">
      <c r="B4044" s="463"/>
      <c r="C4044" s="463"/>
    </row>
    <row r="4045" spans="2:3" x14ac:dyDescent="0.25">
      <c r="B4045" s="463"/>
      <c r="C4045" s="463"/>
    </row>
    <row r="4046" spans="2:3" x14ac:dyDescent="0.25">
      <c r="B4046" s="463"/>
      <c r="C4046" s="463"/>
    </row>
    <row r="4047" spans="2:3" x14ac:dyDescent="0.25">
      <c r="B4047" s="463"/>
      <c r="C4047" s="463"/>
    </row>
    <row r="4048" spans="2:3" x14ac:dyDescent="0.25">
      <c r="B4048" s="463"/>
      <c r="C4048" s="463"/>
    </row>
    <row r="4049" spans="2:3" x14ac:dyDescent="0.25">
      <c r="B4049" s="463"/>
      <c r="C4049" s="463"/>
    </row>
    <row r="4050" spans="2:3" x14ac:dyDescent="0.25">
      <c r="B4050" s="463"/>
      <c r="C4050" s="463"/>
    </row>
    <row r="4051" spans="2:3" x14ac:dyDescent="0.25">
      <c r="B4051" s="463"/>
      <c r="C4051" s="463"/>
    </row>
    <row r="4052" spans="2:3" x14ac:dyDescent="0.25">
      <c r="B4052" s="463"/>
      <c r="C4052" s="463"/>
    </row>
    <row r="4053" spans="2:3" x14ac:dyDescent="0.25">
      <c r="B4053" s="463"/>
      <c r="C4053" s="463"/>
    </row>
    <row r="4054" spans="2:3" x14ac:dyDescent="0.25">
      <c r="B4054" s="463"/>
      <c r="C4054" s="463"/>
    </row>
    <row r="4055" spans="2:3" x14ac:dyDescent="0.25">
      <c r="B4055" s="463"/>
      <c r="C4055" s="463"/>
    </row>
    <row r="4056" spans="2:3" x14ac:dyDescent="0.25">
      <c r="B4056" s="463"/>
      <c r="C4056" s="463"/>
    </row>
    <row r="4057" spans="2:3" x14ac:dyDescent="0.25">
      <c r="B4057" s="463"/>
      <c r="C4057" s="463"/>
    </row>
    <row r="4058" spans="2:3" x14ac:dyDescent="0.25">
      <c r="B4058" s="463"/>
      <c r="C4058" s="463"/>
    </row>
    <row r="4059" spans="2:3" x14ac:dyDescent="0.25">
      <c r="B4059" s="463"/>
      <c r="C4059" s="463"/>
    </row>
    <row r="4060" spans="2:3" x14ac:dyDescent="0.25">
      <c r="B4060" s="463"/>
      <c r="C4060" s="463"/>
    </row>
    <row r="4061" spans="2:3" x14ac:dyDescent="0.25">
      <c r="B4061" s="463"/>
      <c r="C4061" s="463"/>
    </row>
    <row r="4062" spans="2:3" x14ac:dyDescent="0.25">
      <c r="B4062" s="463"/>
      <c r="C4062" s="463"/>
    </row>
    <row r="4063" spans="2:3" x14ac:dyDescent="0.25">
      <c r="B4063" s="463"/>
      <c r="C4063" s="463"/>
    </row>
    <row r="4064" spans="2:3" x14ac:dyDescent="0.25">
      <c r="B4064" s="463"/>
      <c r="C4064" s="463"/>
    </row>
    <row r="4065" spans="2:3" x14ac:dyDescent="0.25">
      <c r="B4065" s="463"/>
      <c r="C4065" s="463"/>
    </row>
    <row r="4066" spans="2:3" x14ac:dyDescent="0.25">
      <c r="B4066" s="463"/>
      <c r="C4066" s="463"/>
    </row>
    <row r="4067" spans="2:3" x14ac:dyDescent="0.25">
      <c r="B4067" s="463"/>
      <c r="C4067" s="463"/>
    </row>
    <row r="4068" spans="2:3" x14ac:dyDescent="0.25">
      <c r="B4068" s="463"/>
      <c r="C4068" s="463"/>
    </row>
    <row r="4069" spans="2:3" x14ac:dyDescent="0.25">
      <c r="B4069" s="463"/>
      <c r="C4069" s="463"/>
    </row>
    <row r="4070" spans="2:3" x14ac:dyDescent="0.25">
      <c r="B4070" s="463"/>
      <c r="C4070" s="463"/>
    </row>
    <row r="4071" spans="2:3" x14ac:dyDescent="0.25">
      <c r="B4071" s="463"/>
      <c r="C4071" s="463"/>
    </row>
    <row r="4072" spans="2:3" x14ac:dyDescent="0.25">
      <c r="B4072" s="463"/>
      <c r="C4072" s="463"/>
    </row>
    <row r="4073" spans="2:3" x14ac:dyDescent="0.25">
      <c r="B4073" s="463"/>
      <c r="C4073" s="463"/>
    </row>
    <row r="4074" spans="2:3" x14ac:dyDescent="0.25">
      <c r="B4074" s="463"/>
      <c r="C4074" s="463"/>
    </row>
    <row r="4075" spans="2:3" x14ac:dyDescent="0.25">
      <c r="B4075" s="463"/>
      <c r="C4075" s="463"/>
    </row>
    <row r="4076" spans="2:3" x14ac:dyDescent="0.25">
      <c r="B4076" s="463"/>
      <c r="C4076" s="463"/>
    </row>
    <row r="4077" spans="2:3" x14ac:dyDescent="0.25">
      <c r="B4077" s="463"/>
      <c r="C4077" s="463"/>
    </row>
    <row r="4078" spans="2:3" x14ac:dyDescent="0.25">
      <c r="B4078" s="463"/>
      <c r="C4078" s="463"/>
    </row>
    <row r="4079" spans="2:3" x14ac:dyDescent="0.25">
      <c r="B4079" s="463"/>
      <c r="C4079" s="463"/>
    </row>
    <row r="4080" spans="2:3" x14ac:dyDescent="0.25">
      <c r="B4080" s="463"/>
      <c r="C4080" s="463"/>
    </row>
    <row r="4081" spans="2:3" x14ac:dyDescent="0.25">
      <c r="B4081" s="463"/>
      <c r="C4081" s="463"/>
    </row>
    <row r="4082" spans="2:3" x14ac:dyDescent="0.25">
      <c r="B4082" s="463"/>
      <c r="C4082" s="463"/>
    </row>
    <row r="4083" spans="2:3" x14ac:dyDescent="0.25">
      <c r="B4083" s="463"/>
      <c r="C4083" s="463"/>
    </row>
    <row r="4084" spans="2:3" x14ac:dyDescent="0.25">
      <c r="B4084" s="463"/>
      <c r="C4084" s="463"/>
    </row>
    <row r="4085" spans="2:3" x14ac:dyDescent="0.25">
      <c r="B4085" s="463"/>
      <c r="C4085" s="463"/>
    </row>
    <row r="4086" spans="2:3" x14ac:dyDescent="0.25">
      <c r="B4086" s="463"/>
      <c r="C4086" s="463"/>
    </row>
    <row r="4087" spans="2:3" x14ac:dyDescent="0.25">
      <c r="B4087" s="463"/>
      <c r="C4087" s="463"/>
    </row>
    <row r="4088" spans="2:3" x14ac:dyDescent="0.25">
      <c r="B4088" s="463"/>
      <c r="C4088" s="463"/>
    </row>
    <row r="4089" spans="2:3" x14ac:dyDescent="0.25">
      <c r="B4089" s="463"/>
      <c r="C4089" s="463"/>
    </row>
    <row r="4090" spans="2:3" x14ac:dyDescent="0.25">
      <c r="B4090" s="463"/>
      <c r="C4090" s="463"/>
    </row>
    <row r="4091" spans="2:3" x14ac:dyDescent="0.25">
      <c r="B4091" s="463"/>
      <c r="C4091" s="463"/>
    </row>
    <row r="4092" spans="2:3" x14ac:dyDescent="0.25">
      <c r="B4092" s="463"/>
      <c r="C4092" s="463"/>
    </row>
    <row r="4093" spans="2:3" x14ac:dyDescent="0.25">
      <c r="B4093" s="463"/>
      <c r="C4093" s="463"/>
    </row>
    <row r="4094" spans="2:3" x14ac:dyDescent="0.25">
      <c r="B4094" s="463"/>
      <c r="C4094" s="463"/>
    </row>
    <row r="4095" spans="2:3" x14ac:dyDescent="0.25">
      <c r="B4095" s="463"/>
      <c r="C4095" s="463"/>
    </row>
    <row r="4096" spans="2:3" x14ac:dyDescent="0.25">
      <c r="B4096" s="463"/>
      <c r="C4096" s="463"/>
    </row>
    <row r="4097" spans="2:3" x14ac:dyDescent="0.25">
      <c r="B4097" s="463"/>
      <c r="C4097" s="463"/>
    </row>
    <row r="4098" spans="2:3" x14ac:dyDescent="0.25">
      <c r="B4098" s="463"/>
      <c r="C4098" s="463"/>
    </row>
    <row r="4099" spans="2:3" x14ac:dyDescent="0.25">
      <c r="B4099" s="463"/>
      <c r="C4099" s="463"/>
    </row>
    <row r="4100" spans="2:3" x14ac:dyDescent="0.25">
      <c r="B4100" s="463"/>
      <c r="C4100" s="463"/>
    </row>
    <row r="4101" spans="2:3" x14ac:dyDescent="0.25">
      <c r="B4101" s="463"/>
      <c r="C4101" s="463"/>
    </row>
    <row r="4102" spans="2:3" x14ac:dyDescent="0.25">
      <c r="B4102" s="463"/>
      <c r="C4102" s="463"/>
    </row>
    <row r="4103" spans="2:3" x14ac:dyDescent="0.25">
      <c r="B4103" s="463"/>
      <c r="C4103" s="463"/>
    </row>
    <row r="4104" spans="2:3" x14ac:dyDescent="0.25">
      <c r="B4104" s="463"/>
      <c r="C4104" s="463"/>
    </row>
    <row r="4105" spans="2:3" x14ac:dyDescent="0.25">
      <c r="B4105" s="463"/>
      <c r="C4105" s="463"/>
    </row>
    <row r="4106" spans="2:3" x14ac:dyDescent="0.25">
      <c r="B4106" s="463"/>
      <c r="C4106" s="463"/>
    </row>
    <row r="4107" spans="2:3" x14ac:dyDescent="0.25">
      <c r="B4107" s="463"/>
      <c r="C4107" s="463"/>
    </row>
    <row r="4108" spans="2:3" x14ac:dyDescent="0.25">
      <c r="B4108" s="463"/>
      <c r="C4108" s="463"/>
    </row>
    <row r="4109" spans="2:3" x14ac:dyDescent="0.25">
      <c r="B4109" s="463"/>
      <c r="C4109" s="463"/>
    </row>
    <row r="4110" spans="2:3" x14ac:dyDescent="0.25">
      <c r="B4110" s="463"/>
      <c r="C4110" s="463"/>
    </row>
    <row r="4111" spans="2:3" x14ac:dyDescent="0.25">
      <c r="B4111" s="463"/>
      <c r="C4111" s="463"/>
    </row>
    <row r="4112" spans="2:3" x14ac:dyDescent="0.25">
      <c r="B4112" s="463"/>
      <c r="C4112" s="463"/>
    </row>
    <row r="4113" spans="2:3" x14ac:dyDescent="0.25">
      <c r="B4113" s="463"/>
      <c r="C4113" s="463"/>
    </row>
    <row r="4114" spans="2:3" x14ac:dyDescent="0.25">
      <c r="B4114" s="463"/>
      <c r="C4114" s="463"/>
    </row>
    <row r="4115" spans="2:3" x14ac:dyDescent="0.25">
      <c r="B4115" s="463"/>
      <c r="C4115" s="463"/>
    </row>
    <row r="4116" spans="2:3" x14ac:dyDescent="0.25">
      <c r="B4116" s="463"/>
      <c r="C4116" s="463"/>
    </row>
    <row r="4117" spans="2:3" x14ac:dyDescent="0.25">
      <c r="B4117" s="463"/>
      <c r="C4117" s="463"/>
    </row>
    <row r="4118" spans="2:3" x14ac:dyDescent="0.25">
      <c r="B4118" s="463"/>
      <c r="C4118" s="463"/>
    </row>
    <row r="4119" spans="2:3" x14ac:dyDescent="0.25">
      <c r="B4119" s="463"/>
      <c r="C4119" s="463"/>
    </row>
    <row r="4120" spans="2:3" x14ac:dyDescent="0.25">
      <c r="B4120" s="463"/>
      <c r="C4120" s="463"/>
    </row>
    <row r="4121" spans="2:3" x14ac:dyDescent="0.25">
      <c r="B4121" s="463"/>
      <c r="C4121" s="463"/>
    </row>
    <row r="4122" spans="2:3" x14ac:dyDescent="0.25">
      <c r="B4122" s="463"/>
      <c r="C4122" s="463"/>
    </row>
    <row r="4123" spans="2:3" x14ac:dyDescent="0.25">
      <c r="B4123" s="463"/>
      <c r="C4123" s="463"/>
    </row>
    <row r="4124" spans="2:3" x14ac:dyDescent="0.25">
      <c r="B4124" s="463"/>
      <c r="C4124" s="463"/>
    </row>
    <row r="4125" spans="2:3" x14ac:dyDescent="0.25">
      <c r="B4125" s="463"/>
      <c r="C4125" s="463"/>
    </row>
    <row r="4126" spans="2:3" x14ac:dyDescent="0.25">
      <c r="B4126" s="463"/>
      <c r="C4126" s="463"/>
    </row>
    <row r="4127" spans="2:3" x14ac:dyDescent="0.25">
      <c r="B4127" s="463"/>
      <c r="C4127" s="463"/>
    </row>
    <row r="4128" spans="2:3" x14ac:dyDescent="0.25">
      <c r="B4128" s="463"/>
      <c r="C4128" s="463"/>
    </row>
    <row r="4129" spans="2:3" x14ac:dyDescent="0.25">
      <c r="B4129" s="463"/>
      <c r="C4129" s="463"/>
    </row>
    <row r="4130" spans="2:3" x14ac:dyDescent="0.25">
      <c r="B4130" s="463"/>
      <c r="C4130" s="463"/>
    </row>
    <row r="4131" spans="2:3" x14ac:dyDescent="0.25">
      <c r="B4131" s="463"/>
      <c r="C4131" s="463"/>
    </row>
    <row r="4132" spans="2:3" x14ac:dyDescent="0.25">
      <c r="B4132" s="463"/>
      <c r="C4132" s="463"/>
    </row>
    <row r="4133" spans="2:3" x14ac:dyDescent="0.25">
      <c r="B4133" s="463"/>
      <c r="C4133" s="463"/>
    </row>
    <row r="4134" spans="2:3" x14ac:dyDescent="0.25">
      <c r="B4134" s="463"/>
      <c r="C4134" s="463"/>
    </row>
    <row r="4135" spans="2:3" x14ac:dyDescent="0.25">
      <c r="B4135" s="463"/>
      <c r="C4135" s="463"/>
    </row>
    <row r="4136" spans="2:3" x14ac:dyDescent="0.25">
      <c r="B4136" s="463"/>
      <c r="C4136" s="463"/>
    </row>
    <row r="4137" spans="2:3" x14ac:dyDescent="0.25">
      <c r="B4137" s="463"/>
      <c r="C4137" s="463"/>
    </row>
    <row r="4138" spans="2:3" x14ac:dyDescent="0.25">
      <c r="B4138" s="463"/>
      <c r="C4138" s="463"/>
    </row>
    <row r="4139" spans="2:3" x14ac:dyDescent="0.25">
      <c r="B4139" s="463"/>
      <c r="C4139" s="463"/>
    </row>
    <row r="4140" spans="2:3" x14ac:dyDescent="0.25">
      <c r="B4140" s="463"/>
      <c r="C4140" s="463"/>
    </row>
    <row r="4141" spans="2:3" x14ac:dyDescent="0.25">
      <c r="B4141" s="463"/>
      <c r="C4141" s="463"/>
    </row>
    <row r="4142" spans="2:3" x14ac:dyDescent="0.25">
      <c r="B4142" s="463"/>
      <c r="C4142" s="463"/>
    </row>
    <row r="4143" spans="2:3" x14ac:dyDescent="0.25">
      <c r="B4143" s="463"/>
      <c r="C4143" s="463"/>
    </row>
    <row r="4144" spans="2:3" x14ac:dyDescent="0.25">
      <c r="B4144" s="463"/>
      <c r="C4144" s="463"/>
    </row>
    <row r="4145" spans="2:3" x14ac:dyDescent="0.25">
      <c r="B4145" s="463"/>
      <c r="C4145" s="463"/>
    </row>
    <row r="4146" spans="2:3" x14ac:dyDescent="0.25">
      <c r="B4146" s="463"/>
      <c r="C4146" s="463"/>
    </row>
    <row r="4147" spans="2:3" x14ac:dyDescent="0.25">
      <c r="B4147" s="463"/>
      <c r="C4147" s="463"/>
    </row>
    <row r="4148" spans="2:3" x14ac:dyDescent="0.25">
      <c r="B4148" s="463"/>
      <c r="C4148" s="463"/>
    </row>
    <row r="4149" spans="2:3" x14ac:dyDescent="0.25">
      <c r="B4149" s="463"/>
      <c r="C4149" s="463"/>
    </row>
    <row r="4150" spans="2:3" x14ac:dyDescent="0.25">
      <c r="B4150" s="463"/>
      <c r="C4150" s="463"/>
    </row>
    <row r="4151" spans="2:3" x14ac:dyDescent="0.25">
      <c r="B4151" s="463"/>
      <c r="C4151" s="463"/>
    </row>
    <row r="4152" spans="2:3" x14ac:dyDescent="0.25">
      <c r="B4152" s="463"/>
      <c r="C4152" s="463"/>
    </row>
    <row r="4153" spans="2:3" x14ac:dyDescent="0.25">
      <c r="B4153" s="463"/>
      <c r="C4153" s="463"/>
    </row>
    <row r="4154" spans="2:3" x14ac:dyDescent="0.25">
      <c r="B4154" s="463"/>
      <c r="C4154" s="463"/>
    </row>
    <row r="4155" spans="2:3" x14ac:dyDescent="0.25">
      <c r="B4155" s="463"/>
      <c r="C4155" s="463"/>
    </row>
    <row r="4156" spans="2:3" x14ac:dyDescent="0.25">
      <c r="B4156" s="463"/>
      <c r="C4156" s="463"/>
    </row>
    <row r="4157" spans="2:3" x14ac:dyDescent="0.25">
      <c r="B4157" s="463"/>
      <c r="C4157" s="463"/>
    </row>
    <row r="4158" spans="2:3" x14ac:dyDescent="0.25">
      <c r="B4158" s="463"/>
      <c r="C4158" s="463"/>
    </row>
    <row r="4159" spans="2:3" x14ac:dyDescent="0.25">
      <c r="B4159" s="463"/>
      <c r="C4159" s="463"/>
    </row>
    <row r="4160" spans="2:3" x14ac:dyDescent="0.25">
      <c r="B4160" s="463"/>
      <c r="C4160" s="463"/>
    </row>
    <row r="4161" spans="2:3" x14ac:dyDescent="0.25">
      <c r="B4161" s="463"/>
      <c r="C4161" s="463"/>
    </row>
    <row r="4162" spans="2:3" x14ac:dyDescent="0.25">
      <c r="B4162" s="463"/>
      <c r="C4162" s="463"/>
    </row>
    <row r="4163" spans="2:3" x14ac:dyDescent="0.25">
      <c r="B4163" s="463"/>
      <c r="C4163" s="463"/>
    </row>
    <row r="4164" spans="2:3" x14ac:dyDescent="0.25">
      <c r="B4164" s="463"/>
      <c r="C4164" s="463"/>
    </row>
    <row r="4165" spans="2:3" x14ac:dyDescent="0.25">
      <c r="B4165" s="463"/>
      <c r="C4165" s="463"/>
    </row>
    <row r="4166" spans="2:3" x14ac:dyDescent="0.25">
      <c r="B4166" s="463"/>
      <c r="C4166" s="463"/>
    </row>
    <row r="4167" spans="2:3" x14ac:dyDescent="0.25">
      <c r="B4167" s="463"/>
      <c r="C4167" s="463"/>
    </row>
    <row r="4168" spans="2:3" x14ac:dyDescent="0.25">
      <c r="B4168" s="463"/>
      <c r="C4168" s="463"/>
    </row>
    <row r="4169" spans="2:3" x14ac:dyDescent="0.25">
      <c r="B4169" s="463"/>
      <c r="C4169" s="463"/>
    </row>
    <row r="4170" spans="2:3" x14ac:dyDescent="0.25">
      <c r="B4170" s="463"/>
      <c r="C4170" s="463"/>
    </row>
    <row r="4171" spans="2:3" x14ac:dyDescent="0.25">
      <c r="B4171" s="463"/>
      <c r="C4171" s="463"/>
    </row>
    <row r="4172" spans="2:3" x14ac:dyDescent="0.25">
      <c r="B4172" s="463"/>
      <c r="C4172" s="463"/>
    </row>
    <row r="4173" spans="2:3" x14ac:dyDescent="0.25">
      <c r="B4173" s="463"/>
      <c r="C4173" s="463"/>
    </row>
    <row r="4174" spans="2:3" x14ac:dyDescent="0.25">
      <c r="B4174" s="463"/>
      <c r="C4174" s="463"/>
    </row>
    <row r="4175" spans="2:3" x14ac:dyDescent="0.25">
      <c r="B4175" s="463"/>
      <c r="C4175" s="463"/>
    </row>
    <row r="4176" spans="2:3" x14ac:dyDescent="0.25">
      <c r="B4176" s="463"/>
      <c r="C4176" s="463"/>
    </row>
    <row r="4177" spans="2:3" x14ac:dyDescent="0.25">
      <c r="B4177" s="463"/>
      <c r="C4177" s="463"/>
    </row>
    <row r="4178" spans="2:3" x14ac:dyDescent="0.25">
      <c r="B4178" s="463"/>
      <c r="C4178" s="463"/>
    </row>
    <row r="4179" spans="2:3" x14ac:dyDescent="0.25">
      <c r="B4179" s="463"/>
      <c r="C4179" s="463"/>
    </row>
    <row r="4180" spans="2:3" x14ac:dyDescent="0.25">
      <c r="B4180" s="463"/>
      <c r="C4180" s="463"/>
    </row>
    <row r="4181" spans="2:3" x14ac:dyDescent="0.25">
      <c r="B4181" s="463"/>
      <c r="C4181" s="463"/>
    </row>
    <row r="4182" spans="2:3" x14ac:dyDescent="0.25">
      <c r="B4182" s="463"/>
      <c r="C4182" s="463"/>
    </row>
    <row r="4183" spans="2:3" x14ac:dyDescent="0.25">
      <c r="B4183" s="463"/>
      <c r="C4183" s="463"/>
    </row>
    <row r="4184" spans="2:3" x14ac:dyDescent="0.25">
      <c r="B4184" s="463"/>
      <c r="C4184" s="463"/>
    </row>
    <row r="4185" spans="2:3" x14ac:dyDescent="0.25">
      <c r="B4185" s="463"/>
      <c r="C4185" s="463"/>
    </row>
    <row r="4186" spans="2:3" x14ac:dyDescent="0.25">
      <c r="B4186" s="463"/>
      <c r="C4186" s="463"/>
    </row>
    <row r="4187" spans="2:3" x14ac:dyDescent="0.25">
      <c r="B4187" s="463"/>
      <c r="C4187" s="463"/>
    </row>
    <row r="4188" spans="2:3" x14ac:dyDescent="0.25">
      <c r="B4188" s="463"/>
      <c r="C4188" s="463"/>
    </row>
    <row r="4189" spans="2:3" x14ac:dyDescent="0.25">
      <c r="B4189" s="463"/>
      <c r="C4189" s="463"/>
    </row>
    <row r="4190" spans="2:3" x14ac:dyDescent="0.25">
      <c r="B4190" s="463"/>
      <c r="C4190" s="463"/>
    </row>
    <row r="4191" spans="2:3" x14ac:dyDescent="0.25">
      <c r="B4191" s="463"/>
      <c r="C4191" s="463"/>
    </row>
    <row r="4192" spans="2:3" x14ac:dyDescent="0.25">
      <c r="B4192" s="463"/>
      <c r="C4192" s="463"/>
    </row>
    <row r="4193" spans="2:3" x14ac:dyDescent="0.25">
      <c r="B4193" s="463"/>
      <c r="C4193" s="463"/>
    </row>
    <row r="4194" spans="2:3" x14ac:dyDescent="0.25">
      <c r="B4194" s="463"/>
      <c r="C4194" s="463"/>
    </row>
    <row r="4195" spans="2:3" x14ac:dyDescent="0.25">
      <c r="B4195" s="463"/>
      <c r="C4195" s="463"/>
    </row>
    <row r="4196" spans="2:3" x14ac:dyDescent="0.25">
      <c r="B4196" s="463"/>
      <c r="C4196" s="463"/>
    </row>
    <row r="4197" spans="2:3" x14ac:dyDescent="0.25">
      <c r="B4197" s="463"/>
      <c r="C4197" s="463"/>
    </row>
    <row r="4198" spans="2:3" x14ac:dyDescent="0.25">
      <c r="B4198" s="463"/>
      <c r="C4198" s="463"/>
    </row>
    <row r="4199" spans="2:3" x14ac:dyDescent="0.25">
      <c r="B4199" s="463"/>
      <c r="C4199" s="463"/>
    </row>
    <row r="4200" spans="2:3" x14ac:dyDescent="0.25">
      <c r="B4200" s="463"/>
      <c r="C4200" s="463"/>
    </row>
    <row r="4201" spans="2:3" x14ac:dyDescent="0.25">
      <c r="B4201" s="463"/>
      <c r="C4201" s="463"/>
    </row>
    <row r="4202" spans="2:3" x14ac:dyDescent="0.25">
      <c r="B4202" s="463"/>
      <c r="C4202" s="463"/>
    </row>
    <row r="4203" spans="2:3" x14ac:dyDescent="0.25">
      <c r="B4203" s="463"/>
      <c r="C4203" s="463"/>
    </row>
    <row r="4204" spans="2:3" x14ac:dyDescent="0.25">
      <c r="B4204" s="463"/>
      <c r="C4204" s="463"/>
    </row>
    <row r="4205" spans="2:3" x14ac:dyDescent="0.25">
      <c r="B4205" s="463"/>
      <c r="C4205" s="463"/>
    </row>
    <row r="4206" spans="2:3" x14ac:dyDescent="0.25">
      <c r="B4206" s="463"/>
      <c r="C4206" s="463"/>
    </row>
    <row r="4207" spans="2:3" x14ac:dyDescent="0.25">
      <c r="B4207" s="463"/>
      <c r="C4207" s="463"/>
    </row>
    <row r="4208" spans="2:3" x14ac:dyDescent="0.25">
      <c r="B4208" s="463"/>
      <c r="C4208" s="463"/>
    </row>
    <row r="4209" spans="2:3" x14ac:dyDescent="0.25">
      <c r="B4209" s="463"/>
      <c r="C4209" s="463"/>
    </row>
    <row r="4210" spans="2:3" x14ac:dyDescent="0.25">
      <c r="B4210" s="463"/>
      <c r="C4210" s="463"/>
    </row>
    <row r="4211" spans="2:3" x14ac:dyDescent="0.25">
      <c r="B4211" s="463"/>
      <c r="C4211" s="463"/>
    </row>
    <row r="4212" spans="2:3" x14ac:dyDescent="0.25">
      <c r="B4212" s="463"/>
      <c r="C4212" s="463"/>
    </row>
    <row r="4213" spans="2:3" x14ac:dyDescent="0.25">
      <c r="B4213" s="463"/>
      <c r="C4213" s="463"/>
    </row>
    <row r="4214" spans="2:3" x14ac:dyDescent="0.25">
      <c r="B4214" s="463"/>
      <c r="C4214" s="463"/>
    </row>
    <row r="4215" spans="2:3" x14ac:dyDescent="0.25">
      <c r="B4215" s="463"/>
      <c r="C4215" s="463"/>
    </row>
    <row r="4216" spans="2:3" x14ac:dyDescent="0.25">
      <c r="B4216" s="463"/>
      <c r="C4216" s="463"/>
    </row>
    <row r="4217" spans="2:3" x14ac:dyDescent="0.25">
      <c r="B4217" s="463"/>
      <c r="C4217" s="463"/>
    </row>
    <row r="4218" spans="2:3" x14ac:dyDescent="0.25">
      <c r="B4218" s="463"/>
      <c r="C4218" s="463"/>
    </row>
    <row r="4219" spans="2:3" x14ac:dyDescent="0.25">
      <c r="B4219" s="463"/>
      <c r="C4219" s="463"/>
    </row>
    <row r="4220" spans="2:3" x14ac:dyDescent="0.25">
      <c r="B4220" s="463"/>
      <c r="C4220" s="463"/>
    </row>
    <row r="4221" spans="2:3" x14ac:dyDescent="0.25">
      <c r="B4221" s="463"/>
      <c r="C4221" s="463"/>
    </row>
    <row r="4222" spans="2:3" x14ac:dyDescent="0.25">
      <c r="B4222" s="463"/>
      <c r="C4222" s="463"/>
    </row>
    <row r="4223" spans="2:3" x14ac:dyDescent="0.25">
      <c r="B4223" s="463"/>
      <c r="C4223" s="463"/>
    </row>
    <row r="4224" spans="2:3" x14ac:dyDescent="0.25">
      <c r="B4224" s="463"/>
      <c r="C4224" s="463"/>
    </row>
    <row r="4225" spans="2:3" x14ac:dyDescent="0.25">
      <c r="B4225" s="463"/>
      <c r="C4225" s="463"/>
    </row>
    <row r="4226" spans="2:3" x14ac:dyDescent="0.25">
      <c r="B4226" s="463"/>
      <c r="C4226" s="463"/>
    </row>
    <row r="4227" spans="2:3" x14ac:dyDescent="0.25">
      <c r="B4227" s="463"/>
      <c r="C4227" s="463"/>
    </row>
    <row r="4228" spans="2:3" x14ac:dyDescent="0.25">
      <c r="B4228" s="463"/>
      <c r="C4228" s="463"/>
    </row>
    <row r="4229" spans="2:3" x14ac:dyDescent="0.25">
      <c r="B4229" s="463"/>
      <c r="C4229" s="463"/>
    </row>
    <row r="4230" spans="2:3" x14ac:dyDescent="0.25">
      <c r="B4230" s="463"/>
      <c r="C4230" s="463"/>
    </row>
    <row r="4231" spans="2:3" x14ac:dyDescent="0.25">
      <c r="B4231" s="463"/>
      <c r="C4231" s="463"/>
    </row>
    <row r="4232" spans="2:3" x14ac:dyDescent="0.25">
      <c r="B4232" s="463"/>
      <c r="C4232" s="463"/>
    </row>
    <row r="4233" spans="2:3" x14ac:dyDescent="0.25">
      <c r="B4233" s="463"/>
      <c r="C4233" s="463"/>
    </row>
    <row r="4234" spans="2:3" x14ac:dyDescent="0.25">
      <c r="B4234" s="463"/>
      <c r="C4234" s="463"/>
    </row>
    <row r="4235" spans="2:3" x14ac:dyDescent="0.25">
      <c r="B4235" s="463"/>
      <c r="C4235" s="463"/>
    </row>
    <row r="4236" spans="2:3" x14ac:dyDescent="0.25">
      <c r="B4236" s="463"/>
      <c r="C4236" s="463"/>
    </row>
    <row r="4237" spans="2:3" x14ac:dyDescent="0.25">
      <c r="B4237" s="463"/>
      <c r="C4237" s="463"/>
    </row>
    <row r="4238" spans="2:3" x14ac:dyDescent="0.25">
      <c r="B4238" s="463"/>
      <c r="C4238" s="463"/>
    </row>
    <row r="4239" spans="2:3" x14ac:dyDescent="0.25">
      <c r="B4239" s="463"/>
      <c r="C4239" s="463"/>
    </row>
    <row r="4240" spans="2:3" x14ac:dyDescent="0.25">
      <c r="B4240" s="463"/>
      <c r="C4240" s="463"/>
    </row>
    <row r="4241" spans="2:3" x14ac:dyDescent="0.25">
      <c r="B4241" s="463"/>
      <c r="C4241" s="463"/>
    </row>
    <row r="4242" spans="2:3" x14ac:dyDescent="0.25">
      <c r="B4242" s="463"/>
      <c r="C4242" s="463"/>
    </row>
    <row r="4243" spans="2:3" x14ac:dyDescent="0.25">
      <c r="B4243" s="463"/>
      <c r="C4243" s="463"/>
    </row>
    <row r="4244" spans="2:3" x14ac:dyDescent="0.25">
      <c r="B4244" s="463"/>
      <c r="C4244" s="463"/>
    </row>
    <row r="4245" spans="2:3" x14ac:dyDescent="0.25">
      <c r="B4245" s="463"/>
      <c r="C4245" s="463"/>
    </row>
    <row r="4246" spans="2:3" x14ac:dyDescent="0.25">
      <c r="B4246" s="463"/>
      <c r="C4246" s="463"/>
    </row>
    <row r="4247" spans="2:3" x14ac:dyDescent="0.25">
      <c r="B4247" s="463"/>
      <c r="C4247" s="463"/>
    </row>
    <row r="4248" spans="2:3" x14ac:dyDescent="0.25">
      <c r="B4248" s="463"/>
      <c r="C4248" s="463"/>
    </row>
    <row r="4249" spans="2:3" x14ac:dyDescent="0.25">
      <c r="B4249" s="463"/>
      <c r="C4249" s="463"/>
    </row>
    <row r="4250" spans="2:3" x14ac:dyDescent="0.25">
      <c r="B4250" s="463"/>
      <c r="C4250" s="463"/>
    </row>
    <row r="4251" spans="2:3" x14ac:dyDescent="0.25">
      <c r="B4251" s="463"/>
      <c r="C4251" s="463"/>
    </row>
    <row r="4252" spans="2:3" x14ac:dyDescent="0.25">
      <c r="B4252" s="463"/>
      <c r="C4252" s="463"/>
    </row>
    <row r="4253" spans="2:3" x14ac:dyDescent="0.25">
      <c r="B4253" s="463"/>
      <c r="C4253" s="463"/>
    </row>
    <row r="4254" spans="2:3" x14ac:dyDescent="0.25">
      <c r="B4254" s="463"/>
      <c r="C4254" s="463"/>
    </row>
    <row r="4255" spans="2:3" x14ac:dyDescent="0.25">
      <c r="B4255" s="463"/>
      <c r="C4255" s="463"/>
    </row>
    <row r="4256" spans="2:3" x14ac:dyDescent="0.25">
      <c r="B4256" s="463"/>
      <c r="C4256" s="463"/>
    </row>
    <row r="4257" spans="2:3" x14ac:dyDescent="0.25">
      <c r="B4257" s="463"/>
      <c r="C4257" s="463"/>
    </row>
    <row r="4258" spans="2:3" x14ac:dyDescent="0.25">
      <c r="B4258" s="463"/>
      <c r="C4258" s="463"/>
    </row>
    <row r="4259" spans="2:3" x14ac:dyDescent="0.25">
      <c r="B4259" s="463"/>
      <c r="C4259" s="463"/>
    </row>
    <row r="4260" spans="2:3" x14ac:dyDescent="0.25">
      <c r="B4260" s="463"/>
      <c r="C4260" s="463"/>
    </row>
    <row r="4261" spans="2:3" x14ac:dyDescent="0.25">
      <c r="B4261" s="463"/>
      <c r="C4261" s="463"/>
    </row>
    <row r="4262" spans="2:3" x14ac:dyDescent="0.25">
      <c r="B4262" s="463"/>
      <c r="C4262" s="463"/>
    </row>
    <row r="4263" spans="2:3" x14ac:dyDescent="0.25">
      <c r="B4263" s="463"/>
      <c r="C4263" s="463"/>
    </row>
    <row r="4264" spans="2:3" x14ac:dyDescent="0.25">
      <c r="B4264" s="463"/>
      <c r="C4264" s="463"/>
    </row>
    <row r="4265" spans="2:3" x14ac:dyDescent="0.25">
      <c r="B4265" s="463"/>
      <c r="C4265" s="463"/>
    </row>
    <row r="4266" spans="2:3" x14ac:dyDescent="0.25">
      <c r="B4266" s="463"/>
      <c r="C4266" s="463"/>
    </row>
    <row r="4267" spans="2:3" x14ac:dyDescent="0.25">
      <c r="B4267" s="463"/>
      <c r="C4267" s="463"/>
    </row>
    <row r="4268" spans="2:3" x14ac:dyDescent="0.25">
      <c r="B4268" s="463"/>
      <c r="C4268" s="463"/>
    </row>
    <row r="4269" spans="2:3" x14ac:dyDescent="0.25">
      <c r="B4269" s="463"/>
      <c r="C4269" s="463"/>
    </row>
    <row r="4270" spans="2:3" x14ac:dyDescent="0.25">
      <c r="B4270" s="463"/>
      <c r="C4270" s="463"/>
    </row>
    <row r="4271" spans="2:3" x14ac:dyDescent="0.25">
      <c r="B4271" s="463"/>
      <c r="C4271" s="463"/>
    </row>
    <row r="4272" spans="2:3" x14ac:dyDescent="0.25">
      <c r="B4272" s="463"/>
      <c r="C4272" s="463"/>
    </row>
    <row r="4273" spans="2:3" x14ac:dyDescent="0.25">
      <c r="B4273" s="463"/>
      <c r="C4273" s="463"/>
    </row>
    <row r="4274" spans="2:3" x14ac:dyDescent="0.25">
      <c r="B4274" s="463"/>
      <c r="C4274" s="463"/>
    </row>
    <row r="4275" spans="2:3" x14ac:dyDescent="0.25">
      <c r="B4275" s="463"/>
      <c r="C4275" s="463"/>
    </row>
    <row r="4276" spans="2:3" x14ac:dyDescent="0.25">
      <c r="B4276" s="463"/>
      <c r="C4276" s="463"/>
    </row>
    <row r="4277" spans="2:3" x14ac:dyDescent="0.25">
      <c r="B4277" s="463"/>
      <c r="C4277" s="463"/>
    </row>
    <row r="4278" spans="2:3" x14ac:dyDescent="0.25">
      <c r="B4278" s="463"/>
      <c r="C4278" s="463"/>
    </row>
    <row r="4279" spans="2:3" x14ac:dyDescent="0.25">
      <c r="B4279" s="463"/>
      <c r="C4279" s="463"/>
    </row>
    <row r="4280" spans="2:3" x14ac:dyDescent="0.25">
      <c r="B4280" s="463"/>
      <c r="C4280" s="463"/>
    </row>
    <row r="4281" spans="2:3" x14ac:dyDescent="0.25">
      <c r="B4281" s="463"/>
      <c r="C4281" s="463"/>
    </row>
    <row r="4282" spans="2:3" x14ac:dyDescent="0.25">
      <c r="B4282" s="463"/>
      <c r="C4282" s="463"/>
    </row>
    <row r="4283" spans="2:3" x14ac:dyDescent="0.25">
      <c r="B4283" s="463"/>
      <c r="C4283" s="463"/>
    </row>
    <row r="4284" spans="2:3" x14ac:dyDescent="0.25">
      <c r="B4284" s="463"/>
      <c r="C4284" s="463"/>
    </row>
    <row r="4285" spans="2:3" x14ac:dyDescent="0.25">
      <c r="B4285" s="463"/>
      <c r="C4285" s="463"/>
    </row>
    <row r="4286" spans="2:3" x14ac:dyDescent="0.25">
      <c r="B4286" s="463"/>
      <c r="C4286" s="463"/>
    </row>
    <row r="4287" spans="2:3" x14ac:dyDescent="0.25">
      <c r="B4287" s="463"/>
      <c r="C4287" s="463"/>
    </row>
    <row r="4288" spans="2:3" x14ac:dyDescent="0.25">
      <c r="B4288" s="463"/>
      <c r="C4288" s="463"/>
    </row>
    <row r="4289" spans="2:3" x14ac:dyDescent="0.25">
      <c r="B4289" s="463"/>
      <c r="C4289" s="463"/>
    </row>
    <row r="4290" spans="2:3" x14ac:dyDescent="0.25">
      <c r="B4290" s="463"/>
      <c r="C4290" s="463"/>
    </row>
    <row r="4291" spans="2:3" x14ac:dyDescent="0.25">
      <c r="B4291" s="463"/>
      <c r="C4291" s="463"/>
    </row>
    <row r="4292" spans="2:3" x14ac:dyDescent="0.25">
      <c r="B4292" s="463"/>
      <c r="C4292" s="463"/>
    </row>
    <row r="4293" spans="2:3" x14ac:dyDescent="0.25">
      <c r="B4293" s="463"/>
      <c r="C4293" s="463"/>
    </row>
    <row r="4294" spans="2:3" x14ac:dyDescent="0.25">
      <c r="B4294" s="463"/>
      <c r="C4294" s="463"/>
    </row>
    <row r="4295" spans="2:3" x14ac:dyDescent="0.25">
      <c r="B4295" s="463"/>
      <c r="C4295" s="463"/>
    </row>
    <row r="4296" spans="2:3" x14ac:dyDescent="0.25">
      <c r="B4296" s="463"/>
      <c r="C4296" s="463"/>
    </row>
    <row r="4297" spans="2:3" x14ac:dyDescent="0.25">
      <c r="B4297" s="463"/>
      <c r="C4297" s="463"/>
    </row>
    <row r="4298" spans="2:3" x14ac:dyDescent="0.25">
      <c r="B4298" s="463"/>
      <c r="C4298" s="463"/>
    </row>
    <row r="4299" spans="2:3" x14ac:dyDescent="0.25">
      <c r="B4299" s="463"/>
      <c r="C4299" s="463"/>
    </row>
    <row r="4300" spans="2:3" x14ac:dyDescent="0.25">
      <c r="B4300" s="463"/>
      <c r="C4300" s="463"/>
    </row>
    <row r="4301" spans="2:3" x14ac:dyDescent="0.25">
      <c r="B4301" s="463"/>
      <c r="C4301" s="463"/>
    </row>
    <row r="4302" spans="2:3" x14ac:dyDescent="0.25">
      <c r="B4302" s="463"/>
      <c r="C4302" s="463"/>
    </row>
    <row r="4303" spans="2:3" x14ac:dyDescent="0.25">
      <c r="B4303" s="463"/>
      <c r="C4303" s="463"/>
    </row>
    <row r="4304" spans="2:3" x14ac:dyDescent="0.25">
      <c r="B4304" s="463"/>
      <c r="C4304" s="463"/>
    </row>
    <row r="4305" spans="2:3" x14ac:dyDescent="0.25">
      <c r="B4305" s="463"/>
      <c r="C4305" s="463"/>
    </row>
    <row r="4306" spans="2:3" x14ac:dyDescent="0.25">
      <c r="B4306" s="463"/>
      <c r="C4306" s="463"/>
    </row>
    <row r="4307" spans="2:3" x14ac:dyDescent="0.25">
      <c r="B4307" s="463"/>
      <c r="C4307" s="463"/>
    </row>
    <row r="4308" spans="2:3" x14ac:dyDescent="0.25">
      <c r="B4308" s="463"/>
      <c r="C4308" s="463"/>
    </row>
    <row r="4309" spans="2:3" x14ac:dyDescent="0.25">
      <c r="B4309" s="463"/>
      <c r="C4309" s="463"/>
    </row>
    <row r="4310" spans="2:3" x14ac:dyDescent="0.25">
      <c r="B4310" s="463"/>
      <c r="C4310" s="463"/>
    </row>
    <row r="4311" spans="2:3" x14ac:dyDescent="0.25">
      <c r="B4311" s="463"/>
      <c r="C4311" s="463"/>
    </row>
    <row r="4312" spans="2:3" x14ac:dyDescent="0.25">
      <c r="B4312" s="463"/>
      <c r="C4312" s="463"/>
    </row>
    <row r="4313" spans="2:3" x14ac:dyDescent="0.25">
      <c r="B4313" s="463"/>
      <c r="C4313" s="463"/>
    </row>
    <row r="4314" spans="2:3" x14ac:dyDescent="0.25">
      <c r="B4314" s="463"/>
      <c r="C4314" s="463"/>
    </row>
    <row r="4315" spans="2:3" x14ac:dyDescent="0.25">
      <c r="B4315" s="463"/>
      <c r="C4315" s="463"/>
    </row>
    <row r="4316" spans="2:3" x14ac:dyDescent="0.25">
      <c r="B4316" s="463"/>
      <c r="C4316" s="463"/>
    </row>
    <row r="4317" spans="2:3" x14ac:dyDescent="0.25">
      <c r="B4317" s="463"/>
      <c r="C4317" s="463"/>
    </row>
    <row r="4318" spans="2:3" x14ac:dyDescent="0.25">
      <c r="B4318" s="463"/>
      <c r="C4318" s="463"/>
    </row>
    <row r="4319" spans="2:3" x14ac:dyDescent="0.25">
      <c r="B4319" s="463"/>
      <c r="C4319" s="463"/>
    </row>
    <row r="4320" spans="2:3" x14ac:dyDescent="0.25">
      <c r="B4320" s="463"/>
      <c r="C4320" s="463"/>
    </row>
    <row r="4321" spans="2:3" x14ac:dyDescent="0.25">
      <c r="B4321" s="463"/>
      <c r="C4321" s="463"/>
    </row>
    <row r="4322" spans="2:3" x14ac:dyDescent="0.25">
      <c r="B4322" s="463"/>
      <c r="C4322" s="463"/>
    </row>
    <row r="4323" spans="2:3" x14ac:dyDescent="0.25">
      <c r="B4323" s="463"/>
      <c r="C4323" s="463"/>
    </row>
    <row r="4324" spans="2:3" x14ac:dyDescent="0.25">
      <c r="B4324" s="463"/>
      <c r="C4324" s="463"/>
    </row>
    <row r="4325" spans="2:3" x14ac:dyDescent="0.25">
      <c r="B4325" s="463"/>
      <c r="C4325" s="463"/>
    </row>
    <row r="4326" spans="2:3" x14ac:dyDescent="0.25">
      <c r="B4326" s="463"/>
      <c r="C4326" s="463"/>
    </row>
    <row r="4327" spans="2:3" x14ac:dyDescent="0.25">
      <c r="B4327" s="463"/>
      <c r="C4327" s="463"/>
    </row>
    <row r="4328" spans="2:3" x14ac:dyDescent="0.25">
      <c r="B4328" s="463"/>
      <c r="C4328" s="463"/>
    </row>
    <row r="4329" spans="2:3" x14ac:dyDescent="0.25">
      <c r="B4329" s="463"/>
      <c r="C4329" s="463"/>
    </row>
    <row r="4330" spans="2:3" x14ac:dyDescent="0.25">
      <c r="B4330" s="463"/>
      <c r="C4330" s="463"/>
    </row>
    <row r="4331" spans="2:3" x14ac:dyDescent="0.25">
      <c r="B4331" s="463"/>
      <c r="C4331" s="463"/>
    </row>
    <row r="4332" spans="2:3" x14ac:dyDescent="0.25">
      <c r="B4332" s="463"/>
      <c r="C4332" s="463"/>
    </row>
    <row r="4333" spans="2:3" x14ac:dyDescent="0.25">
      <c r="B4333" s="463"/>
      <c r="C4333" s="463"/>
    </row>
    <row r="4334" spans="2:3" x14ac:dyDescent="0.25">
      <c r="B4334" s="463"/>
      <c r="C4334" s="463"/>
    </row>
    <row r="4335" spans="2:3" x14ac:dyDescent="0.25">
      <c r="B4335" s="463"/>
      <c r="C4335" s="463"/>
    </row>
    <row r="4336" spans="2:3" x14ac:dyDescent="0.25">
      <c r="B4336" s="463"/>
      <c r="C4336" s="463"/>
    </row>
    <row r="4337" spans="2:3" x14ac:dyDescent="0.25">
      <c r="B4337" s="463"/>
      <c r="C4337" s="463"/>
    </row>
    <row r="4338" spans="2:3" x14ac:dyDescent="0.25">
      <c r="B4338" s="463"/>
      <c r="C4338" s="463"/>
    </row>
    <row r="4339" spans="2:3" x14ac:dyDescent="0.25">
      <c r="B4339" s="463"/>
      <c r="C4339" s="463"/>
    </row>
    <row r="4340" spans="2:3" x14ac:dyDescent="0.25">
      <c r="B4340" s="463"/>
      <c r="C4340" s="463"/>
    </row>
    <row r="4341" spans="2:3" x14ac:dyDescent="0.25">
      <c r="B4341" s="463"/>
      <c r="C4341" s="463"/>
    </row>
    <row r="4342" spans="2:3" x14ac:dyDescent="0.25">
      <c r="B4342" s="463"/>
      <c r="C4342" s="463"/>
    </row>
    <row r="4343" spans="2:3" x14ac:dyDescent="0.25">
      <c r="B4343" s="463"/>
      <c r="C4343" s="463"/>
    </row>
    <row r="4344" spans="2:3" x14ac:dyDescent="0.25">
      <c r="B4344" s="463"/>
      <c r="C4344" s="463"/>
    </row>
    <row r="4345" spans="2:3" x14ac:dyDescent="0.25">
      <c r="B4345" s="463"/>
      <c r="C4345" s="463"/>
    </row>
    <row r="4346" spans="2:3" x14ac:dyDescent="0.25">
      <c r="B4346" s="463"/>
      <c r="C4346" s="463"/>
    </row>
    <row r="4347" spans="2:3" x14ac:dyDescent="0.25">
      <c r="B4347" s="463"/>
      <c r="C4347" s="463"/>
    </row>
    <row r="4348" spans="2:3" x14ac:dyDescent="0.25">
      <c r="B4348" s="463"/>
      <c r="C4348" s="463"/>
    </row>
    <row r="4349" spans="2:3" x14ac:dyDescent="0.25">
      <c r="B4349" s="463"/>
      <c r="C4349" s="463"/>
    </row>
    <row r="4350" spans="2:3" x14ac:dyDescent="0.25">
      <c r="B4350" s="463"/>
      <c r="C4350" s="463"/>
    </row>
    <row r="4351" spans="2:3" x14ac:dyDescent="0.25">
      <c r="B4351" s="463"/>
      <c r="C4351" s="463"/>
    </row>
    <row r="4352" spans="2:3" x14ac:dyDescent="0.25">
      <c r="B4352" s="463"/>
      <c r="C4352" s="463"/>
    </row>
    <row r="4353" spans="2:3" x14ac:dyDescent="0.25">
      <c r="B4353" s="463"/>
      <c r="C4353" s="463"/>
    </row>
    <row r="4354" spans="2:3" x14ac:dyDescent="0.25">
      <c r="B4354" s="463"/>
      <c r="C4354" s="463"/>
    </row>
    <row r="4355" spans="2:3" x14ac:dyDescent="0.25">
      <c r="B4355" s="463"/>
      <c r="C4355" s="463"/>
    </row>
    <row r="4356" spans="2:3" x14ac:dyDescent="0.25">
      <c r="B4356" s="463"/>
      <c r="C4356" s="463"/>
    </row>
    <row r="4357" spans="2:3" x14ac:dyDescent="0.25">
      <c r="B4357" s="463"/>
      <c r="C4357" s="463"/>
    </row>
    <row r="4358" spans="2:3" x14ac:dyDescent="0.25">
      <c r="B4358" s="463"/>
      <c r="C4358" s="463"/>
    </row>
    <row r="4359" spans="2:3" x14ac:dyDescent="0.25">
      <c r="B4359" s="463"/>
      <c r="C4359" s="463"/>
    </row>
    <row r="4360" spans="2:3" x14ac:dyDescent="0.25">
      <c r="B4360" s="463"/>
      <c r="C4360" s="463"/>
    </row>
    <row r="4361" spans="2:3" x14ac:dyDescent="0.25">
      <c r="B4361" s="463"/>
      <c r="C4361" s="463"/>
    </row>
    <row r="4362" spans="2:3" x14ac:dyDescent="0.25">
      <c r="B4362" s="463"/>
      <c r="C4362" s="463"/>
    </row>
    <row r="4363" spans="2:3" x14ac:dyDescent="0.25">
      <c r="B4363" s="463"/>
      <c r="C4363" s="463"/>
    </row>
    <row r="4364" spans="2:3" x14ac:dyDescent="0.25">
      <c r="B4364" s="463"/>
      <c r="C4364" s="463"/>
    </row>
    <row r="4365" spans="2:3" x14ac:dyDescent="0.25">
      <c r="B4365" s="463"/>
      <c r="C4365" s="463"/>
    </row>
    <row r="4366" spans="2:3" x14ac:dyDescent="0.25">
      <c r="B4366" s="463"/>
      <c r="C4366" s="463"/>
    </row>
    <row r="4367" spans="2:3" x14ac:dyDescent="0.25">
      <c r="B4367" s="463"/>
      <c r="C4367" s="463"/>
    </row>
    <row r="4368" spans="2:3" x14ac:dyDescent="0.25">
      <c r="B4368" s="463"/>
      <c r="C4368" s="463"/>
    </row>
    <row r="4369" spans="2:3" x14ac:dyDescent="0.25">
      <c r="B4369" s="463"/>
      <c r="C4369" s="463"/>
    </row>
    <row r="4370" spans="2:3" x14ac:dyDescent="0.25">
      <c r="B4370" s="463"/>
      <c r="C4370" s="463"/>
    </row>
    <row r="4371" spans="2:3" x14ac:dyDescent="0.25">
      <c r="B4371" s="463"/>
      <c r="C4371" s="463"/>
    </row>
    <row r="4372" spans="2:3" x14ac:dyDescent="0.25">
      <c r="B4372" s="463"/>
      <c r="C4372" s="463"/>
    </row>
    <row r="4373" spans="2:3" x14ac:dyDescent="0.25">
      <c r="B4373" s="463"/>
      <c r="C4373" s="463"/>
    </row>
    <row r="4374" spans="2:3" x14ac:dyDescent="0.25">
      <c r="B4374" s="463"/>
      <c r="C4374" s="463"/>
    </row>
    <row r="4375" spans="2:3" x14ac:dyDescent="0.25">
      <c r="B4375" s="463"/>
      <c r="C4375" s="463"/>
    </row>
    <row r="4376" spans="2:3" x14ac:dyDescent="0.25">
      <c r="B4376" s="463"/>
      <c r="C4376" s="463"/>
    </row>
    <row r="4377" spans="2:3" x14ac:dyDescent="0.25">
      <c r="B4377" s="463"/>
      <c r="C4377" s="463"/>
    </row>
    <row r="4378" spans="2:3" x14ac:dyDescent="0.25">
      <c r="B4378" s="463"/>
      <c r="C4378" s="463"/>
    </row>
    <row r="4379" spans="2:3" x14ac:dyDescent="0.25">
      <c r="B4379" s="463"/>
      <c r="C4379" s="463"/>
    </row>
    <row r="4380" spans="2:3" x14ac:dyDescent="0.25">
      <c r="B4380" s="463"/>
      <c r="C4380" s="463"/>
    </row>
    <row r="4381" spans="2:3" x14ac:dyDescent="0.25">
      <c r="B4381" s="463"/>
      <c r="C4381" s="463"/>
    </row>
    <row r="4382" spans="2:3" x14ac:dyDescent="0.25">
      <c r="B4382" s="463"/>
      <c r="C4382" s="463"/>
    </row>
    <row r="4383" spans="2:3" x14ac:dyDescent="0.25">
      <c r="B4383" s="463"/>
      <c r="C4383" s="463"/>
    </row>
    <row r="4384" spans="2:3" x14ac:dyDescent="0.25">
      <c r="B4384" s="463"/>
      <c r="C4384" s="463"/>
    </row>
    <row r="4385" spans="2:3" x14ac:dyDescent="0.25">
      <c r="B4385" s="463"/>
      <c r="C4385" s="463"/>
    </row>
    <row r="4386" spans="2:3" x14ac:dyDescent="0.25">
      <c r="B4386" s="463"/>
      <c r="C4386" s="463"/>
    </row>
    <row r="4387" spans="2:3" x14ac:dyDescent="0.25">
      <c r="B4387" s="463"/>
      <c r="C4387" s="463"/>
    </row>
    <row r="4388" spans="2:3" x14ac:dyDescent="0.25">
      <c r="B4388" s="463"/>
      <c r="C4388" s="463"/>
    </row>
    <row r="4389" spans="2:3" x14ac:dyDescent="0.25">
      <c r="B4389" s="463"/>
      <c r="C4389" s="463"/>
    </row>
    <row r="4390" spans="2:3" x14ac:dyDescent="0.25">
      <c r="B4390" s="463"/>
      <c r="C4390" s="463"/>
    </row>
    <row r="4391" spans="2:3" x14ac:dyDescent="0.25">
      <c r="B4391" s="463"/>
      <c r="C4391" s="463"/>
    </row>
    <row r="4392" spans="2:3" x14ac:dyDescent="0.25">
      <c r="B4392" s="463"/>
      <c r="C4392" s="463"/>
    </row>
    <row r="4393" spans="2:3" x14ac:dyDescent="0.25">
      <c r="B4393" s="463"/>
      <c r="C4393" s="463"/>
    </row>
    <row r="4394" spans="2:3" x14ac:dyDescent="0.25">
      <c r="B4394" s="463"/>
      <c r="C4394" s="463"/>
    </row>
    <row r="4395" spans="2:3" x14ac:dyDescent="0.25">
      <c r="B4395" s="463"/>
      <c r="C4395" s="463"/>
    </row>
    <row r="4396" spans="2:3" x14ac:dyDescent="0.25">
      <c r="B4396" s="463"/>
      <c r="C4396" s="463"/>
    </row>
    <row r="4397" spans="2:3" x14ac:dyDescent="0.25">
      <c r="B4397" s="463"/>
      <c r="C4397" s="463"/>
    </row>
    <row r="4398" spans="2:3" x14ac:dyDescent="0.25">
      <c r="B4398" s="463"/>
      <c r="C4398" s="463"/>
    </row>
    <row r="4399" spans="2:3" x14ac:dyDescent="0.25">
      <c r="B4399" s="463"/>
      <c r="C4399" s="463"/>
    </row>
    <row r="4400" spans="2:3" x14ac:dyDescent="0.25">
      <c r="B4400" s="463"/>
      <c r="C4400" s="463"/>
    </row>
    <row r="4401" spans="2:3" x14ac:dyDescent="0.25">
      <c r="B4401" s="463"/>
      <c r="C4401" s="463"/>
    </row>
    <row r="4402" spans="2:3" x14ac:dyDescent="0.25">
      <c r="B4402" s="463"/>
      <c r="C4402" s="463"/>
    </row>
    <row r="4403" spans="2:3" x14ac:dyDescent="0.25">
      <c r="B4403" s="463"/>
      <c r="C4403" s="463"/>
    </row>
    <row r="4404" spans="2:3" x14ac:dyDescent="0.25">
      <c r="B4404" s="463"/>
      <c r="C4404" s="463"/>
    </row>
    <row r="4405" spans="2:3" x14ac:dyDescent="0.25">
      <c r="B4405" s="463"/>
      <c r="C4405" s="463"/>
    </row>
    <row r="4406" spans="2:3" x14ac:dyDescent="0.25">
      <c r="B4406" s="463"/>
      <c r="C4406" s="463"/>
    </row>
    <row r="4407" spans="2:3" x14ac:dyDescent="0.25">
      <c r="B4407" s="463"/>
      <c r="C4407" s="463"/>
    </row>
    <row r="4408" spans="2:3" x14ac:dyDescent="0.25">
      <c r="B4408" s="463"/>
      <c r="C4408" s="463"/>
    </row>
    <row r="4409" spans="2:3" x14ac:dyDescent="0.25">
      <c r="B4409" s="463"/>
      <c r="C4409" s="463"/>
    </row>
    <row r="4410" spans="2:3" x14ac:dyDescent="0.25">
      <c r="B4410" s="463"/>
      <c r="C4410" s="463"/>
    </row>
    <row r="4411" spans="2:3" x14ac:dyDescent="0.25">
      <c r="B4411" s="463"/>
      <c r="C4411" s="463"/>
    </row>
    <row r="4412" spans="2:3" x14ac:dyDescent="0.25">
      <c r="B4412" s="463"/>
      <c r="C4412" s="463"/>
    </row>
    <row r="4413" spans="2:3" x14ac:dyDescent="0.25">
      <c r="B4413" s="463"/>
      <c r="C4413" s="463"/>
    </row>
    <row r="4414" spans="2:3" x14ac:dyDescent="0.25">
      <c r="B4414" s="463"/>
      <c r="C4414" s="463"/>
    </row>
    <row r="4415" spans="2:3" x14ac:dyDescent="0.25">
      <c r="B4415" s="463"/>
      <c r="C4415" s="463"/>
    </row>
    <row r="4416" spans="2:3" x14ac:dyDescent="0.25">
      <c r="B4416" s="463"/>
      <c r="C4416" s="463"/>
    </row>
    <row r="4417" spans="2:3" x14ac:dyDescent="0.25">
      <c r="B4417" s="463"/>
      <c r="C4417" s="463"/>
    </row>
    <row r="4418" spans="2:3" x14ac:dyDescent="0.25">
      <c r="B4418" s="463"/>
      <c r="C4418" s="463"/>
    </row>
    <row r="4419" spans="2:3" x14ac:dyDescent="0.25">
      <c r="B4419" s="463"/>
      <c r="C4419" s="463"/>
    </row>
    <row r="4420" spans="2:3" x14ac:dyDescent="0.25">
      <c r="B4420" s="463"/>
      <c r="C4420" s="463"/>
    </row>
    <row r="4421" spans="2:3" x14ac:dyDescent="0.25">
      <c r="B4421" s="463"/>
      <c r="C4421" s="463"/>
    </row>
    <row r="4422" spans="2:3" x14ac:dyDescent="0.25">
      <c r="B4422" s="463"/>
      <c r="C4422" s="463"/>
    </row>
    <row r="4423" spans="2:3" x14ac:dyDescent="0.25">
      <c r="B4423" s="463"/>
      <c r="C4423" s="463"/>
    </row>
    <row r="4424" spans="2:3" x14ac:dyDescent="0.25">
      <c r="B4424" s="463"/>
      <c r="C4424" s="463"/>
    </row>
    <row r="4425" spans="2:3" x14ac:dyDescent="0.25">
      <c r="B4425" s="463"/>
      <c r="C4425" s="463"/>
    </row>
    <row r="4426" spans="2:3" x14ac:dyDescent="0.25">
      <c r="B4426" s="463"/>
      <c r="C4426" s="463"/>
    </row>
    <row r="4427" spans="2:3" x14ac:dyDescent="0.25">
      <c r="B4427" s="463"/>
      <c r="C4427" s="463"/>
    </row>
    <row r="4428" spans="2:3" x14ac:dyDescent="0.25">
      <c r="B4428" s="463"/>
      <c r="C4428" s="463"/>
    </row>
    <row r="4429" spans="2:3" x14ac:dyDescent="0.25">
      <c r="B4429" s="463"/>
      <c r="C4429" s="463"/>
    </row>
    <row r="4430" spans="2:3" x14ac:dyDescent="0.25">
      <c r="B4430" s="463"/>
      <c r="C4430" s="463"/>
    </row>
    <row r="4431" spans="2:3" x14ac:dyDescent="0.25">
      <c r="B4431" s="463"/>
      <c r="C4431" s="463"/>
    </row>
    <row r="4432" spans="2:3" x14ac:dyDescent="0.25">
      <c r="B4432" s="463"/>
      <c r="C4432" s="463"/>
    </row>
    <row r="4433" spans="2:3" x14ac:dyDescent="0.25">
      <c r="B4433" s="463"/>
      <c r="C4433" s="463"/>
    </row>
    <row r="4434" spans="2:3" x14ac:dyDescent="0.25">
      <c r="B4434" s="463"/>
      <c r="C4434" s="463"/>
    </row>
    <row r="4435" spans="2:3" x14ac:dyDescent="0.25">
      <c r="B4435" s="463"/>
      <c r="C4435" s="463"/>
    </row>
    <row r="4436" spans="2:3" x14ac:dyDescent="0.25">
      <c r="B4436" s="463"/>
      <c r="C4436" s="463"/>
    </row>
    <row r="4437" spans="2:3" x14ac:dyDescent="0.25">
      <c r="B4437" s="463"/>
      <c r="C4437" s="463"/>
    </row>
    <row r="4438" spans="2:3" x14ac:dyDescent="0.25">
      <c r="B4438" s="463"/>
      <c r="C4438" s="463"/>
    </row>
    <row r="4439" spans="2:3" x14ac:dyDescent="0.25">
      <c r="B4439" s="463"/>
      <c r="C4439" s="463"/>
    </row>
    <row r="4440" spans="2:3" x14ac:dyDescent="0.25">
      <c r="B4440" s="463"/>
      <c r="C4440" s="463"/>
    </row>
    <row r="4441" spans="2:3" x14ac:dyDescent="0.25">
      <c r="B4441" s="463"/>
      <c r="C4441" s="463"/>
    </row>
    <row r="4442" spans="2:3" x14ac:dyDescent="0.25">
      <c r="B4442" s="463"/>
      <c r="C4442" s="463"/>
    </row>
    <row r="4443" spans="2:3" x14ac:dyDescent="0.25">
      <c r="B4443" s="463"/>
      <c r="C4443" s="463"/>
    </row>
    <row r="4444" spans="2:3" x14ac:dyDescent="0.25">
      <c r="B4444" s="463"/>
      <c r="C4444" s="463"/>
    </row>
    <row r="4445" spans="2:3" x14ac:dyDescent="0.25">
      <c r="B4445" s="463"/>
      <c r="C4445" s="463"/>
    </row>
    <row r="4446" spans="2:3" x14ac:dyDescent="0.25">
      <c r="B4446" s="463"/>
      <c r="C4446" s="463"/>
    </row>
    <row r="4447" spans="2:3" x14ac:dyDescent="0.25">
      <c r="B4447" s="463"/>
      <c r="C4447" s="463"/>
    </row>
    <row r="4448" spans="2:3" x14ac:dyDescent="0.25">
      <c r="B4448" s="463"/>
      <c r="C4448" s="463"/>
    </row>
    <row r="4449" spans="2:3" x14ac:dyDescent="0.25">
      <c r="B4449" s="463"/>
      <c r="C4449" s="463"/>
    </row>
    <row r="4450" spans="2:3" x14ac:dyDescent="0.25">
      <c r="B4450" s="463"/>
      <c r="C4450" s="463"/>
    </row>
    <row r="4451" spans="2:3" x14ac:dyDescent="0.25">
      <c r="B4451" s="463"/>
      <c r="C4451" s="463"/>
    </row>
    <row r="4452" spans="2:3" x14ac:dyDescent="0.25">
      <c r="B4452" s="463"/>
      <c r="C4452" s="463"/>
    </row>
    <row r="4453" spans="2:3" x14ac:dyDescent="0.25">
      <c r="B4453" s="463"/>
      <c r="C4453" s="463"/>
    </row>
    <row r="4454" spans="2:3" x14ac:dyDescent="0.25">
      <c r="B4454" s="463"/>
      <c r="C4454" s="463"/>
    </row>
    <row r="4455" spans="2:3" x14ac:dyDescent="0.25">
      <c r="B4455" s="463"/>
      <c r="C4455" s="463"/>
    </row>
    <row r="4456" spans="2:3" x14ac:dyDescent="0.25">
      <c r="B4456" s="463"/>
      <c r="C4456" s="463"/>
    </row>
    <row r="4457" spans="2:3" x14ac:dyDescent="0.25">
      <c r="B4457" s="463"/>
      <c r="C4457" s="463"/>
    </row>
    <row r="4458" spans="2:3" x14ac:dyDescent="0.25">
      <c r="B4458" s="463"/>
      <c r="C4458" s="463"/>
    </row>
    <row r="4459" spans="2:3" x14ac:dyDescent="0.25">
      <c r="B4459" s="463"/>
      <c r="C4459" s="463"/>
    </row>
    <row r="4460" spans="2:3" x14ac:dyDescent="0.25">
      <c r="B4460" s="463"/>
      <c r="C4460" s="463"/>
    </row>
    <row r="4461" spans="2:3" x14ac:dyDescent="0.25">
      <c r="B4461" s="463"/>
      <c r="C4461" s="463"/>
    </row>
    <row r="4462" spans="2:3" x14ac:dyDescent="0.25">
      <c r="B4462" s="463"/>
      <c r="C4462" s="463"/>
    </row>
    <row r="4463" spans="2:3" x14ac:dyDescent="0.25">
      <c r="B4463" s="463"/>
      <c r="C4463" s="463"/>
    </row>
    <row r="4464" spans="2:3" x14ac:dyDescent="0.25">
      <c r="B4464" s="463"/>
      <c r="C4464" s="463"/>
    </row>
    <row r="4465" spans="2:3" x14ac:dyDescent="0.25">
      <c r="B4465" s="463"/>
      <c r="C4465" s="463"/>
    </row>
    <row r="4466" spans="2:3" x14ac:dyDescent="0.25">
      <c r="B4466" s="463"/>
      <c r="C4466" s="463"/>
    </row>
    <row r="4467" spans="2:3" x14ac:dyDescent="0.25">
      <c r="B4467" s="463"/>
      <c r="C4467" s="463"/>
    </row>
    <row r="4468" spans="2:3" x14ac:dyDescent="0.25">
      <c r="B4468" s="463"/>
      <c r="C4468" s="463"/>
    </row>
    <row r="4469" spans="2:3" x14ac:dyDescent="0.25">
      <c r="B4469" s="463"/>
      <c r="C4469" s="463"/>
    </row>
    <row r="4470" spans="2:3" x14ac:dyDescent="0.25">
      <c r="B4470" s="463"/>
      <c r="C4470" s="463"/>
    </row>
    <row r="4471" spans="2:3" x14ac:dyDescent="0.25">
      <c r="B4471" s="463"/>
      <c r="C4471" s="463"/>
    </row>
    <row r="4472" spans="2:3" x14ac:dyDescent="0.25">
      <c r="B4472" s="463"/>
      <c r="C4472" s="463"/>
    </row>
    <row r="4473" spans="2:3" x14ac:dyDescent="0.25">
      <c r="B4473" s="463"/>
      <c r="C4473" s="463"/>
    </row>
    <row r="4474" spans="2:3" x14ac:dyDescent="0.25">
      <c r="B4474" s="463"/>
      <c r="C4474" s="463"/>
    </row>
    <row r="4475" spans="2:3" x14ac:dyDescent="0.25">
      <c r="B4475" s="463"/>
      <c r="C4475" s="463"/>
    </row>
    <row r="4476" spans="2:3" x14ac:dyDescent="0.25">
      <c r="B4476" s="463"/>
      <c r="C4476" s="463"/>
    </row>
    <row r="4477" spans="2:3" x14ac:dyDescent="0.25">
      <c r="B4477" s="463"/>
      <c r="C4477" s="463"/>
    </row>
    <row r="4478" spans="2:3" x14ac:dyDescent="0.25">
      <c r="B4478" s="463"/>
      <c r="C4478" s="463"/>
    </row>
    <row r="4479" spans="2:3" x14ac:dyDescent="0.25">
      <c r="B4479" s="463"/>
      <c r="C4479" s="463"/>
    </row>
    <row r="4480" spans="2:3" x14ac:dyDescent="0.25">
      <c r="B4480" s="463"/>
      <c r="C4480" s="463"/>
    </row>
    <row r="4481" spans="2:3" x14ac:dyDescent="0.25">
      <c r="B4481" s="463"/>
      <c r="C4481" s="463"/>
    </row>
    <row r="4482" spans="2:3" x14ac:dyDescent="0.25">
      <c r="B4482" s="463"/>
      <c r="C4482" s="463"/>
    </row>
    <row r="4483" spans="2:3" x14ac:dyDescent="0.25">
      <c r="B4483" s="463"/>
      <c r="C4483" s="463"/>
    </row>
    <row r="4484" spans="2:3" x14ac:dyDescent="0.25">
      <c r="B4484" s="463"/>
      <c r="C4484" s="463"/>
    </row>
    <row r="4485" spans="2:3" x14ac:dyDescent="0.25">
      <c r="B4485" s="463"/>
      <c r="C4485" s="463"/>
    </row>
    <row r="4486" spans="2:3" x14ac:dyDescent="0.25">
      <c r="B4486" s="463"/>
      <c r="C4486" s="463"/>
    </row>
    <row r="4487" spans="2:3" x14ac:dyDescent="0.25">
      <c r="B4487" s="463"/>
      <c r="C4487" s="463"/>
    </row>
    <row r="4488" spans="2:3" x14ac:dyDescent="0.25">
      <c r="B4488" s="463"/>
      <c r="C4488" s="463"/>
    </row>
    <row r="4489" spans="2:3" x14ac:dyDescent="0.25">
      <c r="B4489" s="463"/>
      <c r="C4489" s="463"/>
    </row>
    <row r="4490" spans="2:3" x14ac:dyDescent="0.25">
      <c r="B4490" s="463"/>
      <c r="C4490" s="463"/>
    </row>
    <row r="4491" spans="2:3" x14ac:dyDescent="0.25">
      <c r="B4491" s="463"/>
      <c r="C4491" s="463"/>
    </row>
    <row r="4492" spans="2:3" x14ac:dyDescent="0.25">
      <c r="B4492" s="463"/>
      <c r="C4492" s="463"/>
    </row>
    <row r="4493" spans="2:3" x14ac:dyDescent="0.25">
      <c r="B4493" s="463"/>
      <c r="C4493" s="463"/>
    </row>
    <row r="4494" spans="2:3" x14ac:dyDescent="0.25">
      <c r="B4494" s="463"/>
      <c r="C4494" s="463"/>
    </row>
    <row r="4495" spans="2:3" x14ac:dyDescent="0.25">
      <c r="B4495" s="463"/>
      <c r="C4495" s="463"/>
    </row>
    <row r="4496" spans="2:3" x14ac:dyDescent="0.25">
      <c r="B4496" s="463"/>
      <c r="C4496" s="463"/>
    </row>
    <row r="4497" spans="2:3" x14ac:dyDescent="0.25">
      <c r="B4497" s="463"/>
      <c r="C4497" s="463"/>
    </row>
    <row r="4498" spans="2:3" x14ac:dyDescent="0.25">
      <c r="B4498" s="463"/>
      <c r="C4498" s="463"/>
    </row>
    <row r="4499" spans="2:3" x14ac:dyDescent="0.25">
      <c r="B4499" s="463"/>
      <c r="C4499" s="463"/>
    </row>
    <row r="4500" spans="2:3" x14ac:dyDescent="0.25">
      <c r="B4500" s="463"/>
      <c r="C4500" s="463"/>
    </row>
    <row r="4501" spans="2:3" x14ac:dyDescent="0.25">
      <c r="B4501" s="463"/>
      <c r="C4501" s="463"/>
    </row>
    <row r="4502" spans="2:3" x14ac:dyDescent="0.25">
      <c r="B4502" s="463"/>
      <c r="C4502" s="463"/>
    </row>
    <row r="4503" spans="2:3" x14ac:dyDescent="0.25">
      <c r="B4503" s="463"/>
      <c r="C4503" s="463"/>
    </row>
    <row r="4504" spans="2:3" x14ac:dyDescent="0.25">
      <c r="B4504" s="463"/>
      <c r="C4504" s="463"/>
    </row>
    <row r="4505" spans="2:3" x14ac:dyDescent="0.25">
      <c r="B4505" s="463"/>
      <c r="C4505" s="463"/>
    </row>
    <row r="4506" spans="2:3" x14ac:dyDescent="0.25">
      <c r="B4506" s="463"/>
      <c r="C4506" s="463"/>
    </row>
    <row r="4507" spans="2:3" x14ac:dyDescent="0.25">
      <c r="B4507" s="463"/>
      <c r="C4507" s="463"/>
    </row>
    <row r="4508" spans="2:3" x14ac:dyDescent="0.25">
      <c r="B4508" s="463"/>
      <c r="C4508" s="463"/>
    </row>
    <row r="4509" spans="2:3" x14ac:dyDescent="0.25">
      <c r="B4509" s="463"/>
      <c r="C4509" s="463"/>
    </row>
    <row r="4510" spans="2:3" x14ac:dyDescent="0.25">
      <c r="B4510" s="463"/>
      <c r="C4510" s="463"/>
    </row>
    <row r="4511" spans="2:3" x14ac:dyDescent="0.25">
      <c r="B4511" s="463"/>
      <c r="C4511" s="463"/>
    </row>
    <row r="4512" spans="2:3" x14ac:dyDescent="0.25">
      <c r="B4512" s="463"/>
      <c r="C4512" s="463"/>
    </row>
    <row r="4513" spans="2:3" x14ac:dyDescent="0.25">
      <c r="B4513" s="463"/>
      <c r="C4513" s="463"/>
    </row>
    <row r="4514" spans="2:3" x14ac:dyDescent="0.25">
      <c r="B4514" s="463"/>
      <c r="C4514" s="463"/>
    </row>
    <row r="4515" spans="2:3" x14ac:dyDescent="0.25">
      <c r="B4515" s="463"/>
      <c r="C4515" s="463"/>
    </row>
    <row r="4516" spans="2:3" x14ac:dyDescent="0.25">
      <c r="B4516" s="463"/>
      <c r="C4516" s="463"/>
    </row>
    <row r="4517" spans="2:3" x14ac:dyDescent="0.25">
      <c r="B4517" s="463"/>
      <c r="C4517" s="463"/>
    </row>
    <row r="4518" spans="2:3" x14ac:dyDescent="0.25">
      <c r="B4518" s="463"/>
      <c r="C4518" s="463"/>
    </row>
    <row r="4519" spans="2:3" x14ac:dyDescent="0.25">
      <c r="B4519" s="463"/>
      <c r="C4519" s="463"/>
    </row>
    <row r="4520" spans="2:3" x14ac:dyDescent="0.25">
      <c r="B4520" s="463"/>
      <c r="C4520" s="463"/>
    </row>
    <row r="4521" spans="2:3" x14ac:dyDescent="0.25">
      <c r="B4521" s="463"/>
      <c r="C4521" s="463"/>
    </row>
    <row r="4522" spans="2:3" x14ac:dyDescent="0.25">
      <c r="B4522" s="463"/>
      <c r="C4522" s="463"/>
    </row>
    <row r="4523" spans="2:3" x14ac:dyDescent="0.25">
      <c r="B4523" s="463"/>
      <c r="C4523" s="463"/>
    </row>
    <row r="4524" spans="2:3" x14ac:dyDescent="0.25">
      <c r="B4524" s="463"/>
      <c r="C4524" s="463"/>
    </row>
    <row r="4525" spans="2:3" x14ac:dyDescent="0.25">
      <c r="B4525" s="463"/>
      <c r="C4525" s="463"/>
    </row>
    <row r="4526" spans="2:3" x14ac:dyDescent="0.25">
      <c r="B4526" s="463"/>
      <c r="C4526" s="463"/>
    </row>
    <row r="4527" spans="2:3" x14ac:dyDescent="0.25">
      <c r="B4527" s="463"/>
      <c r="C4527" s="463"/>
    </row>
    <row r="4528" spans="2:3" x14ac:dyDescent="0.25">
      <c r="B4528" s="463"/>
      <c r="C4528" s="463"/>
    </row>
    <row r="4529" spans="2:3" x14ac:dyDescent="0.25">
      <c r="B4529" s="463"/>
      <c r="C4529" s="463"/>
    </row>
    <row r="4530" spans="2:3" x14ac:dyDescent="0.25">
      <c r="B4530" s="463"/>
      <c r="C4530" s="463"/>
    </row>
    <row r="4531" spans="2:3" x14ac:dyDescent="0.25">
      <c r="B4531" s="463"/>
      <c r="C4531" s="463"/>
    </row>
    <row r="4532" spans="2:3" x14ac:dyDescent="0.25">
      <c r="B4532" s="463"/>
      <c r="C4532" s="463"/>
    </row>
    <row r="4533" spans="2:3" x14ac:dyDescent="0.25">
      <c r="B4533" s="463"/>
      <c r="C4533" s="463"/>
    </row>
    <row r="4534" spans="2:3" x14ac:dyDescent="0.25">
      <c r="B4534" s="463"/>
      <c r="C4534" s="463"/>
    </row>
    <row r="4535" spans="2:3" x14ac:dyDescent="0.25">
      <c r="B4535" s="463"/>
      <c r="C4535" s="463"/>
    </row>
    <row r="4536" spans="2:3" x14ac:dyDescent="0.25">
      <c r="B4536" s="463"/>
      <c r="C4536" s="463"/>
    </row>
    <row r="4537" spans="2:3" x14ac:dyDescent="0.25">
      <c r="B4537" s="463"/>
      <c r="C4537" s="463"/>
    </row>
    <row r="4538" spans="2:3" x14ac:dyDescent="0.25">
      <c r="B4538" s="463"/>
      <c r="C4538" s="463"/>
    </row>
    <row r="4539" spans="2:3" x14ac:dyDescent="0.25">
      <c r="B4539" s="463"/>
      <c r="C4539" s="463"/>
    </row>
    <row r="4540" spans="2:3" x14ac:dyDescent="0.25">
      <c r="B4540" s="463"/>
      <c r="C4540" s="463"/>
    </row>
    <row r="4541" spans="2:3" x14ac:dyDescent="0.25">
      <c r="B4541" s="463"/>
      <c r="C4541" s="463"/>
    </row>
    <row r="4542" spans="2:3" x14ac:dyDescent="0.25">
      <c r="B4542" s="463"/>
      <c r="C4542" s="463"/>
    </row>
    <row r="4543" spans="2:3" x14ac:dyDescent="0.25">
      <c r="B4543" s="463"/>
      <c r="C4543" s="463"/>
    </row>
    <row r="4544" spans="2:3" x14ac:dyDescent="0.25">
      <c r="B4544" s="463"/>
      <c r="C4544" s="463"/>
    </row>
    <row r="4545" spans="2:3" x14ac:dyDescent="0.25">
      <c r="B4545" s="463"/>
      <c r="C4545" s="463"/>
    </row>
    <row r="4546" spans="2:3" x14ac:dyDescent="0.25">
      <c r="B4546" s="463"/>
      <c r="C4546" s="463"/>
    </row>
    <row r="4547" spans="2:3" x14ac:dyDescent="0.25">
      <c r="B4547" s="463"/>
      <c r="C4547" s="463"/>
    </row>
    <row r="4548" spans="2:3" x14ac:dyDescent="0.25">
      <c r="B4548" s="463"/>
      <c r="C4548" s="463"/>
    </row>
    <row r="4549" spans="2:3" x14ac:dyDescent="0.25">
      <c r="B4549" s="463"/>
      <c r="C4549" s="463"/>
    </row>
    <row r="4550" spans="2:3" x14ac:dyDescent="0.25">
      <c r="B4550" s="463"/>
      <c r="C4550" s="463"/>
    </row>
    <row r="4551" spans="2:3" x14ac:dyDescent="0.25">
      <c r="B4551" s="463"/>
      <c r="C4551" s="463"/>
    </row>
    <row r="4552" spans="2:3" x14ac:dyDescent="0.25">
      <c r="B4552" s="463"/>
      <c r="C4552" s="463"/>
    </row>
    <row r="4553" spans="2:3" x14ac:dyDescent="0.25">
      <c r="B4553" s="463"/>
      <c r="C4553" s="463"/>
    </row>
    <row r="4554" spans="2:3" x14ac:dyDescent="0.25">
      <c r="B4554" s="463"/>
      <c r="C4554" s="463"/>
    </row>
    <row r="4555" spans="2:3" x14ac:dyDescent="0.25">
      <c r="B4555" s="463"/>
      <c r="C4555" s="463"/>
    </row>
    <row r="4556" spans="2:3" x14ac:dyDescent="0.25">
      <c r="B4556" s="463"/>
      <c r="C4556" s="463"/>
    </row>
    <row r="4557" spans="2:3" x14ac:dyDescent="0.25">
      <c r="B4557" s="463"/>
      <c r="C4557" s="463"/>
    </row>
    <row r="4558" spans="2:3" x14ac:dyDescent="0.25">
      <c r="B4558" s="463"/>
      <c r="C4558" s="463"/>
    </row>
    <row r="4559" spans="2:3" x14ac:dyDescent="0.25">
      <c r="B4559" s="463"/>
      <c r="C4559" s="463"/>
    </row>
    <row r="4560" spans="2:3" x14ac:dyDescent="0.25">
      <c r="B4560" s="463"/>
      <c r="C4560" s="463"/>
    </row>
    <row r="4561" spans="2:3" x14ac:dyDescent="0.25">
      <c r="B4561" s="463"/>
      <c r="C4561" s="463"/>
    </row>
    <row r="4562" spans="2:3" x14ac:dyDescent="0.25">
      <c r="B4562" s="463"/>
      <c r="C4562" s="463"/>
    </row>
    <row r="4563" spans="2:3" x14ac:dyDescent="0.25">
      <c r="B4563" s="463"/>
      <c r="C4563" s="463"/>
    </row>
    <row r="4564" spans="2:3" x14ac:dyDescent="0.25">
      <c r="B4564" s="463"/>
      <c r="C4564" s="463"/>
    </row>
    <row r="4565" spans="2:3" x14ac:dyDescent="0.25">
      <c r="B4565" s="463"/>
      <c r="C4565" s="463"/>
    </row>
    <row r="4566" spans="2:3" x14ac:dyDescent="0.25">
      <c r="B4566" s="463"/>
      <c r="C4566" s="463"/>
    </row>
    <row r="4567" spans="2:3" x14ac:dyDescent="0.25">
      <c r="B4567" s="463"/>
      <c r="C4567" s="463"/>
    </row>
    <row r="4568" spans="2:3" x14ac:dyDescent="0.25">
      <c r="B4568" s="463"/>
      <c r="C4568" s="463"/>
    </row>
    <row r="4569" spans="2:3" x14ac:dyDescent="0.25">
      <c r="B4569" s="463"/>
      <c r="C4569" s="463"/>
    </row>
    <row r="4570" spans="2:3" x14ac:dyDescent="0.25">
      <c r="B4570" s="463"/>
      <c r="C4570" s="463"/>
    </row>
    <row r="4571" spans="2:3" x14ac:dyDescent="0.25">
      <c r="B4571" s="463"/>
      <c r="C4571" s="463"/>
    </row>
    <row r="4572" spans="2:3" x14ac:dyDescent="0.25">
      <c r="B4572" s="463"/>
      <c r="C4572" s="463"/>
    </row>
    <row r="4573" spans="2:3" x14ac:dyDescent="0.25">
      <c r="B4573" s="463"/>
      <c r="C4573" s="463"/>
    </row>
    <row r="4574" spans="2:3" x14ac:dyDescent="0.25">
      <c r="B4574" s="463"/>
      <c r="C4574" s="463"/>
    </row>
    <row r="4575" spans="2:3" x14ac:dyDescent="0.25">
      <c r="B4575" s="463"/>
      <c r="C4575" s="463"/>
    </row>
    <row r="4576" spans="2:3" x14ac:dyDescent="0.25">
      <c r="B4576" s="463"/>
      <c r="C4576" s="463"/>
    </row>
    <row r="4577" spans="2:3" x14ac:dyDescent="0.25">
      <c r="B4577" s="463"/>
      <c r="C4577" s="463"/>
    </row>
    <row r="4578" spans="2:3" x14ac:dyDescent="0.25">
      <c r="B4578" s="463"/>
      <c r="C4578" s="463"/>
    </row>
    <row r="4579" spans="2:3" x14ac:dyDescent="0.25">
      <c r="B4579" s="463"/>
      <c r="C4579" s="463"/>
    </row>
    <row r="4580" spans="2:3" x14ac:dyDescent="0.25">
      <c r="B4580" s="463"/>
      <c r="C4580" s="463"/>
    </row>
    <row r="4581" spans="2:3" x14ac:dyDescent="0.25">
      <c r="B4581" s="463"/>
      <c r="C4581" s="463"/>
    </row>
    <row r="4582" spans="2:3" x14ac:dyDescent="0.25">
      <c r="B4582" s="463"/>
      <c r="C4582" s="463"/>
    </row>
    <row r="4583" spans="2:3" x14ac:dyDescent="0.25">
      <c r="B4583" s="463"/>
      <c r="C4583" s="463"/>
    </row>
    <row r="4584" spans="2:3" x14ac:dyDescent="0.25">
      <c r="B4584" s="463"/>
      <c r="C4584" s="463"/>
    </row>
    <row r="4585" spans="2:3" x14ac:dyDescent="0.25">
      <c r="B4585" s="463"/>
      <c r="C4585" s="463"/>
    </row>
    <row r="4586" spans="2:3" x14ac:dyDescent="0.25">
      <c r="B4586" s="463"/>
      <c r="C4586" s="463"/>
    </row>
    <row r="4587" spans="2:3" x14ac:dyDescent="0.25">
      <c r="B4587" s="463"/>
      <c r="C4587" s="463"/>
    </row>
    <row r="4588" spans="2:3" x14ac:dyDescent="0.25">
      <c r="B4588" s="463"/>
      <c r="C4588" s="463"/>
    </row>
    <row r="4589" spans="2:3" x14ac:dyDescent="0.25">
      <c r="B4589" s="463"/>
      <c r="C4589" s="463"/>
    </row>
    <row r="4590" spans="2:3" x14ac:dyDescent="0.25">
      <c r="B4590" s="463"/>
      <c r="C4590" s="463"/>
    </row>
    <row r="4591" spans="2:3" x14ac:dyDescent="0.25">
      <c r="B4591" s="463"/>
      <c r="C4591" s="463"/>
    </row>
    <row r="4592" spans="2:3" x14ac:dyDescent="0.25">
      <c r="B4592" s="463"/>
      <c r="C4592" s="463"/>
    </row>
    <row r="4593" spans="2:3" x14ac:dyDescent="0.25">
      <c r="B4593" s="463"/>
      <c r="C4593" s="463"/>
    </row>
    <row r="4594" spans="2:3" x14ac:dyDescent="0.25">
      <c r="B4594" s="463"/>
      <c r="C4594" s="463"/>
    </row>
    <row r="4595" spans="2:3" x14ac:dyDescent="0.25">
      <c r="B4595" s="463"/>
      <c r="C4595" s="463"/>
    </row>
    <row r="4596" spans="2:3" x14ac:dyDescent="0.25">
      <c r="B4596" s="463"/>
      <c r="C4596" s="463"/>
    </row>
    <row r="4597" spans="2:3" x14ac:dyDescent="0.25">
      <c r="B4597" s="463"/>
      <c r="C4597" s="463"/>
    </row>
    <row r="4598" spans="2:3" x14ac:dyDescent="0.25">
      <c r="B4598" s="463"/>
      <c r="C4598" s="463"/>
    </row>
    <row r="4599" spans="2:3" x14ac:dyDescent="0.25">
      <c r="B4599" s="463"/>
      <c r="C4599" s="463"/>
    </row>
    <row r="4600" spans="2:3" x14ac:dyDescent="0.25">
      <c r="B4600" s="463"/>
      <c r="C4600" s="463"/>
    </row>
    <row r="4601" spans="2:3" x14ac:dyDescent="0.25">
      <c r="B4601" s="463"/>
      <c r="C4601" s="463"/>
    </row>
    <row r="4602" spans="2:3" x14ac:dyDescent="0.25">
      <c r="B4602" s="463"/>
      <c r="C4602" s="463"/>
    </row>
    <row r="4603" spans="2:3" x14ac:dyDescent="0.25">
      <c r="B4603" s="463"/>
      <c r="C4603" s="463"/>
    </row>
    <row r="4604" spans="2:3" x14ac:dyDescent="0.25">
      <c r="B4604" s="463"/>
      <c r="C4604" s="463"/>
    </row>
    <row r="4605" spans="2:3" x14ac:dyDescent="0.25">
      <c r="B4605" s="463"/>
      <c r="C4605" s="463"/>
    </row>
    <row r="4606" spans="2:3" x14ac:dyDescent="0.25">
      <c r="B4606" s="463"/>
      <c r="C4606" s="463"/>
    </row>
    <row r="4607" spans="2:3" x14ac:dyDescent="0.25">
      <c r="B4607" s="463"/>
      <c r="C4607" s="463"/>
    </row>
    <row r="4608" spans="2:3" x14ac:dyDescent="0.25">
      <c r="B4608" s="463"/>
      <c r="C4608" s="463"/>
    </row>
    <row r="4609" spans="2:3" x14ac:dyDescent="0.25">
      <c r="B4609" s="463"/>
      <c r="C4609" s="463"/>
    </row>
    <row r="4610" spans="2:3" x14ac:dyDescent="0.25">
      <c r="B4610" s="463"/>
      <c r="C4610" s="463"/>
    </row>
    <row r="4611" spans="2:3" x14ac:dyDescent="0.25">
      <c r="B4611" s="463"/>
      <c r="C4611" s="463"/>
    </row>
    <row r="4612" spans="2:3" x14ac:dyDescent="0.25">
      <c r="B4612" s="463"/>
      <c r="C4612" s="463"/>
    </row>
    <row r="4613" spans="2:3" x14ac:dyDescent="0.25">
      <c r="B4613" s="463"/>
      <c r="C4613" s="463"/>
    </row>
    <row r="4614" spans="2:3" x14ac:dyDescent="0.25">
      <c r="B4614" s="463"/>
      <c r="C4614" s="463"/>
    </row>
    <row r="4615" spans="2:3" x14ac:dyDescent="0.25">
      <c r="B4615" s="463"/>
      <c r="C4615" s="463"/>
    </row>
    <row r="4616" spans="2:3" x14ac:dyDescent="0.25">
      <c r="B4616" s="463"/>
      <c r="C4616" s="463"/>
    </row>
    <row r="4617" spans="2:3" x14ac:dyDescent="0.25">
      <c r="B4617" s="463"/>
      <c r="C4617" s="463"/>
    </row>
    <row r="4618" spans="2:3" x14ac:dyDescent="0.25">
      <c r="B4618" s="463"/>
      <c r="C4618" s="463"/>
    </row>
    <row r="4619" spans="2:3" x14ac:dyDescent="0.25">
      <c r="B4619" s="463"/>
      <c r="C4619" s="463"/>
    </row>
    <row r="4620" spans="2:3" x14ac:dyDescent="0.25">
      <c r="B4620" s="463"/>
      <c r="C4620" s="463"/>
    </row>
    <row r="4621" spans="2:3" x14ac:dyDescent="0.25">
      <c r="B4621" s="463"/>
      <c r="C4621" s="463"/>
    </row>
    <row r="4622" spans="2:3" x14ac:dyDescent="0.25">
      <c r="B4622" s="463"/>
      <c r="C4622" s="463"/>
    </row>
    <row r="4623" spans="2:3" x14ac:dyDescent="0.25">
      <c r="B4623" s="463"/>
      <c r="C4623" s="463"/>
    </row>
    <row r="4624" spans="2:3" x14ac:dyDescent="0.25">
      <c r="B4624" s="463"/>
      <c r="C4624" s="463"/>
    </row>
    <row r="4625" spans="2:3" x14ac:dyDescent="0.25">
      <c r="B4625" s="463"/>
      <c r="C4625" s="463"/>
    </row>
    <row r="4626" spans="2:3" x14ac:dyDescent="0.25">
      <c r="B4626" s="463"/>
      <c r="C4626" s="463"/>
    </row>
    <row r="4627" spans="2:3" x14ac:dyDescent="0.25">
      <c r="B4627" s="463"/>
      <c r="C4627" s="463"/>
    </row>
    <row r="4628" spans="2:3" x14ac:dyDescent="0.25">
      <c r="B4628" s="463"/>
      <c r="C4628" s="463"/>
    </row>
    <row r="4629" spans="2:3" x14ac:dyDescent="0.25">
      <c r="B4629" s="463"/>
      <c r="C4629" s="463"/>
    </row>
    <row r="4630" spans="2:3" x14ac:dyDescent="0.25">
      <c r="B4630" s="463"/>
      <c r="C4630" s="463"/>
    </row>
    <row r="4631" spans="2:3" x14ac:dyDescent="0.25">
      <c r="B4631" s="463"/>
      <c r="C4631" s="463"/>
    </row>
    <row r="4632" spans="2:3" x14ac:dyDescent="0.25">
      <c r="B4632" s="463"/>
      <c r="C4632" s="463"/>
    </row>
    <row r="4633" spans="2:3" x14ac:dyDescent="0.25">
      <c r="B4633" s="463"/>
      <c r="C4633" s="463"/>
    </row>
    <row r="4634" spans="2:3" x14ac:dyDescent="0.25">
      <c r="B4634" s="463"/>
      <c r="C4634" s="463"/>
    </row>
    <row r="4635" spans="2:3" x14ac:dyDescent="0.25">
      <c r="B4635" s="463"/>
      <c r="C4635" s="463"/>
    </row>
    <row r="4636" spans="2:3" x14ac:dyDescent="0.25">
      <c r="B4636" s="463"/>
      <c r="C4636" s="463"/>
    </row>
    <row r="4637" spans="2:3" x14ac:dyDescent="0.25">
      <c r="B4637" s="463"/>
      <c r="C4637" s="463"/>
    </row>
    <row r="4638" spans="2:3" x14ac:dyDescent="0.25">
      <c r="B4638" s="463"/>
      <c r="C4638" s="463"/>
    </row>
    <row r="4639" spans="2:3" x14ac:dyDescent="0.25">
      <c r="B4639" s="463"/>
      <c r="C4639" s="463"/>
    </row>
    <row r="4640" spans="2:3" x14ac:dyDescent="0.25">
      <c r="B4640" s="463"/>
      <c r="C4640" s="463"/>
    </row>
    <row r="4641" spans="2:3" x14ac:dyDescent="0.25">
      <c r="B4641" s="463"/>
      <c r="C4641" s="463"/>
    </row>
    <row r="4642" spans="2:3" x14ac:dyDescent="0.25">
      <c r="B4642" s="463"/>
      <c r="C4642" s="463"/>
    </row>
    <row r="4643" spans="2:3" x14ac:dyDescent="0.25">
      <c r="B4643" s="463"/>
      <c r="C4643" s="463"/>
    </row>
    <row r="4644" spans="2:3" x14ac:dyDescent="0.25">
      <c r="B4644" s="463"/>
      <c r="C4644" s="463"/>
    </row>
    <row r="4645" spans="2:3" x14ac:dyDescent="0.25">
      <c r="B4645" s="463"/>
      <c r="C4645" s="463"/>
    </row>
    <row r="4646" spans="2:3" x14ac:dyDescent="0.25">
      <c r="B4646" s="463"/>
      <c r="C4646" s="463"/>
    </row>
    <row r="4647" spans="2:3" x14ac:dyDescent="0.25">
      <c r="B4647" s="463"/>
      <c r="C4647" s="463"/>
    </row>
    <row r="4648" spans="2:3" x14ac:dyDescent="0.25">
      <c r="B4648" s="463"/>
      <c r="C4648" s="463"/>
    </row>
    <row r="4649" spans="2:3" x14ac:dyDescent="0.25">
      <c r="B4649" s="463"/>
      <c r="C4649" s="463"/>
    </row>
    <row r="4650" spans="2:3" x14ac:dyDescent="0.25">
      <c r="B4650" s="463"/>
      <c r="C4650" s="463"/>
    </row>
    <row r="4651" spans="2:3" x14ac:dyDescent="0.25">
      <c r="B4651" s="463"/>
      <c r="C4651" s="463"/>
    </row>
    <row r="4652" spans="2:3" x14ac:dyDescent="0.25">
      <c r="B4652" s="463"/>
      <c r="C4652" s="463"/>
    </row>
    <row r="4653" spans="2:3" x14ac:dyDescent="0.25">
      <c r="B4653" s="463"/>
      <c r="C4653" s="463"/>
    </row>
    <row r="4654" spans="2:3" x14ac:dyDescent="0.25">
      <c r="B4654" s="463"/>
      <c r="C4654" s="463"/>
    </row>
    <row r="4655" spans="2:3" x14ac:dyDescent="0.25">
      <c r="B4655" s="463"/>
      <c r="C4655" s="463"/>
    </row>
    <row r="4656" spans="2:3" x14ac:dyDescent="0.25">
      <c r="B4656" s="463"/>
      <c r="C4656" s="463"/>
    </row>
    <row r="4657" spans="2:3" x14ac:dyDescent="0.25">
      <c r="B4657" s="463"/>
      <c r="C4657" s="463"/>
    </row>
    <row r="4658" spans="2:3" x14ac:dyDescent="0.25">
      <c r="B4658" s="463"/>
      <c r="C4658" s="463"/>
    </row>
    <row r="4659" spans="2:3" x14ac:dyDescent="0.25">
      <c r="B4659" s="463"/>
      <c r="C4659" s="463"/>
    </row>
    <row r="4660" spans="2:3" x14ac:dyDescent="0.25">
      <c r="B4660" s="463"/>
      <c r="C4660" s="463"/>
    </row>
    <row r="4661" spans="2:3" x14ac:dyDescent="0.25">
      <c r="B4661" s="463"/>
      <c r="C4661" s="463"/>
    </row>
    <row r="4662" spans="2:3" x14ac:dyDescent="0.25">
      <c r="B4662" s="463"/>
      <c r="C4662" s="463"/>
    </row>
    <row r="4663" spans="2:3" x14ac:dyDescent="0.25">
      <c r="B4663" s="463"/>
      <c r="C4663" s="463"/>
    </row>
    <row r="4664" spans="2:3" x14ac:dyDescent="0.25">
      <c r="B4664" s="463"/>
      <c r="C4664" s="463"/>
    </row>
    <row r="4665" spans="2:3" x14ac:dyDescent="0.25">
      <c r="B4665" s="463"/>
      <c r="C4665" s="463"/>
    </row>
    <row r="4666" spans="2:3" x14ac:dyDescent="0.25">
      <c r="B4666" s="463"/>
      <c r="C4666" s="463"/>
    </row>
    <row r="4667" spans="2:3" x14ac:dyDescent="0.25">
      <c r="B4667" s="463"/>
      <c r="C4667" s="463"/>
    </row>
    <row r="4668" spans="2:3" x14ac:dyDescent="0.25">
      <c r="B4668" s="463"/>
      <c r="C4668" s="463"/>
    </row>
    <row r="4669" spans="2:3" x14ac:dyDescent="0.25">
      <c r="B4669" s="463"/>
      <c r="C4669" s="463"/>
    </row>
    <row r="4670" spans="2:3" x14ac:dyDescent="0.25">
      <c r="B4670" s="463"/>
      <c r="C4670" s="463"/>
    </row>
    <row r="4671" spans="2:3" x14ac:dyDescent="0.25">
      <c r="B4671" s="463"/>
      <c r="C4671" s="463"/>
    </row>
    <row r="4672" spans="2:3" x14ac:dyDescent="0.25">
      <c r="B4672" s="463"/>
      <c r="C4672" s="463"/>
    </row>
    <row r="4673" spans="2:3" x14ac:dyDescent="0.25">
      <c r="B4673" s="463"/>
      <c r="C4673" s="463"/>
    </row>
    <row r="4674" spans="2:3" x14ac:dyDescent="0.25">
      <c r="B4674" s="463"/>
      <c r="C4674" s="463"/>
    </row>
    <row r="4675" spans="2:3" x14ac:dyDescent="0.25">
      <c r="B4675" s="463"/>
      <c r="C4675" s="463"/>
    </row>
    <row r="4676" spans="2:3" x14ac:dyDescent="0.25">
      <c r="B4676" s="463"/>
      <c r="C4676" s="463"/>
    </row>
    <row r="4677" spans="2:3" x14ac:dyDescent="0.25">
      <c r="B4677" s="463"/>
      <c r="C4677" s="463"/>
    </row>
    <row r="4678" spans="2:3" x14ac:dyDescent="0.25">
      <c r="B4678" s="463"/>
      <c r="C4678" s="463"/>
    </row>
    <row r="4679" spans="2:3" x14ac:dyDescent="0.25">
      <c r="B4679" s="463"/>
      <c r="C4679" s="463"/>
    </row>
    <row r="4680" spans="2:3" x14ac:dyDescent="0.25">
      <c r="B4680" s="463"/>
      <c r="C4680" s="463"/>
    </row>
    <row r="4681" spans="2:3" x14ac:dyDescent="0.25">
      <c r="B4681" s="463"/>
      <c r="C4681" s="463"/>
    </row>
    <row r="4682" spans="2:3" x14ac:dyDescent="0.25">
      <c r="B4682" s="463"/>
      <c r="C4682" s="463"/>
    </row>
    <row r="4683" spans="2:3" x14ac:dyDescent="0.25">
      <c r="B4683" s="463"/>
      <c r="C4683" s="463"/>
    </row>
    <row r="4684" spans="2:3" x14ac:dyDescent="0.25">
      <c r="B4684" s="463"/>
      <c r="C4684" s="463"/>
    </row>
    <row r="4685" spans="2:3" x14ac:dyDescent="0.25">
      <c r="B4685" s="463"/>
      <c r="C4685" s="463"/>
    </row>
    <row r="4686" spans="2:3" x14ac:dyDescent="0.25">
      <c r="B4686" s="463"/>
      <c r="C4686" s="463"/>
    </row>
    <row r="4687" spans="2:3" x14ac:dyDescent="0.25">
      <c r="B4687" s="463"/>
      <c r="C4687" s="463"/>
    </row>
    <row r="4688" spans="2:3" x14ac:dyDescent="0.25">
      <c r="B4688" s="463"/>
      <c r="C4688" s="463"/>
    </row>
    <row r="4689" spans="2:3" x14ac:dyDescent="0.25">
      <c r="B4689" s="463"/>
      <c r="C4689" s="463"/>
    </row>
    <row r="4690" spans="2:3" x14ac:dyDescent="0.25">
      <c r="B4690" s="463"/>
      <c r="C4690" s="463"/>
    </row>
    <row r="4691" spans="2:3" x14ac:dyDescent="0.25">
      <c r="B4691" s="463"/>
      <c r="C4691" s="463"/>
    </row>
    <row r="4692" spans="2:3" x14ac:dyDescent="0.25">
      <c r="B4692" s="463"/>
      <c r="C4692" s="463"/>
    </row>
    <row r="4693" spans="2:3" x14ac:dyDescent="0.25">
      <c r="B4693" s="463"/>
      <c r="C4693" s="463"/>
    </row>
    <row r="4694" spans="2:3" x14ac:dyDescent="0.25">
      <c r="B4694" s="463"/>
      <c r="C4694" s="463"/>
    </row>
    <row r="4695" spans="2:3" x14ac:dyDescent="0.25">
      <c r="B4695" s="463"/>
      <c r="C4695" s="463"/>
    </row>
    <row r="4696" spans="2:3" x14ac:dyDescent="0.25">
      <c r="B4696" s="463"/>
      <c r="C4696" s="463"/>
    </row>
    <row r="4697" spans="2:3" x14ac:dyDescent="0.25">
      <c r="B4697" s="463"/>
      <c r="C4697" s="463"/>
    </row>
    <row r="4698" spans="2:3" x14ac:dyDescent="0.25">
      <c r="B4698" s="463"/>
      <c r="C4698" s="463"/>
    </row>
    <row r="4699" spans="2:3" x14ac:dyDescent="0.25">
      <c r="B4699" s="463"/>
      <c r="C4699" s="463"/>
    </row>
    <row r="4700" spans="2:3" x14ac:dyDescent="0.25">
      <c r="B4700" s="463"/>
      <c r="C4700" s="463"/>
    </row>
    <row r="4701" spans="2:3" x14ac:dyDescent="0.25">
      <c r="B4701" s="463"/>
      <c r="C4701" s="463"/>
    </row>
    <row r="4702" spans="2:3" x14ac:dyDescent="0.25">
      <c r="B4702" s="463"/>
      <c r="C4702" s="463"/>
    </row>
    <row r="4703" spans="2:3" x14ac:dyDescent="0.25">
      <c r="B4703" s="463"/>
      <c r="C4703" s="463"/>
    </row>
    <row r="4704" spans="2:3" x14ac:dyDescent="0.25">
      <c r="B4704" s="463"/>
      <c r="C4704" s="463"/>
    </row>
    <row r="4705" spans="2:3" x14ac:dyDescent="0.25">
      <c r="B4705" s="463"/>
      <c r="C4705" s="463"/>
    </row>
    <row r="4706" spans="2:3" x14ac:dyDescent="0.25">
      <c r="B4706" s="463"/>
      <c r="C4706" s="463"/>
    </row>
    <row r="4707" spans="2:3" x14ac:dyDescent="0.25">
      <c r="B4707" s="463"/>
      <c r="C4707" s="463"/>
    </row>
    <row r="4708" spans="2:3" x14ac:dyDescent="0.25">
      <c r="B4708" s="463"/>
      <c r="C4708" s="463"/>
    </row>
    <row r="4709" spans="2:3" x14ac:dyDescent="0.25">
      <c r="B4709" s="463"/>
      <c r="C4709" s="463"/>
    </row>
    <row r="4710" spans="2:3" x14ac:dyDescent="0.25">
      <c r="B4710" s="463"/>
      <c r="C4710" s="463"/>
    </row>
    <row r="4711" spans="2:3" x14ac:dyDescent="0.25">
      <c r="B4711" s="463"/>
      <c r="C4711" s="463"/>
    </row>
    <row r="4712" spans="2:3" x14ac:dyDescent="0.25">
      <c r="B4712" s="463"/>
      <c r="C4712" s="463"/>
    </row>
    <row r="4713" spans="2:3" x14ac:dyDescent="0.25">
      <c r="B4713" s="463"/>
      <c r="C4713" s="463"/>
    </row>
    <row r="4714" spans="2:3" x14ac:dyDescent="0.25">
      <c r="B4714" s="463"/>
      <c r="C4714" s="463"/>
    </row>
    <row r="4715" spans="2:3" x14ac:dyDescent="0.25">
      <c r="B4715" s="463"/>
      <c r="C4715" s="463"/>
    </row>
    <row r="4716" spans="2:3" x14ac:dyDescent="0.25">
      <c r="B4716" s="463"/>
      <c r="C4716" s="463"/>
    </row>
    <row r="4717" spans="2:3" x14ac:dyDescent="0.25">
      <c r="B4717" s="463"/>
      <c r="C4717" s="463"/>
    </row>
    <row r="4718" spans="2:3" x14ac:dyDescent="0.25">
      <c r="B4718" s="463"/>
      <c r="C4718" s="463"/>
    </row>
    <row r="4719" spans="2:3" x14ac:dyDescent="0.25">
      <c r="B4719" s="463"/>
      <c r="C4719" s="463"/>
    </row>
    <row r="4720" spans="2:3" x14ac:dyDescent="0.25">
      <c r="B4720" s="463"/>
      <c r="C4720" s="463"/>
    </row>
    <row r="4721" spans="2:3" x14ac:dyDescent="0.25">
      <c r="B4721" s="463"/>
      <c r="C4721" s="463"/>
    </row>
    <row r="4722" spans="2:3" x14ac:dyDescent="0.25">
      <c r="B4722" s="463"/>
      <c r="C4722" s="463"/>
    </row>
    <row r="4723" spans="2:3" x14ac:dyDescent="0.25">
      <c r="B4723" s="463"/>
      <c r="C4723" s="463"/>
    </row>
    <row r="4724" spans="2:3" x14ac:dyDescent="0.25">
      <c r="B4724" s="463"/>
      <c r="C4724" s="463"/>
    </row>
    <row r="4725" spans="2:3" x14ac:dyDescent="0.25">
      <c r="B4725" s="463"/>
      <c r="C4725" s="463"/>
    </row>
    <row r="4726" spans="2:3" x14ac:dyDescent="0.25">
      <c r="B4726" s="463"/>
      <c r="C4726" s="463"/>
    </row>
    <row r="4727" spans="2:3" x14ac:dyDescent="0.25">
      <c r="B4727" s="463"/>
      <c r="C4727" s="463"/>
    </row>
    <row r="4728" spans="2:3" x14ac:dyDescent="0.25">
      <c r="B4728" s="463"/>
      <c r="C4728" s="463"/>
    </row>
    <row r="4729" spans="2:3" x14ac:dyDescent="0.25">
      <c r="B4729" s="463"/>
      <c r="C4729" s="463"/>
    </row>
    <row r="4730" spans="2:3" x14ac:dyDescent="0.25">
      <c r="B4730" s="463"/>
      <c r="C4730" s="463"/>
    </row>
    <row r="4731" spans="2:3" x14ac:dyDescent="0.25">
      <c r="B4731" s="463"/>
      <c r="C4731" s="463"/>
    </row>
    <row r="4732" spans="2:3" x14ac:dyDescent="0.25">
      <c r="B4732" s="463"/>
      <c r="C4732" s="463"/>
    </row>
    <row r="4733" spans="2:3" x14ac:dyDescent="0.25">
      <c r="B4733" s="463"/>
      <c r="C4733" s="463"/>
    </row>
    <row r="4734" spans="2:3" x14ac:dyDescent="0.25">
      <c r="B4734" s="463"/>
      <c r="C4734" s="463"/>
    </row>
    <row r="4735" spans="2:3" x14ac:dyDescent="0.25">
      <c r="B4735" s="463"/>
      <c r="C4735" s="463"/>
    </row>
    <row r="4736" spans="2:3" x14ac:dyDescent="0.25">
      <c r="B4736" s="463"/>
      <c r="C4736" s="463"/>
    </row>
    <row r="4737" spans="2:3" x14ac:dyDescent="0.25">
      <c r="B4737" s="463"/>
      <c r="C4737" s="463"/>
    </row>
    <row r="4738" spans="2:3" x14ac:dyDescent="0.25">
      <c r="B4738" s="463"/>
      <c r="C4738" s="463"/>
    </row>
    <row r="4739" spans="2:3" x14ac:dyDescent="0.25">
      <c r="B4739" s="463"/>
      <c r="C4739" s="463"/>
    </row>
    <row r="4740" spans="2:3" x14ac:dyDescent="0.25">
      <c r="B4740" s="463"/>
      <c r="C4740" s="463"/>
    </row>
    <row r="4741" spans="2:3" x14ac:dyDescent="0.25">
      <c r="B4741" s="463"/>
      <c r="C4741" s="463"/>
    </row>
    <row r="4742" spans="2:3" x14ac:dyDescent="0.25">
      <c r="B4742" s="463"/>
      <c r="C4742" s="463"/>
    </row>
    <row r="4743" spans="2:3" x14ac:dyDescent="0.25">
      <c r="B4743" s="463"/>
      <c r="C4743" s="463"/>
    </row>
    <row r="4744" spans="2:3" x14ac:dyDescent="0.25">
      <c r="B4744" s="463"/>
      <c r="C4744" s="463"/>
    </row>
    <row r="4745" spans="2:3" x14ac:dyDescent="0.25">
      <c r="B4745" s="463"/>
      <c r="C4745" s="463"/>
    </row>
    <row r="4746" spans="2:3" x14ac:dyDescent="0.25">
      <c r="B4746" s="463"/>
      <c r="C4746" s="463"/>
    </row>
    <row r="4747" spans="2:3" x14ac:dyDescent="0.25">
      <c r="B4747" s="463"/>
      <c r="C4747" s="463"/>
    </row>
    <row r="4748" spans="2:3" x14ac:dyDescent="0.25">
      <c r="B4748" s="463"/>
      <c r="C4748" s="463"/>
    </row>
    <row r="4749" spans="2:3" x14ac:dyDescent="0.25">
      <c r="B4749" s="463"/>
      <c r="C4749" s="463"/>
    </row>
    <row r="4750" spans="2:3" x14ac:dyDescent="0.25">
      <c r="B4750" s="463"/>
      <c r="C4750" s="463"/>
    </row>
    <row r="4751" spans="2:3" x14ac:dyDescent="0.25">
      <c r="B4751" s="463"/>
      <c r="C4751" s="463"/>
    </row>
    <row r="4752" spans="2:3" x14ac:dyDescent="0.25">
      <c r="B4752" s="463"/>
      <c r="C4752" s="463"/>
    </row>
    <row r="4753" spans="2:3" x14ac:dyDescent="0.25">
      <c r="B4753" s="463"/>
      <c r="C4753" s="463"/>
    </row>
    <row r="4754" spans="2:3" x14ac:dyDescent="0.25">
      <c r="B4754" s="463"/>
      <c r="C4754" s="463"/>
    </row>
    <row r="4755" spans="2:3" x14ac:dyDescent="0.25">
      <c r="B4755" s="463"/>
      <c r="C4755" s="463"/>
    </row>
    <row r="4756" spans="2:3" x14ac:dyDescent="0.25">
      <c r="B4756" s="463"/>
      <c r="C4756" s="463"/>
    </row>
    <row r="4757" spans="2:3" x14ac:dyDescent="0.25">
      <c r="B4757" s="463"/>
      <c r="C4757" s="463"/>
    </row>
    <row r="4758" spans="2:3" x14ac:dyDescent="0.25">
      <c r="B4758" s="463"/>
      <c r="C4758" s="463"/>
    </row>
    <row r="4759" spans="2:3" x14ac:dyDescent="0.25">
      <c r="B4759" s="463"/>
      <c r="C4759" s="463"/>
    </row>
    <row r="4760" spans="2:3" x14ac:dyDescent="0.25">
      <c r="B4760" s="463"/>
      <c r="C4760" s="463"/>
    </row>
    <row r="4761" spans="2:3" x14ac:dyDescent="0.25">
      <c r="B4761" s="463"/>
      <c r="C4761" s="463"/>
    </row>
    <row r="4762" spans="2:3" x14ac:dyDescent="0.25">
      <c r="B4762" s="463"/>
      <c r="C4762" s="463"/>
    </row>
    <row r="4763" spans="2:3" x14ac:dyDescent="0.25">
      <c r="B4763" s="463"/>
      <c r="C4763" s="463"/>
    </row>
    <row r="4764" spans="2:3" x14ac:dyDescent="0.25">
      <c r="B4764" s="463"/>
      <c r="C4764" s="463"/>
    </row>
    <row r="4765" spans="2:3" x14ac:dyDescent="0.25">
      <c r="B4765" s="463"/>
      <c r="C4765" s="463"/>
    </row>
    <row r="4766" spans="2:3" x14ac:dyDescent="0.25">
      <c r="B4766" s="463"/>
      <c r="C4766" s="463"/>
    </row>
    <row r="4767" spans="2:3" x14ac:dyDescent="0.25">
      <c r="B4767" s="463"/>
      <c r="C4767" s="463"/>
    </row>
    <row r="4768" spans="2:3" x14ac:dyDescent="0.25">
      <c r="B4768" s="463"/>
      <c r="C4768" s="463"/>
    </row>
    <row r="4769" spans="2:3" x14ac:dyDescent="0.25">
      <c r="B4769" s="463"/>
      <c r="C4769" s="463"/>
    </row>
    <row r="4770" spans="2:3" x14ac:dyDescent="0.25">
      <c r="B4770" s="463"/>
      <c r="C4770" s="463"/>
    </row>
    <row r="4771" spans="2:3" x14ac:dyDescent="0.25">
      <c r="B4771" s="463"/>
      <c r="C4771" s="463"/>
    </row>
    <row r="4772" spans="2:3" x14ac:dyDescent="0.25">
      <c r="B4772" s="463"/>
      <c r="C4772" s="463"/>
    </row>
    <row r="4773" spans="2:3" x14ac:dyDescent="0.25">
      <c r="B4773" s="463"/>
      <c r="C4773" s="463"/>
    </row>
    <row r="4774" spans="2:3" x14ac:dyDescent="0.25">
      <c r="B4774" s="463"/>
      <c r="C4774" s="463"/>
    </row>
    <row r="4775" spans="2:3" x14ac:dyDescent="0.25">
      <c r="B4775" s="463"/>
      <c r="C4775" s="463"/>
    </row>
    <row r="4776" spans="2:3" x14ac:dyDescent="0.25">
      <c r="B4776" s="463"/>
      <c r="C4776" s="463"/>
    </row>
    <row r="4777" spans="2:3" x14ac:dyDescent="0.25">
      <c r="B4777" s="463"/>
      <c r="C4777" s="463"/>
    </row>
    <row r="4778" spans="2:3" x14ac:dyDescent="0.25">
      <c r="B4778" s="463"/>
      <c r="C4778" s="463"/>
    </row>
    <row r="4779" spans="2:3" x14ac:dyDescent="0.25">
      <c r="B4779" s="463"/>
      <c r="C4779" s="463"/>
    </row>
    <row r="4780" spans="2:3" x14ac:dyDescent="0.25">
      <c r="B4780" s="463"/>
      <c r="C4780" s="463"/>
    </row>
    <row r="4781" spans="2:3" x14ac:dyDescent="0.25">
      <c r="B4781" s="463"/>
      <c r="C4781" s="463"/>
    </row>
    <row r="4782" spans="2:3" x14ac:dyDescent="0.25">
      <c r="B4782" s="463"/>
      <c r="C4782" s="463"/>
    </row>
    <row r="4783" spans="2:3" x14ac:dyDescent="0.25">
      <c r="B4783" s="463"/>
      <c r="C4783" s="463"/>
    </row>
    <row r="4784" spans="2:3" x14ac:dyDescent="0.25">
      <c r="B4784" s="463"/>
      <c r="C4784" s="463"/>
    </row>
    <row r="4785" spans="2:3" x14ac:dyDescent="0.25">
      <c r="B4785" s="463"/>
      <c r="C4785" s="463"/>
    </row>
    <row r="4786" spans="2:3" x14ac:dyDescent="0.25">
      <c r="B4786" s="463"/>
      <c r="C4786" s="463"/>
    </row>
    <row r="4787" spans="2:3" x14ac:dyDescent="0.25">
      <c r="B4787" s="463"/>
      <c r="C4787" s="463"/>
    </row>
    <row r="4788" spans="2:3" x14ac:dyDescent="0.25">
      <c r="B4788" s="463"/>
      <c r="C4788" s="463"/>
    </row>
    <row r="4789" spans="2:3" x14ac:dyDescent="0.25">
      <c r="B4789" s="463"/>
      <c r="C4789" s="463"/>
    </row>
    <row r="4790" spans="2:3" x14ac:dyDescent="0.25">
      <c r="B4790" s="463"/>
      <c r="C4790" s="463"/>
    </row>
    <row r="4791" spans="2:3" x14ac:dyDescent="0.25">
      <c r="B4791" s="463"/>
      <c r="C4791" s="463"/>
    </row>
    <row r="4792" spans="2:3" x14ac:dyDescent="0.25">
      <c r="B4792" s="463"/>
      <c r="C4792" s="463"/>
    </row>
    <row r="4793" spans="2:3" x14ac:dyDescent="0.25">
      <c r="B4793" s="463"/>
      <c r="C4793" s="463"/>
    </row>
    <row r="4794" spans="2:3" x14ac:dyDescent="0.25">
      <c r="B4794" s="463"/>
      <c r="C4794" s="463"/>
    </row>
    <row r="4795" spans="2:3" x14ac:dyDescent="0.25">
      <c r="B4795" s="463"/>
      <c r="C4795" s="463"/>
    </row>
    <row r="4796" spans="2:3" x14ac:dyDescent="0.25">
      <c r="B4796" s="463"/>
      <c r="C4796" s="463"/>
    </row>
    <row r="4797" spans="2:3" x14ac:dyDescent="0.25">
      <c r="B4797" s="463"/>
      <c r="C4797" s="463"/>
    </row>
    <row r="4798" spans="2:3" x14ac:dyDescent="0.25">
      <c r="B4798" s="463"/>
      <c r="C4798" s="463"/>
    </row>
    <row r="4799" spans="2:3" x14ac:dyDescent="0.25">
      <c r="B4799" s="463"/>
      <c r="C4799" s="463"/>
    </row>
    <row r="4800" spans="2:3" x14ac:dyDescent="0.25">
      <c r="B4800" s="463"/>
      <c r="C4800" s="463"/>
    </row>
    <row r="4801" spans="2:3" x14ac:dyDescent="0.25">
      <c r="B4801" s="463"/>
      <c r="C4801" s="463"/>
    </row>
    <row r="4802" spans="2:3" x14ac:dyDescent="0.25">
      <c r="B4802" s="463"/>
      <c r="C4802" s="463"/>
    </row>
    <row r="4803" spans="2:3" x14ac:dyDescent="0.25">
      <c r="B4803" s="463"/>
      <c r="C4803" s="463"/>
    </row>
    <row r="4804" spans="2:3" x14ac:dyDescent="0.25">
      <c r="B4804" s="463"/>
      <c r="C4804" s="463"/>
    </row>
    <row r="4805" spans="2:3" x14ac:dyDescent="0.25">
      <c r="B4805" s="463"/>
      <c r="C4805" s="463"/>
    </row>
    <row r="4806" spans="2:3" x14ac:dyDescent="0.25">
      <c r="B4806" s="463"/>
      <c r="C4806" s="463"/>
    </row>
    <row r="4807" spans="2:3" x14ac:dyDescent="0.25">
      <c r="B4807" s="463"/>
      <c r="C4807" s="463"/>
    </row>
    <row r="4808" spans="2:3" x14ac:dyDescent="0.25">
      <c r="B4808" s="463"/>
      <c r="C4808" s="463"/>
    </row>
    <row r="4809" spans="2:3" x14ac:dyDescent="0.25">
      <c r="B4809" s="463"/>
      <c r="C4809" s="463"/>
    </row>
    <row r="4810" spans="2:3" x14ac:dyDescent="0.25">
      <c r="B4810" s="463"/>
      <c r="C4810" s="463"/>
    </row>
    <row r="4811" spans="2:3" x14ac:dyDescent="0.25">
      <c r="B4811" s="463"/>
      <c r="C4811" s="463"/>
    </row>
    <row r="4812" spans="2:3" x14ac:dyDescent="0.25">
      <c r="B4812" s="463"/>
      <c r="C4812" s="463"/>
    </row>
    <row r="4813" spans="2:3" x14ac:dyDescent="0.25">
      <c r="B4813" s="463"/>
      <c r="C4813" s="463"/>
    </row>
    <row r="4814" spans="2:3" x14ac:dyDescent="0.25">
      <c r="B4814" s="463"/>
      <c r="C4814" s="463"/>
    </row>
    <row r="4815" spans="2:3" x14ac:dyDescent="0.25">
      <c r="B4815" s="463"/>
      <c r="C4815" s="463"/>
    </row>
    <row r="4816" spans="2:3" x14ac:dyDescent="0.25">
      <c r="B4816" s="463"/>
      <c r="C4816" s="463"/>
    </row>
    <row r="4817" spans="2:3" x14ac:dyDescent="0.25">
      <c r="B4817" s="463"/>
      <c r="C4817" s="463"/>
    </row>
    <row r="4818" spans="2:3" x14ac:dyDescent="0.25">
      <c r="B4818" s="463"/>
      <c r="C4818" s="463"/>
    </row>
    <row r="4819" spans="2:3" x14ac:dyDescent="0.25">
      <c r="B4819" s="463"/>
      <c r="C4819" s="463"/>
    </row>
    <row r="4820" spans="2:3" x14ac:dyDescent="0.25">
      <c r="B4820" s="463"/>
      <c r="C4820" s="463"/>
    </row>
    <row r="4821" spans="2:3" x14ac:dyDescent="0.25">
      <c r="B4821" s="463"/>
      <c r="C4821" s="463"/>
    </row>
    <row r="4822" spans="2:3" x14ac:dyDescent="0.25">
      <c r="B4822" s="463"/>
      <c r="C4822" s="463"/>
    </row>
    <row r="4823" spans="2:3" x14ac:dyDescent="0.25">
      <c r="B4823" s="463"/>
      <c r="C4823" s="463"/>
    </row>
    <row r="4824" spans="2:3" x14ac:dyDescent="0.25">
      <c r="B4824" s="463"/>
      <c r="C4824" s="463"/>
    </row>
    <row r="4825" spans="2:3" x14ac:dyDescent="0.25">
      <c r="B4825" s="463"/>
      <c r="C4825" s="463"/>
    </row>
    <row r="4826" spans="2:3" x14ac:dyDescent="0.25">
      <c r="B4826" s="463"/>
      <c r="C4826" s="463"/>
    </row>
    <row r="4827" spans="2:3" x14ac:dyDescent="0.25">
      <c r="B4827" s="463"/>
      <c r="C4827" s="463"/>
    </row>
    <row r="4828" spans="2:3" x14ac:dyDescent="0.25">
      <c r="B4828" s="463"/>
      <c r="C4828" s="463"/>
    </row>
    <row r="4829" spans="2:3" x14ac:dyDescent="0.25">
      <c r="B4829" s="463"/>
      <c r="C4829" s="463"/>
    </row>
    <row r="4830" spans="2:3" x14ac:dyDescent="0.25">
      <c r="B4830" s="463"/>
      <c r="C4830" s="463"/>
    </row>
    <row r="4831" spans="2:3" x14ac:dyDescent="0.25">
      <c r="B4831" s="463"/>
      <c r="C4831" s="463"/>
    </row>
    <row r="4832" spans="2:3" x14ac:dyDescent="0.25">
      <c r="B4832" s="463"/>
      <c r="C4832" s="463"/>
    </row>
    <row r="4833" spans="2:3" x14ac:dyDescent="0.25">
      <c r="B4833" s="463"/>
      <c r="C4833" s="463"/>
    </row>
    <row r="4834" spans="2:3" x14ac:dyDescent="0.25">
      <c r="B4834" s="463"/>
      <c r="C4834" s="463"/>
    </row>
    <row r="4835" spans="2:3" x14ac:dyDescent="0.25">
      <c r="B4835" s="463"/>
      <c r="C4835" s="463"/>
    </row>
    <row r="4836" spans="2:3" x14ac:dyDescent="0.25">
      <c r="B4836" s="463"/>
      <c r="C4836" s="463"/>
    </row>
    <row r="4837" spans="2:3" x14ac:dyDescent="0.25">
      <c r="B4837" s="463"/>
      <c r="C4837" s="463"/>
    </row>
    <row r="4838" spans="2:3" x14ac:dyDescent="0.25">
      <c r="B4838" s="463"/>
      <c r="C4838" s="463"/>
    </row>
    <row r="4839" spans="2:3" x14ac:dyDescent="0.25">
      <c r="B4839" s="463"/>
      <c r="C4839" s="463"/>
    </row>
    <row r="4840" spans="2:3" x14ac:dyDescent="0.25">
      <c r="B4840" s="463"/>
      <c r="C4840" s="463"/>
    </row>
    <row r="4841" spans="2:3" x14ac:dyDescent="0.25">
      <c r="B4841" s="463"/>
      <c r="C4841" s="463"/>
    </row>
    <row r="4842" spans="2:3" x14ac:dyDescent="0.25">
      <c r="B4842" s="463"/>
      <c r="C4842" s="463"/>
    </row>
    <row r="4843" spans="2:3" x14ac:dyDescent="0.25">
      <c r="B4843" s="463"/>
      <c r="C4843" s="463"/>
    </row>
    <row r="4844" spans="2:3" x14ac:dyDescent="0.25">
      <c r="B4844" s="463"/>
      <c r="C4844" s="463"/>
    </row>
    <row r="4845" spans="2:3" x14ac:dyDescent="0.25">
      <c r="B4845" s="463"/>
      <c r="C4845" s="463"/>
    </row>
    <row r="4846" spans="2:3" x14ac:dyDescent="0.25">
      <c r="B4846" s="463"/>
      <c r="C4846" s="463"/>
    </row>
    <row r="4847" spans="2:3" x14ac:dyDescent="0.25">
      <c r="B4847" s="463"/>
      <c r="C4847" s="463"/>
    </row>
    <row r="4848" spans="2:3" x14ac:dyDescent="0.25">
      <c r="B4848" s="463"/>
      <c r="C4848" s="463"/>
    </row>
    <row r="4849" spans="2:3" x14ac:dyDescent="0.25">
      <c r="B4849" s="463"/>
      <c r="C4849" s="463"/>
    </row>
    <row r="4850" spans="2:3" x14ac:dyDescent="0.25">
      <c r="B4850" s="463"/>
      <c r="C4850" s="463"/>
    </row>
    <row r="4851" spans="2:3" x14ac:dyDescent="0.25">
      <c r="B4851" s="463"/>
      <c r="C4851" s="463"/>
    </row>
    <row r="4852" spans="2:3" x14ac:dyDescent="0.25">
      <c r="B4852" s="463"/>
      <c r="C4852" s="463"/>
    </row>
    <row r="4853" spans="2:3" x14ac:dyDescent="0.25">
      <c r="B4853" s="463"/>
      <c r="C4853" s="463"/>
    </row>
    <row r="4854" spans="2:3" x14ac:dyDescent="0.25">
      <c r="B4854" s="463"/>
      <c r="C4854" s="463"/>
    </row>
    <row r="4855" spans="2:3" x14ac:dyDescent="0.25">
      <c r="B4855" s="463"/>
      <c r="C4855" s="463"/>
    </row>
    <row r="4856" spans="2:3" x14ac:dyDescent="0.25">
      <c r="B4856" s="463"/>
      <c r="C4856" s="463"/>
    </row>
    <row r="4857" spans="2:3" x14ac:dyDescent="0.25">
      <c r="B4857" s="463"/>
      <c r="C4857" s="463"/>
    </row>
    <row r="4858" spans="2:3" x14ac:dyDescent="0.25">
      <c r="B4858" s="463"/>
      <c r="C4858" s="463"/>
    </row>
    <row r="4859" spans="2:3" x14ac:dyDescent="0.25">
      <c r="B4859" s="463"/>
      <c r="C4859" s="463"/>
    </row>
    <row r="4860" spans="2:3" x14ac:dyDescent="0.25">
      <c r="B4860" s="463"/>
      <c r="C4860" s="463"/>
    </row>
    <row r="4861" spans="2:3" x14ac:dyDescent="0.25">
      <c r="B4861" s="463"/>
      <c r="C4861" s="463"/>
    </row>
    <row r="4862" spans="2:3" x14ac:dyDescent="0.25">
      <c r="B4862" s="463"/>
      <c r="C4862" s="463"/>
    </row>
    <row r="4863" spans="2:3" x14ac:dyDescent="0.25">
      <c r="B4863" s="463"/>
      <c r="C4863" s="463"/>
    </row>
    <row r="4864" spans="2:3" x14ac:dyDescent="0.25">
      <c r="B4864" s="463"/>
      <c r="C4864" s="463"/>
    </row>
    <row r="4865" spans="2:3" x14ac:dyDescent="0.25">
      <c r="B4865" s="463"/>
      <c r="C4865" s="463"/>
    </row>
    <row r="4866" spans="2:3" x14ac:dyDescent="0.25">
      <c r="B4866" s="463"/>
      <c r="C4866" s="463"/>
    </row>
    <row r="4867" spans="2:3" x14ac:dyDescent="0.25">
      <c r="B4867" s="463"/>
      <c r="C4867" s="463"/>
    </row>
    <row r="4868" spans="2:3" x14ac:dyDescent="0.25">
      <c r="B4868" s="463"/>
      <c r="C4868" s="463"/>
    </row>
    <row r="4869" spans="2:3" x14ac:dyDescent="0.25">
      <c r="B4869" s="463"/>
      <c r="C4869" s="463"/>
    </row>
    <row r="4870" spans="2:3" x14ac:dyDescent="0.25">
      <c r="B4870" s="463"/>
      <c r="C4870" s="463"/>
    </row>
    <row r="4871" spans="2:3" x14ac:dyDescent="0.25">
      <c r="B4871" s="463"/>
      <c r="C4871" s="463"/>
    </row>
    <row r="4872" spans="2:3" x14ac:dyDescent="0.25">
      <c r="B4872" s="463"/>
      <c r="C4872" s="463"/>
    </row>
    <row r="4873" spans="2:3" x14ac:dyDescent="0.25">
      <c r="B4873" s="463"/>
      <c r="C4873" s="463"/>
    </row>
    <row r="4874" spans="2:3" x14ac:dyDescent="0.25">
      <c r="B4874" s="463"/>
      <c r="C4874" s="463"/>
    </row>
    <row r="4875" spans="2:3" x14ac:dyDescent="0.25">
      <c r="B4875" s="463"/>
      <c r="C4875" s="463"/>
    </row>
    <row r="4876" spans="2:3" x14ac:dyDescent="0.25">
      <c r="B4876" s="463"/>
      <c r="C4876" s="463"/>
    </row>
    <row r="4877" spans="2:3" x14ac:dyDescent="0.25">
      <c r="B4877" s="463"/>
      <c r="C4877" s="463"/>
    </row>
    <row r="4878" spans="2:3" x14ac:dyDescent="0.25">
      <c r="B4878" s="463"/>
      <c r="C4878" s="463"/>
    </row>
    <row r="4879" spans="2:3" x14ac:dyDescent="0.25">
      <c r="B4879" s="463"/>
      <c r="C4879" s="463"/>
    </row>
    <row r="4880" spans="2:3" x14ac:dyDescent="0.25">
      <c r="B4880" s="463"/>
      <c r="C4880" s="463"/>
    </row>
    <row r="4881" spans="2:3" x14ac:dyDescent="0.25">
      <c r="B4881" s="463"/>
      <c r="C4881" s="463"/>
    </row>
    <row r="4882" spans="2:3" x14ac:dyDescent="0.25">
      <c r="B4882" s="463"/>
      <c r="C4882" s="463"/>
    </row>
    <row r="4883" spans="2:3" x14ac:dyDescent="0.25">
      <c r="B4883" s="463"/>
      <c r="C4883" s="463"/>
    </row>
    <row r="4884" spans="2:3" x14ac:dyDescent="0.25">
      <c r="B4884" s="463"/>
      <c r="C4884" s="463"/>
    </row>
    <row r="4885" spans="2:3" x14ac:dyDescent="0.25">
      <c r="B4885" s="463"/>
      <c r="C4885" s="463"/>
    </row>
    <row r="4886" spans="2:3" x14ac:dyDescent="0.25">
      <c r="B4886" s="463"/>
      <c r="C4886" s="463"/>
    </row>
    <row r="4887" spans="2:3" x14ac:dyDescent="0.25">
      <c r="B4887" s="463"/>
      <c r="C4887" s="463"/>
    </row>
    <row r="4888" spans="2:3" x14ac:dyDescent="0.25">
      <c r="B4888" s="463"/>
      <c r="C4888" s="463"/>
    </row>
    <row r="4889" spans="2:3" x14ac:dyDescent="0.25">
      <c r="B4889" s="463"/>
      <c r="C4889" s="463"/>
    </row>
    <row r="4890" spans="2:3" x14ac:dyDescent="0.25">
      <c r="B4890" s="463"/>
      <c r="C4890" s="463"/>
    </row>
    <row r="4891" spans="2:3" x14ac:dyDescent="0.25">
      <c r="B4891" s="463"/>
      <c r="C4891" s="463"/>
    </row>
    <row r="4892" spans="2:3" x14ac:dyDescent="0.25">
      <c r="B4892" s="463"/>
      <c r="C4892" s="463"/>
    </row>
    <row r="4893" spans="2:3" x14ac:dyDescent="0.25">
      <c r="B4893" s="463"/>
      <c r="C4893" s="463"/>
    </row>
    <row r="4894" spans="2:3" x14ac:dyDescent="0.25">
      <c r="B4894" s="463"/>
      <c r="C4894" s="463"/>
    </row>
    <row r="4895" spans="2:3" x14ac:dyDescent="0.25">
      <c r="B4895" s="463"/>
      <c r="C4895" s="463"/>
    </row>
    <row r="4896" spans="2:3" x14ac:dyDescent="0.25">
      <c r="B4896" s="463"/>
      <c r="C4896" s="463"/>
    </row>
    <row r="4897" spans="2:3" x14ac:dyDescent="0.25">
      <c r="B4897" s="463"/>
      <c r="C4897" s="463"/>
    </row>
    <row r="4898" spans="2:3" x14ac:dyDescent="0.25">
      <c r="B4898" s="463"/>
      <c r="C4898" s="463"/>
    </row>
    <row r="4899" spans="2:3" x14ac:dyDescent="0.25">
      <c r="B4899" s="463"/>
      <c r="C4899" s="463"/>
    </row>
    <row r="4900" spans="2:3" x14ac:dyDescent="0.25">
      <c r="B4900" s="463"/>
      <c r="C4900" s="463"/>
    </row>
    <row r="4901" spans="2:3" x14ac:dyDescent="0.25">
      <c r="B4901" s="463"/>
      <c r="C4901" s="463"/>
    </row>
    <row r="4902" spans="2:3" x14ac:dyDescent="0.25">
      <c r="B4902" s="463"/>
      <c r="C4902" s="463"/>
    </row>
    <row r="4903" spans="2:3" x14ac:dyDescent="0.25">
      <c r="B4903" s="463"/>
      <c r="C4903" s="463"/>
    </row>
    <row r="4904" spans="2:3" x14ac:dyDescent="0.25">
      <c r="B4904" s="463"/>
      <c r="C4904" s="463"/>
    </row>
    <row r="4905" spans="2:3" x14ac:dyDescent="0.25">
      <c r="B4905" s="463"/>
      <c r="C4905" s="463"/>
    </row>
    <row r="4906" spans="2:3" x14ac:dyDescent="0.25">
      <c r="B4906" s="463"/>
      <c r="C4906" s="463"/>
    </row>
    <row r="4907" spans="2:3" x14ac:dyDescent="0.25">
      <c r="B4907" s="463"/>
      <c r="C4907" s="463"/>
    </row>
    <row r="4908" spans="2:3" x14ac:dyDescent="0.25">
      <c r="B4908" s="463"/>
      <c r="C4908" s="463"/>
    </row>
    <row r="4909" spans="2:3" x14ac:dyDescent="0.25">
      <c r="B4909" s="463"/>
      <c r="C4909" s="463"/>
    </row>
    <row r="4910" spans="2:3" x14ac:dyDescent="0.25">
      <c r="B4910" s="463"/>
      <c r="C4910" s="463"/>
    </row>
    <row r="4911" spans="2:3" x14ac:dyDescent="0.25">
      <c r="B4911" s="463"/>
      <c r="C4911" s="463"/>
    </row>
    <row r="4912" spans="2:3" x14ac:dyDescent="0.25">
      <c r="B4912" s="463"/>
      <c r="C4912" s="463"/>
    </row>
    <row r="4913" spans="2:3" x14ac:dyDescent="0.25">
      <c r="B4913" s="463"/>
      <c r="C4913" s="463"/>
    </row>
    <row r="4914" spans="2:3" x14ac:dyDescent="0.25">
      <c r="B4914" s="463"/>
      <c r="C4914" s="463"/>
    </row>
    <row r="4915" spans="2:3" x14ac:dyDescent="0.25">
      <c r="B4915" s="463"/>
      <c r="C4915" s="463"/>
    </row>
    <row r="4916" spans="2:3" x14ac:dyDescent="0.25">
      <c r="B4916" s="463"/>
      <c r="C4916" s="463"/>
    </row>
    <row r="4917" spans="2:3" x14ac:dyDescent="0.25">
      <c r="B4917" s="463"/>
      <c r="C4917" s="463"/>
    </row>
    <row r="4918" spans="2:3" x14ac:dyDescent="0.25">
      <c r="B4918" s="463"/>
      <c r="C4918" s="463"/>
    </row>
    <row r="4919" spans="2:3" x14ac:dyDescent="0.25">
      <c r="B4919" s="463"/>
      <c r="C4919" s="463"/>
    </row>
    <row r="4920" spans="2:3" x14ac:dyDescent="0.25">
      <c r="B4920" s="463"/>
      <c r="C4920" s="463"/>
    </row>
    <row r="4921" spans="2:3" x14ac:dyDescent="0.25">
      <c r="B4921" s="463"/>
      <c r="C4921" s="463"/>
    </row>
    <row r="4922" spans="2:3" x14ac:dyDescent="0.25">
      <c r="B4922" s="463"/>
      <c r="C4922" s="463"/>
    </row>
    <row r="4923" spans="2:3" x14ac:dyDescent="0.25">
      <c r="B4923" s="463"/>
      <c r="C4923" s="463"/>
    </row>
    <row r="4924" spans="2:3" x14ac:dyDescent="0.25">
      <c r="B4924" s="463"/>
      <c r="C4924" s="463"/>
    </row>
    <row r="4925" spans="2:3" x14ac:dyDescent="0.25">
      <c r="B4925" s="463"/>
      <c r="C4925" s="463"/>
    </row>
    <row r="4926" spans="2:3" x14ac:dyDescent="0.25">
      <c r="B4926" s="463"/>
      <c r="C4926" s="463"/>
    </row>
    <row r="4927" spans="2:3" x14ac:dyDescent="0.25">
      <c r="B4927" s="463"/>
      <c r="C4927" s="463"/>
    </row>
    <row r="4928" spans="2:3" x14ac:dyDescent="0.25">
      <c r="B4928" s="463"/>
      <c r="C4928" s="463"/>
    </row>
    <row r="4929" spans="2:3" x14ac:dyDescent="0.25">
      <c r="B4929" s="463"/>
      <c r="C4929" s="463"/>
    </row>
    <row r="4930" spans="2:3" x14ac:dyDescent="0.25">
      <c r="B4930" s="463"/>
      <c r="C4930" s="463"/>
    </row>
    <row r="4931" spans="2:3" x14ac:dyDescent="0.25">
      <c r="B4931" s="463"/>
      <c r="C4931" s="463"/>
    </row>
    <row r="4932" spans="2:3" x14ac:dyDescent="0.25">
      <c r="B4932" s="463"/>
      <c r="C4932" s="463"/>
    </row>
    <row r="4933" spans="2:3" x14ac:dyDescent="0.25">
      <c r="B4933" s="463"/>
      <c r="C4933" s="463"/>
    </row>
    <row r="4934" spans="2:3" x14ac:dyDescent="0.25">
      <c r="B4934" s="463"/>
      <c r="C4934" s="463"/>
    </row>
    <row r="4935" spans="2:3" x14ac:dyDescent="0.25">
      <c r="B4935" s="463"/>
      <c r="C4935" s="463"/>
    </row>
    <row r="4936" spans="2:3" x14ac:dyDescent="0.25">
      <c r="B4936" s="463"/>
      <c r="C4936" s="463"/>
    </row>
    <row r="4937" spans="2:3" x14ac:dyDescent="0.25">
      <c r="B4937" s="463"/>
      <c r="C4937" s="463"/>
    </row>
    <row r="4938" spans="2:3" x14ac:dyDescent="0.25">
      <c r="B4938" s="463"/>
      <c r="C4938" s="463"/>
    </row>
    <row r="4939" spans="2:3" x14ac:dyDescent="0.25">
      <c r="B4939" s="463"/>
      <c r="C4939" s="463"/>
    </row>
    <row r="4940" spans="2:3" x14ac:dyDescent="0.25">
      <c r="B4940" s="463"/>
      <c r="C4940" s="463"/>
    </row>
    <row r="4941" spans="2:3" x14ac:dyDescent="0.25">
      <c r="B4941" s="463"/>
      <c r="C4941" s="463"/>
    </row>
    <row r="4942" spans="2:3" x14ac:dyDescent="0.25">
      <c r="B4942" s="463"/>
      <c r="C4942" s="463"/>
    </row>
    <row r="4943" spans="2:3" x14ac:dyDescent="0.25">
      <c r="B4943" s="463"/>
      <c r="C4943" s="463"/>
    </row>
    <row r="4944" spans="2:3" x14ac:dyDescent="0.25">
      <c r="B4944" s="463"/>
      <c r="C4944" s="463"/>
    </row>
    <row r="4945" spans="2:3" x14ac:dyDescent="0.25">
      <c r="B4945" s="463"/>
      <c r="C4945" s="463"/>
    </row>
    <row r="4946" spans="2:3" x14ac:dyDescent="0.25">
      <c r="B4946" s="463"/>
      <c r="C4946" s="463"/>
    </row>
    <row r="4947" spans="2:3" x14ac:dyDescent="0.25">
      <c r="B4947" s="463"/>
      <c r="C4947" s="463"/>
    </row>
    <row r="4948" spans="2:3" x14ac:dyDescent="0.25">
      <c r="B4948" s="463"/>
      <c r="C4948" s="463"/>
    </row>
    <row r="4949" spans="2:3" x14ac:dyDescent="0.25">
      <c r="B4949" s="463"/>
      <c r="C4949" s="463"/>
    </row>
    <row r="4950" spans="2:3" x14ac:dyDescent="0.25">
      <c r="B4950" s="463"/>
      <c r="C4950" s="463"/>
    </row>
    <row r="4951" spans="2:3" x14ac:dyDescent="0.25">
      <c r="B4951" s="463"/>
      <c r="C4951" s="463"/>
    </row>
    <row r="4952" spans="2:3" x14ac:dyDescent="0.25">
      <c r="B4952" s="463"/>
      <c r="C4952" s="463"/>
    </row>
    <row r="4953" spans="2:3" x14ac:dyDescent="0.25">
      <c r="B4953" s="463"/>
      <c r="C4953" s="463"/>
    </row>
    <row r="4954" spans="2:3" x14ac:dyDescent="0.25">
      <c r="B4954" s="463"/>
      <c r="C4954" s="463"/>
    </row>
    <row r="4955" spans="2:3" x14ac:dyDescent="0.25">
      <c r="B4955" s="463"/>
      <c r="C4955" s="463"/>
    </row>
    <row r="4956" spans="2:3" x14ac:dyDescent="0.25">
      <c r="B4956" s="463"/>
      <c r="C4956" s="463"/>
    </row>
    <row r="4957" spans="2:3" x14ac:dyDescent="0.25">
      <c r="B4957" s="463"/>
      <c r="C4957" s="463"/>
    </row>
    <row r="4958" spans="2:3" x14ac:dyDescent="0.25">
      <c r="B4958" s="463"/>
      <c r="C4958" s="463"/>
    </row>
    <row r="4959" spans="2:3" x14ac:dyDescent="0.25">
      <c r="B4959" s="463"/>
      <c r="C4959" s="463"/>
    </row>
    <row r="4960" spans="2:3" x14ac:dyDescent="0.25">
      <c r="B4960" s="463"/>
      <c r="C4960" s="463"/>
    </row>
    <row r="4961" spans="2:3" x14ac:dyDescent="0.25">
      <c r="B4961" s="463"/>
      <c r="C4961" s="463"/>
    </row>
    <row r="4962" spans="2:3" x14ac:dyDescent="0.25">
      <c r="B4962" s="463"/>
      <c r="C4962" s="463"/>
    </row>
    <row r="4963" spans="2:3" x14ac:dyDescent="0.25">
      <c r="B4963" s="463"/>
      <c r="C4963" s="463"/>
    </row>
    <row r="4964" spans="2:3" x14ac:dyDescent="0.25">
      <c r="B4964" s="463"/>
      <c r="C4964" s="463"/>
    </row>
    <row r="4965" spans="2:3" x14ac:dyDescent="0.25">
      <c r="B4965" s="463"/>
      <c r="C4965" s="463"/>
    </row>
    <row r="4966" spans="2:3" x14ac:dyDescent="0.25">
      <c r="B4966" s="463"/>
      <c r="C4966" s="463"/>
    </row>
    <row r="4967" spans="2:3" x14ac:dyDescent="0.25">
      <c r="B4967" s="463"/>
      <c r="C4967" s="463"/>
    </row>
    <row r="4968" spans="2:3" x14ac:dyDescent="0.25">
      <c r="B4968" s="463"/>
      <c r="C4968" s="463"/>
    </row>
    <row r="4969" spans="2:3" x14ac:dyDescent="0.25">
      <c r="B4969" s="463"/>
      <c r="C4969" s="463"/>
    </row>
    <row r="4970" spans="2:3" x14ac:dyDescent="0.25">
      <c r="B4970" s="463"/>
      <c r="C4970" s="463"/>
    </row>
    <row r="4971" spans="2:3" x14ac:dyDescent="0.25">
      <c r="B4971" s="463"/>
      <c r="C4971" s="463"/>
    </row>
    <row r="4972" spans="2:3" x14ac:dyDescent="0.25">
      <c r="B4972" s="463"/>
      <c r="C4972" s="463"/>
    </row>
    <row r="4973" spans="2:3" x14ac:dyDescent="0.25">
      <c r="B4973" s="463"/>
      <c r="C4973" s="463"/>
    </row>
    <row r="4974" spans="2:3" x14ac:dyDescent="0.25">
      <c r="B4974" s="463"/>
      <c r="C4974" s="463"/>
    </row>
    <row r="4975" spans="2:3" x14ac:dyDescent="0.25">
      <c r="B4975" s="463"/>
      <c r="C4975" s="463"/>
    </row>
    <row r="4976" spans="2:3" x14ac:dyDescent="0.25">
      <c r="B4976" s="463"/>
      <c r="C4976" s="463"/>
    </row>
    <row r="4977" spans="2:3" x14ac:dyDescent="0.25">
      <c r="B4977" s="463"/>
      <c r="C4977" s="463"/>
    </row>
    <row r="4978" spans="2:3" x14ac:dyDescent="0.25">
      <c r="B4978" s="463"/>
      <c r="C4978" s="463"/>
    </row>
    <row r="4979" spans="2:3" x14ac:dyDescent="0.25">
      <c r="B4979" s="463"/>
      <c r="C4979" s="463"/>
    </row>
    <row r="4980" spans="2:3" x14ac:dyDescent="0.25">
      <c r="B4980" s="463"/>
      <c r="C4980" s="463"/>
    </row>
    <row r="4981" spans="2:3" x14ac:dyDescent="0.25">
      <c r="B4981" s="463"/>
      <c r="C4981" s="463"/>
    </row>
    <row r="4982" spans="2:3" x14ac:dyDescent="0.25">
      <c r="B4982" s="463"/>
      <c r="C4982" s="463"/>
    </row>
    <row r="4983" spans="2:3" x14ac:dyDescent="0.25">
      <c r="B4983" s="463"/>
      <c r="C4983" s="463"/>
    </row>
    <row r="4984" spans="2:3" x14ac:dyDescent="0.25">
      <c r="B4984" s="463"/>
      <c r="C4984" s="463"/>
    </row>
    <row r="4985" spans="2:3" x14ac:dyDescent="0.25">
      <c r="B4985" s="463"/>
      <c r="C4985" s="463"/>
    </row>
    <row r="4986" spans="2:3" x14ac:dyDescent="0.25">
      <c r="B4986" s="463"/>
      <c r="C4986" s="463"/>
    </row>
    <row r="4987" spans="2:3" x14ac:dyDescent="0.25">
      <c r="B4987" s="463"/>
      <c r="C4987" s="463"/>
    </row>
    <row r="4988" spans="2:3" x14ac:dyDescent="0.25">
      <c r="B4988" s="463"/>
      <c r="C4988" s="463"/>
    </row>
    <row r="4989" spans="2:3" x14ac:dyDescent="0.25">
      <c r="B4989" s="463"/>
      <c r="C4989" s="463"/>
    </row>
    <row r="4990" spans="2:3" x14ac:dyDescent="0.25">
      <c r="B4990" s="463"/>
      <c r="C4990" s="463"/>
    </row>
    <row r="4991" spans="2:3" x14ac:dyDescent="0.25">
      <c r="B4991" s="463"/>
      <c r="C4991" s="463"/>
    </row>
    <row r="4992" spans="2:3" x14ac:dyDescent="0.25">
      <c r="B4992" s="463"/>
      <c r="C4992" s="463"/>
    </row>
    <row r="4993" spans="2:3" x14ac:dyDescent="0.25">
      <c r="B4993" s="463"/>
      <c r="C4993" s="463"/>
    </row>
    <row r="4994" spans="2:3" x14ac:dyDescent="0.25">
      <c r="B4994" s="463"/>
      <c r="C4994" s="463"/>
    </row>
    <row r="4995" spans="2:3" x14ac:dyDescent="0.25">
      <c r="B4995" s="463"/>
      <c r="C4995" s="463"/>
    </row>
    <row r="4996" spans="2:3" x14ac:dyDescent="0.25">
      <c r="B4996" s="463"/>
      <c r="C4996" s="463"/>
    </row>
    <row r="4997" spans="2:3" x14ac:dyDescent="0.25">
      <c r="B4997" s="463"/>
      <c r="C4997" s="463"/>
    </row>
    <row r="4998" spans="2:3" x14ac:dyDescent="0.25">
      <c r="B4998" s="463"/>
      <c r="C4998" s="463"/>
    </row>
    <row r="4999" spans="2:3" x14ac:dyDescent="0.25">
      <c r="B4999" s="463"/>
      <c r="C4999" s="463"/>
    </row>
    <row r="5000" spans="2:3" x14ac:dyDescent="0.25">
      <c r="B5000" s="463"/>
      <c r="C5000" s="463"/>
    </row>
    <row r="5001" spans="2:3" x14ac:dyDescent="0.25">
      <c r="B5001" s="463"/>
      <c r="C5001" s="463"/>
    </row>
    <row r="5002" spans="2:3" x14ac:dyDescent="0.25">
      <c r="B5002" s="463"/>
      <c r="C5002" s="463"/>
    </row>
    <row r="5003" spans="2:3" x14ac:dyDescent="0.25">
      <c r="B5003" s="463"/>
      <c r="C5003" s="463"/>
    </row>
    <row r="5004" spans="2:3" x14ac:dyDescent="0.25">
      <c r="B5004" s="463"/>
      <c r="C5004" s="463"/>
    </row>
    <row r="5005" spans="2:3" x14ac:dyDescent="0.25">
      <c r="B5005" s="463"/>
      <c r="C5005" s="463"/>
    </row>
    <row r="5006" spans="2:3" x14ac:dyDescent="0.25">
      <c r="B5006" s="463"/>
      <c r="C5006" s="463"/>
    </row>
    <row r="5007" spans="2:3" x14ac:dyDescent="0.25">
      <c r="B5007" s="463"/>
      <c r="C5007" s="463"/>
    </row>
    <row r="5008" spans="2:3" x14ac:dyDescent="0.25">
      <c r="B5008" s="463"/>
      <c r="C5008" s="463"/>
    </row>
    <row r="5009" spans="2:3" x14ac:dyDescent="0.25">
      <c r="B5009" s="463"/>
      <c r="C5009" s="463"/>
    </row>
    <row r="5010" spans="2:3" x14ac:dyDescent="0.25">
      <c r="B5010" s="463"/>
      <c r="C5010" s="463"/>
    </row>
    <row r="5011" spans="2:3" x14ac:dyDescent="0.25">
      <c r="B5011" s="463"/>
      <c r="C5011" s="463"/>
    </row>
    <row r="5012" spans="2:3" x14ac:dyDescent="0.25">
      <c r="B5012" s="463"/>
      <c r="C5012" s="463"/>
    </row>
    <row r="5013" spans="2:3" x14ac:dyDescent="0.25">
      <c r="B5013" s="463"/>
      <c r="C5013" s="463"/>
    </row>
    <row r="5014" spans="2:3" x14ac:dyDescent="0.25">
      <c r="B5014" s="463"/>
      <c r="C5014" s="463"/>
    </row>
    <row r="5015" spans="2:3" x14ac:dyDescent="0.25">
      <c r="B5015" s="463"/>
      <c r="C5015" s="463"/>
    </row>
    <row r="5016" spans="2:3" x14ac:dyDescent="0.25">
      <c r="B5016" s="463"/>
      <c r="C5016" s="463"/>
    </row>
    <row r="5017" spans="2:3" x14ac:dyDescent="0.25">
      <c r="B5017" s="463"/>
      <c r="C5017" s="463"/>
    </row>
    <row r="5018" spans="2:3" x14ac:dyDescent="0.25">
      <c r="B5018" s="463"/>
      <c r="C5018" s="463"/>
    </row>
    <row r="5019" spans="2:3" x14ac:dyDescent="0.25">
      <c r="B5019" s="463"/>
      <c r="C5019" s="463"/>
    </row>
    <row r="5020" spans="2:3" x14ac:dyDescent="0.25">
      <c r="B5020" s="463"/>
      <c r="C5020" s="463"/>
    </row>
    <row r="5021" spans="2:3" x14ac:dyDescent="0.25">
      <c r="B5021" s="463"/>
      <c r="C5021" s="463"/>
    </row>
    <row r="5022" spans="2:3" x14ac:dyDescent="0.25">
      <c r="B5022" s="463"/>
      <c r="C5022" s="463"/>
    </row>
    <row r="5023" spans="2:3" x14ac:dyDescent="0.25">
      <c r="B5023" s="463"/>
      <c r="C5023" s="463"/>
    </row>
    <row r="5024" spans="2:3" x14ac:dyDescent="0.25">
      <c r="B5024" s="463"/>
      <c r="C5024" s="463"/>
    </row>
    <row r="5025" spans="2:3" x14ac:dyDescent="0.25">
      <c r="B5025" s="463"/>
      <c r="C5025" s="463"/>
    </row>
    <row r="5026" spans="2:3" x14ac:dyDescent="0.25">
      <c r="B5026" s="463"/>
      <c r="C5026" s="463"/>
    </row>
    <row r="5027" spans="2:3" x14ac:dyDescent="0.25">
      <c r="B5027" s="463"/>
      <c r="C5027" s="463"/>
    </row>
    <row r="5028" spans="2:3" x14ac:dyDescent="0.25">
      <c r="B5028" s="463"/>
      <c r="C5028" s="463"/>
    </row>
    <row r="5029" spans="2:3" x14ac:dyDescent="0.25">
      <c r="B5029" s="463"/>
      <c r="C5029" s="463"/>
    </row>
    <row r="5030" spans="2:3" x14ac:dyDescent="0.25">
      <c r="B5030" s="463"/>
      <c r="C5030" s="463"/>
    </row>
    <row r="5031" spans="2:3" x14ac:dyDescent="0.25">
      <c r="B5031" s="463"/>
      <c r="C5031" s="463"/>
    </row>
    <row r="5032" spans="2:3" x14ac:dyDescent="0.25">
      <c r="B5032" s="463"/>
      <c r="C5032" s="463"/>
    </row>
    <row r="5033" spans="2:3" x14ac:dyDescent="0.25">
      <c r="B5033" s="463"/>
      <c r="C5033" s="463"/>
    </row>
    <row r="5034" spans="2:3" x14ac:dyDescent="0.25">
      <c r="B5034" s="463"/>
      <c r="C5034" s="463"/>
    </row>
    <row r="5035" spans="2:3" x14ac:dyDescent="0.25">
      <c r="B5035" s="463"/>
      <c r="C5035" s="463"/>
    </row>
    <row r="5036" spans="2:3" x14ac:dyDescent="0.25">
      <c r="B5036" s="463"/>
      <c r="C5036" s="463"/>
    </row>
    <row r="5037" spans="2:3" x14ac:dyDescent="0.25">
      <c r="B5037" s="463"/>
      <c r="C5037" s="463"/>
    </row>
    <row r="5038" spans="2:3" x14ac:dyDescent="0.25">
      <c r="B5038" s="463"/>
      <c r="C5038" s="463"/>
    </row>
    <row r="5039" spans="2:3" x14ac:dyDescent="0.25">
      <c r="B5039" s="463"/>
      <c r="C5039" s="463"/>
    </row>
    <row r="5040" spans="2:3" x14ac:dyDescent="0.25">
      <c r="B5040" s="463"/>
      <c r="C5040" s="463"/>
    </row>
    <row r="5041" spans="2:3" x14ac:dyDescent="0.25">
      <c r="B5041" s="463"/>
      <c r="C5041" s="463"/>
    </row>
    <row r="5042" spans="2:3" x14ac:dyDescent="0.25">
      <c r="B5042" s="463"/>
      <c r="C5042" s="463"/>
    </row>
    <row r="5043" spans="2:3" x14ac:dyDescent="0.25">
      <c r="B5043" s="463"/>
      <c r="C5043" s="463"/>
    </row>
    <row r="5044" spans="2:3" x14ac:dyDescent="0.25">
      <c r="B5044" s="463"/>
      <c r="C5044" s="463"/>
    </row>
    <row r="5045" spans="2:3" x14ac:dyDescent="0.25">
      <c r="B5045" s="463"/>
      <c r="C5045" s="463"/>
    </row>
    <row r="5046" spans="2:3" x14ac:dyDescent="0.25">
      <c r="B5046" s="463"/>
      <c r="C5046" s="463"/>
    </row>
    <row r="5047" spans="2:3" x14ac:dyDescent="0.25">
      <c r="B5047" s="463"/>
      <c r="C5047" s="463"/>
    </row>
    <row r="5048" spans="2:3" x14ac:dyDescent="0.25">
      <c r="B5048" s="463"/>
      <c r="C5048" s="463"/>
    </row>
    <row r="5049" spans="2:3" x14ac:dyDescent="0.25">
      <c r="B5049" s="463"/>
      <c r="C5049" s="463"/>
    </row>
    <row r="5050" spans="2:3" x14ac:dyDescent="0.25">
      <c r="B5050" s="463"/>
      <c r="C5050" s="463"/>
    </row>
    <row r="5051" spans="2:3" x14ac:dyDescent="0.25">
      <c r="B5051" s="463"/>
      <c r="C5051" s="463"/>
    </row>
    <row r="5052" spans="2:3" x14ac:dyDescent="0.25">
      <c r="B5052" s="463"/>
      <c r="C5052" s="463"/>
    </row>
    <row r="5053" spans="2:3" x14ac:dyDescent="0.25">
      <c r="B5053" s="463"/>
      <c r="C5053" s="463"/>
    </row>
    <row r="5054" spans="2:3" x14ac:dyDescent="0.25">
      <c r="B5054" s="463"/>
      <c r="C5054" s="463"/>
    </row>
    <row r="5055" spans="2:3" x14ac:dyDescent="0.25">
      <c r="B5055" s="463"/>
      <c r="C5055" s="463"/>
    </row>
    <row r="5056" spans="2:3" x14ac:dyDescent="0.25">
      <c r="B5056" s="463"/>
      <c r="C5056" s="463"/>
    </row>
    <row r="5057" spans="2:3" x14ac:dyDescent="0.25">
      <c r="B5057" s="463"/>
      <c r="C5057" s="463"/>
    </row>
    <row r="5058" spans="2:3" x14ac:dyDescent="0.25">
      <c r="B5058" s="463"/>
      <c r="C5058" s="463"/>
    </row>
    <row r="5059" spans="2:3" x14ac:dyDescent="0.25">
      <c r="B5059" s="463"/>
      <c r="C5059" s="463"/>
    </row>
    <row r="5060" spans="2:3" x14ac:dyDescent="0.25">
      <c r="B5060" s="463"/>
      <c r="C5060" s="463"/>
    </row>
    <row r="5061" spans="2:3" x14ac:dyDescent="0.25">
      <c r="B5061" s="463"/>
      <c r="C5061" s="463"/>
    </row>
    <row r="5062" spans="2:3" x14ac:dyDescent="0.25">
      <c r="B5062" s="463"/>
      <c r="C5062" s="463"/>
    </row>
    <row r="5063" spans="2:3" x14ac:dyDescent="0.25">
      <c r="B5063" s="463"/>
      <c r="C5063" s="463"/>
    </row>
    <row r="5064" spans="2:3" x14ac:dyDescent="0.25">
      <c r="B5064" s="463"/>
      <c r="C5064" s="463"/>
    </row>
    <row r="5065" spans="2:3" x14ac:dyDescent="0.25">
      <c r="B5065" s="463"/>
      <c r="C5065" s="463"/>
    </row>
    <row r="5066" spans="2:3" x14ac:dyDescent="0.25">
      <c r="B5066" s="463"/>
      <c r="C5066" s="463"/>
    </row>
    <row r="5067" spans="2:3" x14ac:dyDescent="0.25">
      <c r="B5067" s="463"/>
      <c r="C5067" s="463"/>
    </row>
    <row r="5068" spans="2:3" x14ac:dyDescent="0.25">
      <c r="B5068" s="463"/>
      <c r="C5068" s="463"/>
    </row>
    <row r="5069" spans="2:3" x14ac:dyDescent="0.25">
      <c r="B5069" s="463"/>
      <c r="C5069" s="463"/>
    </row>
    <row r="5070" spans="2:3" x14ac:dyDescent="0.25">
      <c r="B5070" s="463"/>
      <c r="C5070" s="463"/>
    </row>
    <row r="5071" spans="2:3" x14ac:dyDescent="0.25">
      <c r="B5071" s="463"/>
      <c r="C5071" s="463"/>
    </row>
    <row r="5072" spans="2:3" x14ac:dyDescent="0.25">
      <c r="B5072" s="463"/>
      <c r="C5072" s="463"/>
    </row>
    <row r="5073" spans="2:3" x14ac:dyDescent="0.25">
      <c r="B5073" s="463"/>
      <c r="C5073" s="463"/>
    </row>
    <row r="5074" spans="2:3" x14ac:dyDescent="0.25">
      <c r="B5074" s="463"/>
      <c r="C5074" s="463"/>
    </row>
    <row r="5075" spans="2:3" x14ac:dyDescent="0.25">
      <c r="B5075" s="463"/>
      <c r="C5075" s="463"/>
    </row>
    <row r="5076" spans="2:3" x14ac:dyDescent="0.25">
      <c r="B5076" s="463"/>
      <c r="C5076" s="463"/>
    </row>
    <row r="5077" spans="2:3" x14ac:dyDescent="0.25">
      <c r="B5077" s="463"/>
      <c r="C5077" s="463"/>
    </row>
    <row r="5078" spans="2:3" x14ac:dyDescent="0.25">
      <c r="B5078" s="463"/>
      <c r="C5078" s="463"/>
    </row>
    <row r="5079" spans="2:3" x14ac:dyDescent="0.25">
      <c r="B5079" s="463"/>
      <c r="C5079" s="463"/>
    </row>
    <row r="5080" spans="2:3" x14ac:dyDescent="0.25">
      <c r="B5080" s="463"/>
      <c r="C5080" s="463"/>
    </row>
    <row r="5081" spans="2:3" x14ac:dyDescent="0.25">
      <c r="B5081" s="463"/>
      <c r="C5081" s="463"/>
    </row>
    <row r="5082" spans="2:3" x14ac:dyDescent="0.25">
      <c r="B5082" s="463"/>
      <c r="C5082" s="463"/>
    </row>
    <row r="5083" spans="2:3" x14ac:dyDescent="0.25">
      <c r="B5083" s="463"/>
      <c r="C5083" s="463"/>
    </row>
    <row r="5084" spans="2:3" x14ac:dyDescent="0.25">
      <c r="B5084" s="463"/>
      <c r="C5084" s="463"/>
    </row>
    <row r="5085" spans="2:3" x14ac:dyDescent="0.25">
      <c r="B5085" s="463"/>
      <c r="C5085" s="463"/>
    </row>
    <row r="5086" spans="2:3" x14ac:dyDescent="0.25">
      <c r="B5086" s="463"/>
      <c r="C5086" s="463"/>
    </row>
    <row r="5087" spans="2:3" x14ac:dyDescent="0.25">
      <c r="B5087" s="463"/>
      <c r="C5087" s="463"/>
    </row>
    <row r="5088" spans="2:3" x14ac:dyDescent="0.25">
      <c r="B5088" s="463"/>
      <c r="C5088" s="463"/>
    </row>
    <row r="5089" spans="2:3" x14ac:dyDescent="0.25">
      <c r="B5089" s="463"/>
      <c r="C5089" s="463"/>
    </row>
    <row r="5090" spans="2:3" x14ac:dyDescent="0.25">
      <c r="B5090" s="463"/>
      <c r="C5090" s="463"/>
    </row>
    <row r="5091" spans="2:3" x14ac:dyDescent="0.25">
      <c r="B5091" s="463"/>
      <c r="C5091" s="463"/>
    </row>
    <row r="5092" spans="2:3" x14ac:dyDescent="0.25">
      <c r="B5092" s="463"/>
      <c r="C5092" s="463"/>
    </row>
    <row r="5093" spans="2:3" x14ac:dyDescent="0.25">
      <c r="B5093" s="463"/>
      <c r="C5093" s="463"/>
    </row>
    <row r="5094" spans="2:3" x14ac:dyDescent="0.25">
      <c r="B5094" s="463"/>
      <c r="C5094" s="463"/>
    </row>
    <row r="5095" spans="2:3" x14ac:dyDescent="0.25">
      <c r="B5095" s="463"/>
      <c r="C5095" s="463"/>
    </row>
    <row r="5096" spans="2:3" x14ac:dyDescent="0.25">
      <c r="B5096" s="463"/>
      <c r="C5096" s="463"/>
    </row>
    <row r="5097" spans="2:3" x14ac:dyDescent="0.25">
      <c r="B5097" s="463"/>
      <c r="C5097" s="463"/>
    </row>
    <row r="5098" spans="2:3" x14ac:dyDescent="0.25">
      <c r="B5098" s="463"/>
      <c r="C5098" s="463"/>
    </row>
    <row r="5099" spans="2:3" x14ac:dyDescent="0.25">
      <c r="B5099" s="463"/>
      <c r="C5099" s="463"/>
    </row>
    <row r="5100" spans="2:3" x14ac:dyDescent="0.25">
      <c r="B5100" s="463"/>
      <c r="C5100" s="463"/>
    </row>
    <row r="5101" spans="2:3" x14ac:dyDescent="0.25">
      <c r="B5101" s="463"/>
      <c r="C5101" s="463"/>
    </row>
    <row r="5102" spans="2:3" x14ac:dyDescent="0.25">
      <c r="B5102" s="463"/>
      <c r="C5102" s="463"/>
    </row>
    <row r="5103" spans="2:3" x14ac:dyDescent="0.25">
      <c r="B5103" s="463"/>
      <c r="C5103" s="463"/>
    </row>
    <row r="5104" spans="2:3" x14ac:dyDescent="0.25">
      <c r="B5104" s="463"/>
      <c r="C5104" s="463"/>
    </row>
    <row r="5105" spans="2:3" x14ac:dyDescent="0.25">
      <c r="B5105" s="463"/>
      <c r="C5105" s="463"/>
    </row>
    <row r="5106" spans="2:3" x14ac:dyDescent="0.25">
      <c r="B5106" s="463"/>
      <c r="C5106" s="463"/>
    </row>
    <row r="5107" spans="2:3" x14ac:dyDescent="0.25">
      <c r="B5107" s="463"/>
      <c r="C5107" s="463"/>
    </row>
    <row r="5108" spans="2:3" x14ac:dyDescent="0.25">
      <c r="B5108" s="463"/>
      <c r="C5108" s="463"/>
    </row>
    <row r="5109" spans="2:3" x14ac:dyDescent="0.25">
      <c r="B5109" s="463"/>
      <c r="C5109" s="463"/>
    </row>
    <row r="5110" spans="2:3" x14ac:dyDescent="0.25">
      <c r="B5110" s="463"/>
      <c r="C5110" s="463"/>
    </row>
    <row r="5111" spans="2:3" x14ac:dyDescent="0.25">
      <c r="B5111" s="463"/>
      <c r="C5111" s="463"/>
    </row>
    <row r="5112" spans="2:3" x14ac:dyDescent="0.25">
      <c r="B5112" s="463"/>
      <c r="C5112" s="463"/>
    </row>
    <row r="5113" spans="2:3" x14ac:dyDescent="0.25">
      <c r="B5113" s="463"/>
      <c r="C5113" s="463"/>
    </row>
    <row r="5114" spans="2:3" x14ac:dyDescent="0.25">
      <c r="B5114" s="463"/>
      <c r="C5114" s="463"/>
    </row>
    <row r="5115" spans="2:3" x14ac:dyDescent="0.25">
      <c r="B5115" s="463"/>
      <c r="C5115" s="463"/>
    </row>
    <row r="5116" spans="2:3" x14ac:dyDescent="0.25">
      <c r="B5116" s="463"/>
      <c r="C5116" s="463"/>
    </row>
    <row r="5117" spans="2:3" x14ac:dyDescent="0.25">
      <c r="B5117" s="463"/>
      <c r="C5117" s="463"/>
    </row>
    <row r="5118" spans="2:3" x14ac:dyDescent="0.25">
      <c r="B5118" s="463"/>
      <c r="C5118" s="463"/>
    </row>
    <row r="5119" spans="2:3" x14ac:dyDescent="0.25">
      <c r="B5119" s="463"/>
      <c r="C5119" s="463"/>
    </row>
    <row r="5120" spans="2:3" x14ac:dyDescent="0.25">
      <c r="B5120" s="463"/>
      <c r="C5120" s="463"/>
    </row>
    <row r="5121" spans="2:3" x14ac:dyDescent="0.25">
      <c r="B5121" s="463"/>
      <c r="C5121" s="463"/>
    </row>
    <row r="5122" spans="2:3" x14ac:dyDescent="0.25">
      <c r="B5122" s="463"/>
      <c r="C5122" s="463"/>
    </row>
    <row r="5123" spans="2:3" x14ac:dyDescent="0.25">
      <c r="B5123" s="463"/>
      <c r="C5123" s="463"/>
    </row>
    <row r="5124" spans="2:3" x14ac:dyDescent="0.25">
      <c r="B5124" s="463"/>
      <c r="C5124" s="463"/>
    </row>
    <row r="5125" spans="2:3" x14ac:dyDescent="0.25">
      <c r="B5125" s="463"/>
      <c r="C5125" s="463"/>
    </row>
    <row r="5126" spans="2:3" x14ac:dyDescent="0.25">
      <c r="B5126" s="463"/>
      <c r="C5126" s="463"/>
    </row>
    <row r="5127" spans="2:3" x14ac:dyDescent="0.25">
      <c r="B5127" s="463"/>
      <c r="C5127" s="463"/>
    </row>
    <row r="5128" spans="2:3" x14ac:dyDescent="0.25">
      <c r="B5128" s="463"/>
      <c r="C5128" s="463"/>
    </row>
    <row r="5129" spans="2:3" x14ac:dyDescent="0.25">
      <c r="B5129" s="463"/>
      <c r="C5129" s="463"/>
    </row>
    <row r="5130" spans="2:3" x14ac:dyDescent="0.25">
      <c r="B5130" s="463"/>
      <c r="C5130" s="463"/>
    </row>
    <row r="5131" spans="2:3" x14ac:dyDescent="0.25">
      <c r="B5131" s="463"/>
      <c r="C5131" s="463"/>
    </row>
    <row r="5132" spans="2:3" x14ac:dyDescent="0.25">
      <c r="B5132" s="463"/>
      <c r="C5132" s="463"/>
    </row>
    <row r="5133" spans="2:3" x14ac:dyDescent="0.25">
      <c r="B5133" s="463"/>
      <c r="C5133" s="463"/>
    </row>
    <row r="5134" spans="2:3" x14ac:dyDescent="0.25">
      <c r="B5134" s="463"/>
      <c r="C5134" s="463"/>
    </row>
    <row r="5135" spans="2:3" x14ac:dyDescent="0.25">
      <c r="B5135" s="463"/>
      <c r="C5135" s="463"/>
    </row>
    <row r="5136" spans="2:3" x14ac:dyDescent="0.25">
      <c r="B5136" s="463"/>
      <c r="C5136" s="463"/>
    </row>
    <row r="5137" spans="2:3" x14ac:dyDescent="0.25">
      <c r="B5137" s="463"/>
      <c r="C5137" s="463"/>
    </row>
    <row r="5138" spans="2:3" x14ac:dyDescent="0.25">
      <c r="B5138" s="463"/>
      <c r="C5138" s="463"/>
    </row>
    <row r="5139" spans="2:3" x14ac:dyDescent="0.25">
      <c r="B5139" s="463"/>
      <c r="C5139" s="463"/>
    </row>
    <row r="5140" spans="2:3" x14ac:dyDescent="0.25">
      <c r="B5140" s="463"/>
      <c r="C5140" s="463"/>
    </row>
    <row r="5141" spans="2:3" x14ac:dyDescent="0.25">
      <c r="B5141" s="463"/>
      <c r="C5141" s="463"/>
    </row>
    <row r="5142" spans="2:3" x14ac:dyDescent="0.25">
      <c r="B5142" s="463"/>
      <c r="C5142" s="463"/>
    </row>
    <row r="5143" spans="2:3" x14ac:dyDescent="0.25">
      <c r="B5143" s="463"/>
      <c r="C5143" s="463"/>
    </row>
    <row r="5144" spans="2:3" x14ac:dyDescent="0.25">
      <c r="B5144" s="463"/>
      <c r="C5144" s="463"/>
    </row>
    <row r="5145" spans="2:3" x14ac:dyDescent="0.25">
      <c r="B5145" s="463"/>
      <c r="C5145" s="463"/>
    </row>
    <row r="5146" spans="2:3" x14ac:dyDescent="0.25">
      <c r="B5146" s="463"/>
      <c r="C5146" s="463"/>
    </row>
    <row r="5147" spans="2:3" x14ac:dyDescent="0.25">
      <c r="B5147" s="463"/>
      <c r="C5147" s="463"/>
    </row>
    <row r="5148" spans="2:3" x14ac:dyDescent="0.25">
      <c r="B5148" s="463"/>
      <c r="C5148" s="463"/>
    </row>
    <row r="5149" spans="2:3" x14ac:dyDescent="0.25">
      <c r="B5149" s="463"/>
      <c r="C5149" s="463"/>
    </row>
    <row r="5150" spans="2:3" x14ac:dyDescent="0.25">
      <c r="B5150" s="463"/>
      <c r="C5150" s="463"/>
    </row>
    <row r="5151" spans="2:3" x14ac:dyDescent="0.25">
      <c r="B5151" s="463"/>
      <c r="C5151" s="463"/>
    </row>
    <row r="5152" spans="2:3" x14ac:dyDescent="0.25">
      <c r="B5152" s="463"/>
      <c r="C5152" s="463"/>
    </row>
    <row r="5153" spans="2:3" x14ac:dyDescent="0.25">
      <c r="B5153" s="463"/>
      <c r="C5153" s="463"/>
    </row>
    <row r="5154" spans="2:3" x14ac:dyDescent="0.25">
      <c r="B5154" s="463"/>
      <c r="C5154" s="463"/>
    </row>
    <row r="5155" spans="2:3" x14ac:dyDescent="0.25">
      <c r="B5155" s="463"/>
      <c r="C5155" s="463"/>
    </row>
    <row r="5156" spans="2:3" x14ac:dyDescent="0.25">
      <c r="B5156" s="463"/>
      <c r="C5156" s="463"/>
    </row>
    <row r="5157" spans="2:3" x14ac:dyDescent="0.25">
      <c r="B5157" s="463"/>
      <c r="C5157" s="463"/>
    </row>
    <row r="5158" spans="2:3" x14ac:dyDescent="0.25">
      <c r="B5158" s="463"/>
      <c r="C5158" s="463"/>
    </row>
    <row r="5159" spans="2:3" x14ac:dyDescent="0.25">
      <c r="B5159" s="463"/>
      <c r="C5159" s="463"/>
    </row>
    <row r="5160" spans="2:3" x14ac:dyDescent="0.25">
      <c r="B5160" s="463"/>
      <c r="C5160" s="463"/>
    </row>
    <row r="5161" spans="2:3" x14ac:dyDescent="0.25">
      <c r="B5161" s="463"/>
      <c r="C5161" s="463"/>
    </row>
    <row r="5162" spans="2:3" x14ac:dyDescent="0.25">
      <c r="B5162" s="463"/>
      <c r="C5162" s="463"/>
    </row>
    <row r="5163" spans="2:3" x14ac:dyDescent="0.25">
      <c r="B5163" s="463"/>
      <c r="C5163" s="463"/>
    </row>
    <row r="5164" spans="2:3" x14ac:dyDescent="0.25">
      <c r="B5164" s="463"/>
      <c r="C5164" s="463"/>
    </row>
    <row r="5165" spans="2:3" x14ac:dyDescent="0.25">
      <c r="B5165" s="463"/>
      <c r="C5165" s="463"/>
    </row>
    <row r="5166" spans="2:3" x14ac:dyDescent="0.25">
      <c r="B5166" s="463"/>
      <c r="C5166" s="463"/>
    </row>
    <row r="5167" spans="2:3" x14ac:dyDescent="0.25">
      <c r="B5167" s="463"/>
      <c r="C5167" s="463"/>
    </row>
    <row r="5168" spans="2:3" x14ac:dyDescent="0.25">
      <c r="B5168" s="463"/>
      <c r="C5168" s="463"/>
    </row>
    <row r="5169" spans="2:3" x14ac:dyDescent="0.25">
      <c r="B5169" s="463"/>
      <c r="C5169" s="463"/>
    </row>
    <row r="5170" spans="2:3" x14ac:dyDescent="0.25">
      <c r="B5170" s="463"/>
      <c r="C5170" s="463"/>
    </row>
    <row r="5171" spans="2:3" x14ac:dyDescent="0.25">
      <c r="B5171" s="463"/>
      <c r="C5171" s="463"/>
    </row>
    <row r="5172" spans="2:3" x14ac:dyDescent="0.25">
      <c r="B5172" s="463"/>
      <c r="C5172" s="463"/>
    </row>
    <row r="5173" spans="2:3" x14ac:dyDescent="0.25">
      <c r="B5173" s="463"/>
      <c r="C5173" s="463"/>
    </row>
    <row r="5174" spans="2:3" x14ac:dyDescent="0.25">
      <c r="B5174" s="463"/>
      <c r="C5174" s="463"/>
    </row>
    <row r="5175" spans="2:3" x14ac:dyDescent="0.25">
      <c r="B5175" s="463"/>
      <c r="C5175" s="463"/>
    </row>
    <row r="5176" spans="2:3" x14ac:dyDescent="0.25">
      <c r="B5176" s="463"/>
      <c r="C5176" s="463"/>
    </row>
    <row r="5177" spans="2:3" x14ac:dyDescent="0.25">
      <c r="B5177" s="463"/>
      <c r="C5177" s="463"/>
    </row>
    <row r="5178" spans="2:3" x14ac:dyDescent="0.25">
      <c r="B5178" s="463"/>
      <c r="C5178" s="463"/>
    </row>
    <row r="5179" spans="2:3" x14ac:dyDescent="0.25">
      <c r="B5179" s="463"/>
      <c r="C5179" s="463"/>
    </row>
    <row r="5180" spans="2:3" x14ac:dyDescent="0.25">
      <c r="B5180" s="463"/>
      <c r="C5180" s="463"/>
    </row>
    <row r="5181" spans="2:3" x14ac:dyDescent="0.25">
      <c r="B5181" s="463"/>
      <c r="C5181" s="463"/>
    </row>
    <row r="5182" spans="2:3" x14ac:dyDescent="0.25">
      <c r="B5182" s="463"/>
      <c r="C5182" s="463"/>
    </row>
    <row r="5183" spans="2:3" x14ac:dyDescent="0.25">
      <c r="B5183" s="463"/>
      <c r="C5183" s="463"/>
    </row>
    <row r="5184" spans="2:3" x14ac:dyDescent="0.25">
      <c r="B5184" s="463"/>
      <c r="C5184" s="463"/>
    </row>
    <row r="5185" spans="2:3" x14ac:dyDescent="0.25">
      <c r="B5185" s="463"/>
      <c r="C5185" s="463"/>
    </row>
    <row r="5186" spans="2:3" x14ac:dyDescent="0.25">
      <c r="B5186" s="463"/>
      <c r="C5186" s="463"/>
    </row>
    <row r="5187" spans="2:3" x14ac:dyDescent="0.25">
      <c r="B5187" s="463"/>
      <c r="C5187" s="463"/>
    </row>
    <row r="5188" spans="2:3" x14ac:dyDescent="0.25">
      <c r="B5188" s="463"/>
      <c r="C5188" s="463"/>
    </row>
    <row r="5189" spans="2:3" x14ac:dyDescent="0.25">
      <c r="B5189" s="463"/>
      <c r="C5189" s="463"/>
    </row>
    <row r="5190" spans="2:3" x14ac:dyDescent="0.25">
      <c r="B5190" s="463"/>
      <c r="C5190" s="463"/>
    </row>
    <row r="5191" spans="2:3" x14ac:dyDescent="0.25">
      <c r="B5191" s="463"/>
      <c r="C5191" s="463"/>
    </row>
    <row r="5192" spans="2:3" x14ac:dyDescent="0.25">
      <c r="B5192" s="463"/>
      <c r="C5192" s="463"/>
    </row>
    <row r="5193" spans="2:3" x14ac:dyDescent="0.25">
      <c r="B5193" s="463"/>
      <c r="C5193" s="463"/>
    </row>
    <row r="5194" spans="2:3" x14ac:dyDescent="0.25">
      <c r="B5194" s="463"/>
      <c r="C5194" s="463"/>
    </row>
    <row r="5195" spans="2:3" x14ac:dyDescent="0.25">
      <c r="B5195" s="463"/>
      <c r="C5195" s="463"/>
    </row>
    <row r="5196" spans="2:3" x14ac:dyDescent="0.25">
      <c r="B5196" s="463"/>
      <c r="C5196" s="463"/>
    </row>
    <row r="5197" spans="2:3" x14ac:dyDescent="0.25">
      <c r="B5197" s="463"/>
      <c r="C5197" s="463"/>
    </row>
    <row r="5198" spans="2:3" x14ac:dyDescent="0.25">
      <c r="B5198" s="463"/>
      <c r="C5198" s="463"/>
    </row>
    <row r="5199" spans="2:3" x14ac:dyDescent="0.25">
      <c r="B5199" s="463"/>
      <c r="C5199" s="463"/>
    </row>
    <row r="5200" spans="2:3" x14ac:dyDescent="0.25">
      <c r="B5200" s="463"/>
      <c r="C5200" s="463"/>
    </row>
    <row r="5201" spans="2:3" x14ac:dyDescent="0.25">
      <c r="B5201" s="463"/>
      <c r="C5201" s="463"/>
    </row>
    <row r="5202" spans="2:3" x14ac:dyDescent="0.25">
      <c r="B5202" s="463"/>
      <c r="C5202" s="463"/>
    </row>
    <row r="5203" spans="2:3" x14ac:dyDescent="0.25">
      <c r="B5203" s="463"/>
      <c r="C5203" s="463"/>
    </row>
    <row r="5204" spans="2:3" x14ac:dyDescent="0.25">
      <c r="B5204" s="463"/>
      <c r="C5204" s="463"/>
    </row>
    <row r="5205" spans="2:3" x14ac:dyDescent="0.25">
      <c r="B5205" s="463"/>
      <c r="C5205" s="463"/>
    </row>
    <row r="5206" spans="2:3" x14ac:dyDescent="0.25">
      <c r="B5206" s="463"/>
      <c r="C5206" s="463"/>
    </row>
    <row r="5207" spans="2:3" x14ac:dyDescent="0.25">
      <c r="B5207" s="463"/>
      <c r="C5207" s="463"/>
    </row>
    <row r="5208" spans="2:3" x14ac:dyDescent="0.25">
      <c r="B5208" s="463"/>
      <c r="C5208" s="463"/>
    </row>
    <row r="5209" spans="2:3" x14ac:dyDescent="0.25">
      <c r="B5209" s="463"/>
      <c r="C5209" s="463"/>
    </row>
    <row r="5210" spans="2:3" x14ac:dyDescent="0.25">
      <c r="B5210" s="463"/>
      <c r="C5210" s="463"/>
    </row>
    <row r="5211" spans="2:3" x14ac:dyDescent="0.25">
      <c r="B5211" s="463"/>
      <c r="C5211" s="463"/>
    </row>
    <row r="5212" spans="2:3" x14ac:dyDescent="0.25">
      <c r="B5212" s="463"/>
      <c r="C5212" s="463"/>
    </row>
    <row r="5213" spans="2:3" x14ac:dyDescent="0.25">
      <c r="B5213" s="463"/>
      <c r="C5213" s="463"/>
    </row>
    <row r="5214" spans="2:3" x14ac:dyDescent="0.25">
      <c r="B5214" s="463"/>
      <c r="C5214" s="463"/>
    </row>
    <row r="5215" spans="2:3" x14ac:dyDescent="0.25">
      <c r="B5215" s="463"/>
      <c r="C5215" s="463"/>
    </row>
    <row r="5216" spans="2:3" x14ac:dyDescent="0.25">
      <c r="B5216" s="463"/>
      <c r="C5216" s="463"/>
    </row>
    <row r="5217" spans="2:3" x14ac:dyDescent="0.25">
      <c r="B5217" s="463"/>
      <c r="C5217" s="463"/>
    </row>
    <row r="5218" spans="2:3" x14ac:dyDescent="0.25">
      <c r="B5218" s="463"/>
      <c r="C5218" s="463"/>
    </row>
    <row r="5219" spans="2:3" x14ac:dyDescent="0.25">
      <c r="B5219" s="463"/>
      <c r="C5219" s="463"/>
    </row>
    <row r="5220" spans="2:3" x14ac:dyDescent="0.25">
      <c r="B5220" s="463"/>
      <c r="C5220" s="463"/>
    </row>
    <row r="5221" spans="2:3" x14ac:dyDescent="0.25">
      <c r="B5221" s="463"/>
      <c r="C5221" s="463"/>
    </row>
    <row r="5222" spans="2:3" x14ac:dyDescent="0.25">
      <c r="B5222" s="463"/>
      <c r="C5222" s="463"/>
    </row>
    <row r="5223" spans="2:3" x14ac:dyDescent="0.25">
      <c r="B5223" s="463"/>
      <c r="C5223" s="463"/>
    </row>
    <row r="5224" spans="2:3" x14ac:dyDescent="0.25">
      <c r="B5224" s="463"/>
      <c r="C5224" s="463"/>
    </row>
    <row r="5225" spans="2:3" x14ac:dyDescent="0.25">
      <c r="B5225" s="463"/>
      <c r="C5225" s="463"/>
    </row>
    <row r="5226" spans="2:3" x14ac:dyDescent="0.25">
      <c r="B5226" s="463"/>
      <c r="C5226" s="463"/>
    </row>
    <row r="5227" spans="2:3" x14ac:dyDescent="0.25">
      <c r="B5227" s="463"/>
      <c r="C5227" s="463"/>
    </row>
    <row r="5228" spans="2:3" x14ac:dyDescent="0.25">
      <c r="B5228" s="463"/>
      <c r="C5228" s="463"/>
    </row>
    <row r="5229" spans="2:3" x14ac:dyDescent="0.25">
      <c r="B5229" s="463"/>
      <c r="C5229" s="463"/>
    </row>
    <row r="5230" spans="2:3" x14ac:dyDescent="0.25">
      <c r="B5230" s="463"/>
      <c r="C5230" s="463"/>
    </row>
    <row r="5231" spans="2:3" x14ac:dyDescent="0.25">
      <c r="B5231" s="463"/>
      <c r="C5231" s="463"/>
    </row>
    <row r="5232" spans="2:3" x14ac:dyDescent="0.25">
      <c r="B5232" s="463"/>
      <c r="C5232" s="463"/>
    </row>
    <row r="5233" spans="2:3" x14ac:dyDescent="0.25">
      <c r="B5233" s="463"/>
      <c r="C5233" s="463"/>
    </row>
    <row r="5234" spans="2:3" x14ac:dyDescent="0.25">
      <c r="B5234" s="463"/>
      <c r="C5234" s="463"/>
    </row>
    <row r="5235" spans="2:3" x14ac:dyDescent="0.25">
      <c r="B5235" s="463"/>
      <c r="C5235" s="463"/>
    </row>
    <row r="5236" spans="2:3" x14ac:dyDescent="0.25">
      <c r="B5236" s="463"/>
      <c r="C5236" s="463"/>
    </row>
    <row r="5237" spans="2:3" x14ac:dyDescent="0.25">
      <c r="B5237" s="463"/>
      <c r="C5237" s="463"/>
    </row>
    <row r="5238" spans="2:3" x14ac:dyDescent="0.25">
      <c r="B5238" s="463"/>
      <c r="C5238" s="463"/>
    </row>
    <row r="5239" spans="2:3" x14ac:dyDescent="0.25">
      <c r="B5239" s="463"/>
      <c r="C5239" s="463"/>
    </row>
    <row r="5240" spans="2:3" x14ac:dyDescent="0.25">
      <c r="B5240" s="463"/>
      <c r="C5240" s="463"/>
    </row>
    <row r="5241" spans="2:3" x14ac:dyDescent="0.25">
      <c r="B5241" s="463"/>
      <c r="C5241" s="463"/>
    </row>
    <row r="5242" spans="2:3" x14ac:dyDescent="0.25">
      <c r="B5242" s="463"/>
      <c r="C5242" s="463"/>
    </row>
    <row r="5243" spans="2:3" x14ac:dyDescent="0.25">
      <c r="B5243" s="463"/>
      <c r="C5243" s="463"/>
    </row>
    <row r="5244" spans="2:3" x14ac:dyDescent="0.25">
      <c r="B5244" s="463"/>
      <c r="C5244" s="463"/>
    </row>
    <row r="5245" spans="2:3" x14ac:dyDescent="0.25">
      <c r="B5245" s="463"/>
      <c r="C5245" s="463"/>
    </row>
    <row r="5246" spans="2:3" x14ac:dyDescent="0.25">
      <c r="B5246" s="463"/>
      <c r="C5246" s="463"/>
    </row>
    <row r="5247" spans="2:3" x14ac:dyDescent="0.25">
      <c r="B5247" s="463"/>
      <c r="C5247" s="463"/>
    </row>
    <row r="5248" spans="2:3" x14ac:dyDescent="0.25">
      <c r="B5248" s="463"/>
      <c r="C5248" s="463"/>
    </row>
    <row r="5249" spans="2:3" x14ac:dyDescent="0.25">
      <c r="B5249" s="463"/>
      <c r="C5249" s="463"/>
    </row>
    <row r="5250" spans="2:3" x14ac:dyDescent="0.25">
      <c r="B5250" s="463"/>
      <c r="C5250" s="463"/>
    </row>
    <row r="5251" spans="2:3" x14ac:dyDescent="0.25">
      <c r="B5251" s="463"/>
      <c r="C5251" s="463"/>
    </row>
    <row r="5252" spans="2:3" x14ac:dyDescent="0.25">
      <c r="B5252" s="463"/>
      <c r="C5252" s="463"/>
    </row>
    <row r="5253" spans="2:3" x14ac:dyDescent="0.25">
      <c r="B5253" s="463"/>
      <c r="C5253" s="463"/>
    </row>
    <row r="5254" spans="2:3" x14ac:dyDescent="0.25">
      <c r="B5254" s="463"/>
      <c r="C5254" s="463"/>
    </row>
    <row r="5255" spans="2:3" x14ac:dyDescent="0.25">
      <c r="B5255" s="463"/>
      <c r="C5255" s="463"/>
    </row>
    <row r="5256" spans="2:3" x14ac:dyDescent="0.25">
      <c r="B5256" s="463"/>
      <c r="C5256" s="463"/>
    </row>
    <row r="5257" spans="2:3" x14ac:dyDescent="0.25">
      <c r="B5257" s="463"/>
      <c r="C5257" s="463"/>
    </row>
    <row r="5258" spans="2:3" x14ac:dyDescent="0.25">
      <c r="B5258" s="463"/>
      <c r="C5258" s="463"/>
    </row>
    <row r="5259" spans="2:3" x14ac:dyDescent="0.25">
      <c r="B5259" s="463"/>
      <c r="C5259" s="463"/>
    </row>
    <row r="5260" spans="2:3" x14ac:dyDescent="0.25">
      <c r="B5260" s="463"/>
      <c r="C5260" s="463"/>
    </row>
    <row r="5261" spans="2:3" x14ac:dyDescent="0.25">
      <c r="B5261" s="463"/>
      <c r="C5261" s="463"/>
    </row>
    <row r="5262" spans="2:3" x14ac:dyDescent="0.25">
      <c r="B5262" s="463"/>
      <c r="C5262" s="463"/>
    </row>
    <row r="5263" spans="2:3" x14ac:dyDescent="0.25">
      <c r="B5263" s="463"/>
      <c r="C5263" s="463"/>
    </row>
    <row r="5264" spans="2:3" x14ac:dyDescent="0.25">
      <c r="B5264" s="463"/>
      <c r="C5264" s="463"/>
    </row>
    <row r="5265" spans="2:3" x14ac:dyDescent="0.25">
      <c r="B5265" s="463"/>
      <c r="C5265" s="463"/>
    </row>
    <row r="5266" spans="2:3" x14ac:dyDescent="0.25">
      <c r="B5266" s="463"/>
      <c r="C5266" s="463"/>
    </row>
    <row r="5267" spans="2:3" x14ac:dyDescent="0.25">
      <c r="B5267" s="463"/>
      <c r="C5267" s="463"/>
    </row>
    <row r="5268" spans="2:3" x14ac:dyDescent="0.25">
      <c r="B5268" s="463"/>
      <c r="C5268" s="463"/>
    </row>
    <row r="5269" spans="2:3" x14ac:dyDescent="0.25">
      <c r="B5269" s="463"/>
      <c r="C5269" s="463"/>
    </row>
    <row r="5270" spans="2:3" x14ac:dyDescent="0.25">
      <c r="B5270" s="463"/>
      <c r="C5270" s="463"/>
    </row>
    <row r="5271" spans="2:3" x14ac:dyDescent="0.25">
      <c r="B5271" s="463"/>
      <c r="C5271" s="463"/>
    </row>
    <row r="5272" spans="2:3" x14ac:dyDescent="0.25">
      <c r="B5272" s="463"/>
      <c r="C5272" s="463"/>
    </row>
    <row r="5273" spans="2:3" x14ac:dyDescent="0.25">
      <c r="B5273" s="463"/>
      <c r="C5273" s="463"/>
    </row>
    <row r="5274" spans="2:3" x14ac:dyDescent="0.25">
      <c r="B5274" s="463"/>
      <c r="C5274" s="463"/>
    </row>
    <row r="5275" spans="2:3" x14ac:dyDescent="0.25">
      <c r="B5275" s="463"/>
      <c r="C5275" s="463"/>
    </row>
    <row r="5276" spans="2:3" x14ac:dyDescent="0.25">
      <c r="B5276" s="463"/>
      <c r="C5276" s="463"/>
    </row>
    <row r="5277" spans="2:3" x14ac:dyDescent="0.25">
      <c r="B5277" s="463"/>
      <c r="C5277" s="463"/>
    </row>
    <row r="5278" spans="2:3" x14ac:dyDescent="0.25">
      <c r="B5278" s="463"/>
      <c r="C5278" s="463"/>
    </row>
    <row r="5279" spans="2:3" x14ac:dyDescent="0.25">
      <c r="B5279" s="463"/>
      <c r="C5279" s="463"/>
    </row>
    <row r="5280" spans="2:3" x14ac:dyDescent="0.25">
      <c r="B5280" s="463"/>
      <c r="C5280" s="463"/>
    </row>
    <row r="5281" spans="2:3" x14ac:dyDescent="0.25">
      <c r="B5281" s="463"/>
      <c r="C5281" s="463"/>
    </row>
    <row r="5282" spans="2:3" x14ac:dyDescent="0.25">
      <c r="B5282" s="463"/>
      <c r="C5282" s="463"/>
    </row>
    <row r="5283" spans="2:3" x14ac:dyDescent="0.25">
      <c r="B5283" s="463"/>
      <c r="C5283" s="463"/>
    </row>
    <row r="5284" spans="2:3" x14ac:dyDescent="0.25">
      <c r="B5284" s="463"/>
      <c r="C5284" s="463"/>
    </row>
    <row r="5285" spans="2:3" x14ac:dyDescent="0.25">
      <c r="B5285" s="463"/>
      <c r="C5285" s="463"/>
    </row>
    <row r="5286" spans="2:3" x14ac:dyDescent="0.25">
      <c r="B5286" s="463"/>
      <c r="C5286" s="463"/>
    </row>
    <row r="5287" spans="2:3" x14ac:dyDescent="0.25">
      <c r="B5287" s="463"/>
      <c r="C5287" s="463"/>
    </row>
    <row r="5288" spans="2:3" x14ac:dyDescent="0.25">
      <c r="B5288" s="463"/>
      <c r="C5288" s="463"/>
    </row>
    <row r="5289" spans="2:3" x14ac:dyDescent="0.25">
      <c r="B5289" s="463"/>
      <c r="C5289" s="463"/>
    </row>
    <row r="5290" spans="2:3" x14ac:dyDescent="0.25">
      <c r="B5290" s="463"/>
      <c r="C5290" s="463"/>
    </row>
    <row r="5291" spans="2:3" x14ac:dyDescent="0.25">
      <c r="B5291" s="463"/>
      <c r="C5291" s="463"/>
    </row>
    <row r="5292" spans="2:3" x14ac:dyDescent="0.25">
      <c r="B5292" s="463"/>
      <c r="C5292" s="463"/>
    </row>
    <row r="5293" spans="2:3" x14ac:dyDescent="0.25">
      <c r="B5293" s="463"/>
      <c r="C5293" s="463"/>
    </row>
    <row r="5294" spans="2:3" x14ac:dyDescent="0.25">
      <c r="B5294" s="463"/>
      <c r="C5294" s="463"/>
    </row>
    <row r="5295" spans="2:3" x14ac:dyDescent="0.25">
      <c r="B5295" s="463"/>
      <c r="C5295" s="463"/>
    </row>
    <row r="5296" spans="2:3" x14ac:dyDescent="0.25">
      <c r="B5296" s="463"/>
      <c r="C5296" s="463"/>
    </row>
    <row r="5297" spans="2:3" x14ac:dyDescent="0.25">
      <c r="B5297" s="463"/>
      <c r="C5297" s="463"/>
    </row>
    <row r="5298" spans="2:3" x14ac:dyDescent="0.25">
      <c r="B5298" s="463"/>
      <c r="C5298" s="463"/>
    </row>
    <row r="5299" spans="2:3" x14ac:dyDescent="0.25">
      <c r="B5299" s="463"/>
      <c r="C5299" s="463"/>
    </row>
    <row r="5300" spans="2:3" x14ac:dyDescent="0.25">
      <c r="B5300" s="463"/>
      <c r="C5300" s="463"/>
    </row>
    <row r="5301" spans="2:3" x14ac:dyDescent="0.25">
      <c r="B5301" s="463"/>
      <c r="C5301" s="463"/>
    </row>
    <row r="5302" spans="2:3" x14ac:dyDescent="0.25">
      <c r="B5302" s="463"/>
      <c r="C5302" s="463"/>
    </row>
    <row r="5303" spans="2:3" x14ac:dyDescent="0.25">
      <c r="B5303" s="463"/>
      <c r="C5303" s="463"/>
    </row>
    <row r="5304" spans="2:3" x14ac:dyDescent="0.25">
      <c r="B5304" s="463"/>
      <c r="C5304" s="463"/>
    </row>
    <row r="5305" spans="2:3" x14ac:dyDescent="0.25">
      <c r="B5305" s="463"/>
      <c r="C5305" s="463"/>
    </row>
    <row r="5306" spans="2:3" x14ac:dyDescent="0.25">
      <c r="B5306" s="463"/>
      <c r="C5306" s="463"/>
    </row>
    <row r="5307" spans="2:3" x14ac:dyDescent="0.25">
      <c r="B5307" s="463"/>
      <c r="C5307" s="463"/>
    </row>
    <row r="5308" spans="2:3" x14ac:dyDescent="0.25">
      <c r="B5308" s="463"/>
      <c r="C5308" s="463"/>
    </row>
    <row r="5309" spans="2:3" x14ac:dyDescent="0.25">
      <c r="B5309" s="463"/>
      <c r="C5309" s="463"/>
    </row>
    <row r="5310" spans="2:3" x14ac:dyDescent="0.25">
      <c r="B5310" s="463"/>
      <c r="C5310" s="463"/>
    </row>
    <row r="5311" spans="2:3" x14ac:dyDescent="0.25">
      <c r="B5311" s="463"/>
      <c r="C5311" s="463"/>
    </row>
    <row r="5312" spans="2:3" x14ac:dyDescent="0.25">
      <c r="B5312" s="463"/>
      <c r="C5312" s="463"/>
    </row>
    <row r="5313" spans="2:3" x14ac:dyDescent="0.25">
      <c r="B5313" s="463"/>
      <c r="C5313" s="463"/>
    </row>
    <row r="5314" spans="2:3" x14ac:dyDescent="0.25">
      <c r="B5314" s="463"/>
      <c r="C5314" s="463"/>
    </row>
    <row r="5315" spans="2:3" x14ac:dyDescent="0.25">
      <c r="B5315" s="463"/>
      <c r="C5315" s="463"/>
    </row>
    <row r="5316" spans="2:3" x14ac:dyDescent="0.25">
      <c r="B5316" s="463"/>
      <c r="C5316" s="463"/>
    </row>
    <row r="5317" spans="2:3" x14ac:dyDescent="0.25">
      <c r="B5317" s="463"/>
      <c r="C5317" s="463"/>
    </row>
    <row r="5318" spans="2:3" x14ac:dyDescent="0.25">
      <c r="B5318" s="463"/>
      <c r="C5318" s="463"/>
    </row>
    <row r="5319" spans="2:3" x14ac:dyDescent="0.25">
      <c r="B5319" s="463"/>
      <c r="C5319" s="463"/>
    </row>
    <row r="5320" spans="2:3" x14ac:dyDescent="0.25">
      <c r="B5320" s="463"/>
      <c r="C5320" s="463"/>
    </row>
    <row r="5321" spans="2:3" x14ac:dyDescent="0.25">
      <c r="B5321" s="463"/>
      <c r="C5321" s="463"/>
    </row>
    <row r="5322" spans="2:3" x14ac:dyDescent="0.25">
      <c r="B5322" s="463"/>
      <c r="C5322" s="463"/>
    </row>
    <row r="5323" spans="2:3" x14ac:dyDescent="0.25">
      <c r="B5323" s="463"/>
      <c r="C5323" s="463"/>
    </row>
    <row r="5324" spans="2:3" x14ac:dyDescent="0.25">
      <c r="B5324" s="463"/>
      <c r="C5324" s="463"/>
    </row>
    <row r="5325" spans="2:3" x14ac:dyDescent="0.25">
      <c r="B5325" s="463"/>
      <c r="C5325" s="463"/>
    </row>
    <row r="5326" spans="2:3" x14ac:dyDescent="0.25">
      <c r="B5326" s="463"/>
      <c r="C5326" s="463"/>
    </row>
    <row r="5327" spans="2:3" x14ac:dyDescent="0.25">
      <c r="B5327" s="463"/>
      <c r="C5327" s="463"/>
    </row>
    <row r="5328" spans="2:3" x14ac:dyDescent="0.25">
      <c r="B5328" s="463"/>
      <c r="C5328" s="463"/>
    </row>
    <row r="5329" spans="2:3" x14ac:dyDescent="0.25">
      <c r="B5329" s="463"/>
      <c r="C5329" s="463"/>
    </row>
    <row r="5330" spans="2:3" x14ac:dyDescent="0.25">
      <c r="B5330" s="463"/>
      <c r="C5330" s="463"/>
    </row>
    <row r="5331" spans="2:3" x14ac:dyDescent="0.25">
      <c r="B5331" s="463"/>
      <c r="C5331" s="463"/>
    </row>
    <row r="5332" spans="2:3" x14ac:dyDescent="0.25">
      <c r="B5332" s="463"/>
      <c r="C5332" s="463"/>
    </row>
    <row r="5333" spans="2:3" x14ac:dyDescent="0.25">
      <c r="B5333" s="463"/>
      <c r="C5333" s="463"/>
    </row>
    <row r="5334" spans="2:3" x14ac:dyDescent="0.25">
      <c r="B5334" s="463"/>
      <c r="C5334" s="463"/>
    </row>
    <row r="5335" spans="2:3" x14ac:dyDescent="0.25">
      <c r="B5335" s="463"/>
      <c r="C5335" s="463"/>
    </row>
    <row r="5336" spans="2:3" x14ac:dyDescent="0.25">
      <c r="B5336" s="463"/>
      <c r="C5336" s="463"/>
    </row>
    <row r="5337" spans="2:3" x14ac:dyDescent="0.25">
      <c r="B5337" s="463"/>
      <c r="C5337" s="463"/>
    </row>
    <row r="5338" spans="2:3" x14ac:dyDescent="0.25">
      <c r="B5338" s="463"/>
      <c r="C5338" s="463"/>
    </row>
    <row r="5339" spans="2:3" x14ac:dyDescent="0.25">
      <c r="B5339" s="463"/>
      <c r="C5339" s="463"/>
    </row>
    <row r="5340" spans="2:3" x14ac:dyDescent="0.25">
      <c r="B5340" s="463"/>
      <c r="C5340" s="463"/>
    </row>
    <row r="5341" spans="2:3" x14ac:dyDescent="0.25">
      <c r="B5341" s="463"/>
      <c r="C5341" s="463"/>
    </row>
    <row r="5342" spans="2:3" x14ac:dyDescent="0.25">
      <c r="B5342" s="463"/>
      <c r="C5342" s="463"/>
    </row>
    <row r="5343" spans="2:3" x14ac:dyDescent="0.25">
      <c r="B5343" s="463"/>
      <c r="C5343" s="463"/>
    </row>
    <row r="5344" spans="2:3" x14ac:dyDescent="0.25">
      <c r="B5344" s="463"/>
      <c r="C5344" s="463"/>
    </row>
    <row r="5345" spans="2:3" x14ac:dyDescent="0.25">
      <c r="B5345" s="463"/>
      <c r="C5345" s="463"/>
    </row>
    <row r="5346" spans="2:3" x14ac:dyDescent="0.25">
      <c r="B5346" s="463"/>
      <c r="C5346" s="463"/>
    </row>
    <row r="5347" spans="2:3" x14ac:dyDescent="0.25">
      <c r="B5347" s="463"/>
      <c r="C5347" s="463"/>
    </row>
    <row r="5348" spans="2:3" x14ac:dyDescent="0.25">
      <c r="B5348" s="463"/>
      <c r="C5348" s="463"/>
    </row>
    <row r="5349" spans="2:3" x14ac:dyDescent="0.25">
      <c r="B5349" s="463"/>
      <c r="C5349" s="463"/>
    </row>
    <row r="5350" spans="2:3" x14ac:dyDescent="0.25">
      <c r="B5350" s="463"/>
      <c r="C5350" s="463"/>
    </row>
    <row r="5351" spans="2:3" x14ac:dyDescent="0.25">
      <c r="B5351" s="463"/>
      <c r="C5351" s="463"/>
    </row>
    <row r="5352" spans="2:3" x14ac:dyDescent="0.25">
      <c r="B5352" s="463"/>
      <c r="C5352" s="463"/>
    </row>
    <row r="5353" spans="2:3" x14ac:dyDescent="0.25">
      <c r="B5353" s="463"/>
      <c r="C5353" s="463"/>
    </row>
    <row r="5354" spans="2:3" x14ac:dyDescent="0.25">
      <c r="B5354" s="463"/>
      <c r="C5354" s="463"/>
    </row>
    <row r="5355" spans="2:3" x14ac:dyDescent="0.25">
      <c r="B5355" s="463"/>
      <c r="C5355" s="463"/>
    </row>
    <row r="5356" spans="2:3" x14ac:dyDescent="0.25">
      <c r="B5356" s="463"/>
      <c r="C5356" s="463"/>
    </row>
    <row r="5357" spans="2:3" x14ac:dyDescent="0.25">
      <c r="B5357" s="463"/>
      <c r="C5357" s="463"/>
    </row>
    <row r="5358" spans="2:3" x14ac:dyDescent="0.25">
      <c r="B5358" s="463"/>
      <c r="C5358" s="463"/>
    </row>
    <row r="5359" spans="2:3" x14ac:dyDescent="0.25">
      <c r="B5359" s="463"/>
      <c r="C5359" s="463"/>
    </row>
    <row r="5360" spans="2:3" x14ac:dyDescent="0.25">
      <c r="B5360" s="463"/>
      <c r="C5360" s="463"/>
    </row>
    <row r="5361" spans="2:3" x14ac:dyDescent="0.25">
      <c r="B5361" s="463"/>
      <c r="C5361" s="463"/>
    </row>
    <row r="5362" spans="2:3" x14ac:dyDescent="0.25">
      <c r="B5362" s="463"/>
      <c r="C5362" s="463"/>
    </row>
    <row r="5363" spans="2:3" x14ac:dyDescent="0.25">
      <c r="B5363" s="463"/>
      <c r="C5363" s="463"/>
    </row>
    <row r="5364" spans="2:3" x14ac:dyDescent="0.25">
      <c r="B5364" s="463"/>
      <c r="C5364" s="463"/>
    </row>
    <row r="5365" spans="2:3" x14ac:dyDescent="0.25">
      <c r="B5365" s="463"/>
      <c r="C5365" s="463"/>
    </row>
    <row r="5366" spans="2:3" x14ac:dyDescent="0.25">
      <c r="B5366" s="463"/>
      <c r="C5366" s="463"/>
    </row>
    <row r="5367" spans="2:3" x14ac:dyDescent="0.25">
      <c r="B5367" s="463"/>
      <c r="C5367" s="463"/>
    </row>
    <row r="5368" spans="2:3" x14ac:dyDescent="0.25">
      <c r="B5368" s="463"/>
      <c r="C5368" s="463"/>
    </row>
    <row r="5369" spans="2:3" x14ac:dyDescent="0.25">
      <c r="B5369" s="463"/>
      <c r="C5369" s="463"/>
    </row>
    <row r="5370" spans="2:3" x14ac:dyDescent="0.25">
      <c r="B5370" s="463"/>
      <c r="C5370" s="463"/>
    </row>
    <row r="5371" spans="2:3" x14ac:dyDescent="0.25">
      <c r="B5371" s="463"/>
      <c r="C5371" s="463"/>
    </row>
    <row r="5372" spans="2:3" x14ac:dyDescent="0.25">
      <c r="B5372" s="463"/>
      <c r="C5372" s="463"/>
    </row>
    <row r="5373" spans="2:3" x14ac:dyDescent="0.25">
      <c r="B5373" s="463"/>
      <c r="C5373" s="463"/>
    </row>
    <row r="5374" spans="2:3" x14ac:dyDescent="0.25">
      <c r="B5374" s="463"/>
      <c r="C5374" s="463"/>
    </row>
    <row r="5375" spans="2:3" x14ac:dyDescent="0.25">
      <c r="B5375" s="463"/>
      <c r="C5375" s="463"/>
    </row>
    <row r="5376" spans="2:3" x14ac:dyDescent="0.25">
      <c r="B5376" s="463"/>
      <c r="C5376" s="463"/>
    </row>
    <row r="5377" spans="2:3" x14ac:dyDescent="0.25">
      <c r="B5377" s="463"/>
      <c r="C5377" s="463"/>
    </row>
    <row r="5378" spans="2:3" x14ac:dyDescent="0.25">
      <c r="B5378" s="463"/>
      <c r="C5378" s="463"/>
    </row>
    <row r="5379" spans="2:3" x14ac:dyDescent="0.25">
      <c r="B5379" s="463"/>
      <c r="C5379" s="463"/>
    </row>
    <row r="5380" spans="2:3" x14ac:dyDescent="0.25">
      <c r="B5380" s="463"/>
      <c r="C5380" s="463"/>
    </row>
    <row r="5381" spans="2:3" x14ac:dyDescent="0.25">
      <c r="B5381" s="463"/>
      <c r="C5381" s="463"/>
    </row>
    <row r="5382" spans="2:3" x14ac:dyDescent="0.25">
      <c r="B5382" s="463"/>
      <c r="C5382" s="463"/>
    </row>
    <row r="5383" spans="2:3" x14ac:dyDescent="0.25">
      <c r="B5383" s="463"/>
      <c r="C5383" s="463"/>
    </row>
    <row r="5384" spans="2:3" x14ac:dyDescent="0.25">
      <c r="B5384" s="463"/>
      <c r="C5384" s="463"/>
    </row>
    <row r="5385" spans="2:3" x14ac:dyDescent="0.25">
      <c r="B5385" s="463"/>
      <c r="C5385" s="463"/>
    </row>
    <row r="5386" spans="2:3" x14ac:dyDescent="0.25">
      <c r="B5386" s="463"/>
      <c r="C5386" s="463"/>
    </row>
    <row r="5387" spans="2:3" x14ac:dyDescent="0.25">
      <c r="B5387" s="463"/>
      <c r="C5387" s="463"/>
    </row>
    <row r="5388" spans="2:3" x14ac:dyDescent="0.25">
      <c r="B5388" s="463"/>
      <c r="C5388" s="463"/>
    </row>
    <row r="5389" spans="2:3" x14ac:dyDescent="0.25">
      <c r="B5389" s="463"/>
      <c r="C5389" s="463"/>
    </row>
    <row r="5390" spans="2:3" x14ac:dyDescent="0.25">
      <c r="B5390" s="463"/>
      <c r="C5390" s="463"/>
    </row>
    <row r="5391" spans="2:3" x14ac:dyDescent="0.25">
      <c r="B5391" s="463"/>
      <c r="C5391" s="463"/>
    </row>
    <row r="5392" spans="2:3" x14ac:dyDescent="0.25">
      <c r="B5392" s="463"/>
      <c r="C5392" s="463"/>
    </row>
    <row r="5393" spans="2:3" x14ac:dyDescent="0.25">
      <c r="B5393" s="463"/>
      <c r="C5393" s="463"/>
    </row>
    <row r="5394" spans="2:3" x14ac:dyDescent="0.25">
      <c r="B5394" s="463"/>
      <c r="C5394" s="463"/>
    </row>
    <row r="5395" spans="2:3" x14ac:dyDescent="0.25">
      <c r="B5395" s="463"/>
      <c r="C5395" s="463"/>
    </row>
    <row r="5396" spans="2:3" x14ac:dyDescent="0.25">
      <c r="B5396" s="463"/>
      <c r="C5396" s="463"/>
    </row>
    <row r="5397" spans="2:3" x14ac:dyDescent="0.25">
      <c r="B5397" s="463"/>
      <c r="C5397" s="463"/>
    </row>
    <row r="5398" spans="2:3" x14ac:dyDescent="0.25">
      <c r="B5398" s="463"/>
      <c r="C5398" s="463"/>
    </row>
    <row r="5399" spans="2:3" x14ac:dyDescent="0.25">
      <c r="B5399" s="463"/>
      <c r="C5399" s="463"/>
    </row>
    <row r="5400" spans="2:3" x14ac:dyDescent="0.25">
      <c r="B5400" s="463"/>
      <c r="C5400" s="463"/>
    </row>
    <row r="5401" spans="2:3" x14ac:dyDescent="0.25">
      <c r="B5401" s="463"/>
      <c r="C5401" s="463"/>
    </row>
    <row r="5402" spans="2:3" x14ac:dyDescent="0.25">
      <c r="B5402" s="463"/>
      <c r="C5402" s="463"/>
    </row>
    <row r="5403" spans="2:3" x14ac:dyDescent="0.25">
      <c r="B5403" s="463"/>
      <c r="C5403" s="463"/>
    </row>
    <row r="5404" spans="2:3" x14ac:dyDescent="0.25">
      <c r="B5404" s="463"/>
      <c r="C5404" s="463"/>
    </row>
    <row r="5405" spans="2:3" x14ac:dyDescent="0.25">
      <c r="B5405" s="463"/>
      <c r="C5405" s="463"/>
    </row>
    <row r="5406" spans="2:3" x14ac:dyDescent="0.25">
      <c r="B5406" s="463"/>
      <c r="C5406" s="463"/>
    </row>
    <row r="5407" spans="2:3" x14ac:dyDescent="0.25">
      <c r="B5407" s="463"/>
      <c r="C5407" s="463"/>
    </row>
    <row r="5408" spans="2:3" x14ac:dyDescent="0.25">
      <c r="B5408" s="463"/>
      <c r="C5408" s="463"/>
    </row>
    <row r="5409" spans="2:3" x14ac:dyDescent="0.25">
      <c r="B5409" s="463"/>
      <c r="C5409" s="463"/>
    </row>
    <row r="5410" spans="2:3" x14ac:dyDescent="0.25">
      <c r="B5410" s="463"/>
      <c r="C5410" s="463"/>
    </row>
    <row r="5411" spans="2:3" x14ac:dyDescent="0.25">
      <c r="B5411" s="463"/>
      <c r="C5411" s="463"/>
    </row>
    <row r="5412" spans="2:3" x14ac:dyDescent="0.25">
      <c r="B5412" s="463"/>
      <c r="C5412" s="463"/>
    </row>
    <row r="5413" spans="2:3" x14ac:dyDescent="0.25">
      <c r="B5413" s="463"/>
      <c r="C5413" s="463"/>
    </row>
    <row r="5414" spans="2:3" x14ac:dyDescent="0.25">
      <c r="B5414" s="463"/>
      <c r="C5414" s="463"/>
    </row>
    <row r="5415" spans="2:3" x14ac:dyDescent="0.25">
      <c r="B5415" s="463"/>
      <c r="C5415" s="463"/>
    </row>
    <row r="5416" spans="2:3" x14ac:dyDescent="0.25">
      <c r="B5416" s="463"/>
      <c r="C5416" s="463"/>
    </row>
    <row r="5417" spans="2:3" x14ac:dyDescent="0.25">
      <c r="B5417" s="463"/>
      <c r="C5417" s="463"/>
    </row>
    <row r="5418" spans="2:3" x14ac:dyDescent="0.25">
      <c r="B5418" s="463"/>
      <c r="C5418" s="463"/>
    </row>
    <row r="5419" spans="2:3" x14ac:dyDescent="0.25">
      <c r="B5419" s="463"/>
      <c r="C5419" s="463"/>
    </row>
    <row r="5420" spans="2:3" x14ac:dyDescent="0.25">
      <c r="B5420" s="463"/>
      <c r="C5420" s="463"/>
    </row>
    <row r="5421" spans="2:3" x14ac:dyDescent="0.25">
      <c r="B5421" s="463"/>
      <c r="C5421" s="463"/>
    </row>
    <row r="5422" spans="2:3" x14ac:dyDescent="0.25">
      <c r="B5422" s="463"/>
      <c r="C5422" s="463"/>
    </row>
    <row r="5423" spans="2:3" x14ac:dyDescent="0.25">
      <c r="B5423" s="463"/>
      <c r="C5423" s="463"/>
    </row>
    <row r="5424" spans="2:3" x14ac:dyDescent="0.25">
      <c r="B5424" s="463"/>
      <c r="C5424" s="463"/>
    </row>
    <row r="5425" spans="2:3" x14ac:dyDescent="0.25">
      <c r="B5425" s="463"/>
      <c r="C5425" s="463"/>
    </row>
    <row r="5426" spans="2:3" x14ac:dyDescent="0.25">
      <c r="B5426" s="463"/>
      <c r="C5426" s="463"/>
    </row>
    <row r="5427" spans="2:3" x14ac:dyDescent="0.25">
      <c r="B5427" s="463"/>
      <c r="C5427" s="463"/>
    </row>
    <row r="5428" spans="2:3" x14ac:dyDescent="0.25">
      <c r="B5428" s="463"/>
      <c r="C5428" s="463"/>
    </row>
    <row r="5429" spans="2:3" x14ac:dyDescent="0.25">
      <c r="B5429" s="463"/>
      <c r="C5429" s="463"/>
    </row>
    <row r="5430" spans="2:3" x14ac:dyDescent="0.25">
      <c r="B5430" s="463"/>
      <c r="C5430" s="463"/>
    </row>
    <row r="5431" spans="2:3" x14ac:dyDescent="0.25">
      <c r="B5431" s="463"/>
      <c r="C5431" s="463"/>
    </row>
    <row r="5432" spans="2:3" x14ac:dyDescent="0.25">
      <c r="B5432" s="463"/>
      <c r="C5432" s="463"/>
    </row>
    <row r="5433" spans="2:3" x14ac:dyDescent="0.25">
      <c r="B5433" s="463"/>
      <c r="C5433" s="463"/>
    </row>
    <row r="5434" spans="2:3" x14ac:dyDescent="0.25">
      <c r="B5434" s="463"/>
      <c r="C5434" s="463"/>
    </row>
    <row r="5435" spans="2:3" x14ac:dyDescent="0.25">
      <c r="B5435" s="463"/>
      <c r="C5435" s="463"/>
    </row>
    <row r="5436" spans="2:3" x14ac:dyDescent="0.25">
      <c r="B5436" s="463"/>
      <c r="C5436" s="463"/>
    </row>
    <row r="5437" spans="2:3" x14ac:dyDescent="0.25">
      <c r="B5437" s="463"/>
      <c r="C5437" s="463"/>
    </row>
    <row r="5438" spans="2:3" x14ac:dyDescent="0.25">
      <c r="B5438" s="463"/>
      <c r="C5438" s="463"/>
    </row>
    <row r="5439" spans="2:3" x14ac:dyDescent="0.25">
      <c r="B5439" s="463"/>
      <c r="C5439" s="463"/>
    </row>
    <row r="5440" spans="2:3" x14ac:dyDescent="0.25">
      <c r="B5440" s="463"/>
      <c r="C5440" s="463"/>
    </row>
    <row r="5441" spans="2:3" x14ac:dyDescent="0.25">
      <c r="B5441" s="463"/>
      <c r="C5441" s="463"/>
    </row>
    <row r="5442" spans="2:3" x14ac:dyDescent="0.25">
      <c r="B5442" s="463"/>
      <c r="C5442" s="463"/>
    </row>
    <row r="5443" spans="2:3" x14ac:dyDescent="0.25">
      <c r="B5443" s="463"/>
      <c r="C5443" s="463"/>
    </row>
    <row r="5444" spans="2:3" x14ac:dyDescent="0.25">
      <c r="B5444" s="463"/>
      <c r="C5444" s="463"/>
    </row>
    <row r="5445" spans="2:3" x14ac:dyDescent="0.25">
      <c r="B5445" s="463"/>
      <c r="C5445" s="463"/>
    </row>
    <row r="5446" spans="2:3" x14ac:dyDescent="0.25">
      <c r="B5446" s="463"/>
      <c r="C5446" s="463"/>
    </row>
    <row r="5447" spans="2:3" x14ac:dyDescent="0.25">
      <c r="B5447" s="463"/>
      <c r="C5447" s="463"/>
    </row>
    <row r="5448" spans="2:3" x14ac:dyDescent="0.25">
      <c r="B5448" s="463"/>
      <c r="C5448" s="463"/>
    </row>
    <row r="5449" spans="2:3" x14ac:dyDescent="0.25">
      <c r="B5449" s="463"/>
      <c r="C5449" s="463"/>
    </row>
    <row r="5450" spans="2:3" x14ac:dyDescent="0.25">
      <c r="B5450" s="463"/>
      <c r="C5450" s="463"/>
    </row>
    <row r="5451" spans="2:3" x14ac:dyDescent="0.25">
      <c r="B5451" s="463"/>
      <c r="C5451" s="463"/>
    </row>
    <row r="5452" spans="2:3" x14ac:dyDescent="0.25">
      <c r="B5452" s="463"/>
      <c r="C5452" s="463"/>
    </row>
    <row r="5453" spans="2:3" x14ac:dyDescent="0.25">
      <c r="B5453" s="463"/>
      <c r="C5453" s="463"/>
    </row>
    <row r="5454" spans="2:3" x14ac:dyDescent="0.25">
      <c r="B5454" s="463"/>
      <c r="C5454" s="463"/>
    </row>
    <row r="5455" spans="2:3" x14ac:dyDescent="0.25">
      <c r="B5455" s="463"/>
      <c r="C5455" s="463"/>
    </row>
    <row r="5456" spans="2:3" x14ac:dyDescent="0.25">
      <c r="B5456" s="463"/>
      <c r="C5456" s="463"/>
    </row>
    <row r="5457" spans="2:3" x14ac:dyDescent="0.25">
      <c r="B5457" s="463"/>
      <c r="C5457" s="463"/>
    </row>
    <row r="5458" spans="2:3" x14ac:dyDescent="0.25">
      <c r="B5458" s="463"/>
      <c r="C5458" s="463"/>
    </row>
    <row r="5459" spans="2:3" x14ac:dyDescent="0.25">
      <c r="B5459" s="463"/>
      <c r="C5459" s="463"/>
    </row>
    <row r="5460" spans="2:3" x14ac:dyDescent="0.25">
      <c r="B5460" s="463"/>
      <c r="C5460" s="463"/>
    </row>
    <row r="5461" spans="2:3" x14ac:dyDescent="0.25">
      <c r="B5461" s="463"/>
      <c r="C5461" s="463"/>
    </row>
    <row r="5462" spans="2:3" x14ac:dyDescent="0.25">
      <c r="B5462" s="463"/>
      <c r="C5462" s="463"/>
    </row>
    <row r="5463" spans="2:3" x14ac:dyDescent="0.25">
      <c r="B5463" s="463"/>
      <c r="C5463" s="463"/>
    </row>
    <row r="5464" spans="2:3" x14ac:dyDescent="0.25">
      <c r="B5464" s="463"/>
      <c r="C5464" s="463"/>
    </row>
    <row r="5465" spans="2:3" x14ac:dyDescent="0.25">
      <c r="B5465" s="463"/>
      <c r="C5465" s="463"/>
    </row>
    <row r="5466" spans="2:3" x14ac:dyDescent="0.25">
      <c r="B5466" s="463"/>
      <c r="C5466" s="463"/>
    </row>
    <row r="5467" spans="2:3" x14ac:dyDescent="0.25">
      <c r="B5467" s="463"/>
      <c r="C5467" s="463"/>
    </row>
    <row r="5468" spans="2:3" x14ac:dyDescent="0.25">
      <c r="B5468" s="463"/>
      <c r="C5468" s="463"/>
    </row>
    <row r="5469" spans="2:3" x14ac:dyDescent="0.25">
      <c r="B5469" s="463"/>
      <c r="C5469" s="463"/>
    </row>
    <row r="5470" spans="2:3" x14ac:dyDescent="0.25">
      <c r="B5470" s="463"/>
      <c r="C5470" s="463"/>
    </row>
    <row r="5471" spans="2:3" x14ac:dyDescent="0.25">
      <c r="B5471" s="463"/>
      <c r="C5471" s="463"/>
    </row>
    <row r="5472" spans="2:3" x14ac:dyDescent="0.25">
      <c r="B5472" s="463"/>
      <c r="C5472" s="463"/>
    </row>
    <row r="5473" spans="2:3" x14ac:dyDescent="0.25">
      <c r="B5473" s="463"/>
      <c r="C5473" s="463"/>
    </row>
    <row r="5474" spans="2:3" x14ac:dyDescent="0.25">
      <c r="B5474" s="463"/>
      <c r="C5474" s="463"/>
    </row>
    <row r="5475" spans="2:3" x14ac:dyDescent="0.25">
      <c r="B5475" s="463"/>
      <c r="C5475" s="463"/>
    </row>
    <row r="5476" spans="2:3" x14ac:dyDescent="0.25">
      <c r="B5476" s="463"/>
      <c r="C5476" s="463"/>
    </row>
    <row r="5477" spans="2:3" x14ac:dyDescent="0.25">
      <c r="B5477" s="463"/>
      <c r="C5477" s="463"/>
    </row>
    <row r="5478" spans="2:3" x14ac:dyDescent="0.25">
      <c r="B5478" s="463"/>
      <c r="C5478" s="463"/>
    </row>
    <row r="5479" spans="2:3" x14ac:dyDescent="0.25">
      <c r="B5479" s="463"/>
      <c r="C5479" s="463"/>
    </row>
    <row r="5480" spans="2:3" x14ac:dyDescent="0.25">
      <c r="B5480" s="463"/>
      <c r="C5480" s="463"/>
    </row>
    <row r="5481" spans="2:3" x14ac:dyDescent="0.25">
      <c r="B5481" s="463"/>
      <c r="C5481" s="463"/>
    </row>
    <row r="5482" spans="2:3" x14ac:dyDescent="0.25">
      <c r="B5482" s="463"/>
      <c r="C5482" s="463"/>
    </row>
    <row r="5483" spans="2:3" x14ac:dyDescent="0.25">
      <c r="B5483" s="463"/>
      <c r="C5483" s="463"/>
    </row>
    <row r="5484" spans="2:3" x14ac:dyDescent="0.25">
      <c r="B5484" s="463"/>
      <c r="C5484" s="463"/>
    </row>
    <row r="5485" spans="2:3" x14ac:dyDescent="0.25">
      <c r="B5485" s="463"/>
      <c r="C5485" s="463"/>
    </row>
    <row r="5486" spans="2:3" x14ac:dyDescent="0.25">
      <c r="B5486" s="463"/>
      <c r="C5486" s="463"/>
    </row>
    <row r="5487" spans="2:3" x14ac:dyDescent="0.25">
      <c r="B5487" s="463"/>
      <c r="C5487" s="463"/>
    </row>
    <row r="5488" spans="2:3" x14ac:dyDescent="0.25">
      <c r="B5488" s="463"/>
      <c r="C5488" s="463"/>
    </row>
    <row r="5489" spans="2:3" x14ac:dyDescent="0.25">
      <c r="B5489" s="463"/>
      <c r="C5489" s="463"/>
    </row>
    <row r="5490" spans="2:3" x14ac:dyDescent="0.25">
      <c r="B5490" s="463"/>
      <c r="C5490" s="463"/>
    </row>
    <row r="5491" spans="2:3" x14ac:dyDescent="0.25">
      <c r="B5491" s="463"/>
      <c r="C5491" s="463"/>
    </row>
    <row r="5492" spans="2:3" x14ac:dyDescent="0.25">
      <c r="B5492" s="463"/>
      <c r="C5492" s="463"/>
    </row>
    <row r="5493" spans="2:3" x14ac:dyDescent="0.25">
      <c r="B5493" s="463"/>
      <c r="C5493" s="463"/>
    </row>
    <row r="5494" spans="2:3" x14ac:dyDescent="0.25">
      <c r="B5494" s="463"/>
      <c r="C5494" s="463"/>
    </row>
    <row r="5495" spans="2:3" x14ac:dyDescent="0.25">
      <c r="B5495" s="463"/>
      <c r="C5495" s="463"/>
    </row>
    <row r="5496" spans="2:3" x14ac:dyDescent="0.25">
      <c r="B5496" s="463"/>
      <c r="C5496" s="463"/>
    </row>
    <row r="5497" spans="2:3" x14ac:dyDescent="0.25">
      <c r="B5497" s="463"/>
      <c r="C5497" s="463"/>
    </row>
    <row r="5498" spans="2:3" x14ac:dyDescent="0.25">
      <c r="B5498" s="463"/>
      <c r="C5498" s="463"/>
    </row>
    <row r="5499" spans="2:3" x14ac:dyDescent="0.25">
      <c r="B5499" s="463"/>
      <c r="C5499" s="463"/>
    </row>
    <row r="5500" spans="2:3" x14ac:dyDescent="0.25">
      <c r="B5500" s="463"/>
      <c r="C5500" s="463"/>
    </row>
    <row r="5501" spans="2:3" x14ac:dyDescent="0.25">
      <c r="B5501" s="463"/>
      <c r="C5501" s="463"/>
    </row>
    <row r="5502" spans="2:3" x14ac:dyDescent="0.25">
      <c r="B5502" s="463"/>
      <c r="C5502" s="463"/>
    </row>
    <row r="5503" spans="2:3" x14ac:dyDescent="0.25">
      <c r="B5503" s="463"/>
      <c r="C5503" s="463"/>
    </row>
    <row r="5504" spans="2:3" x14ac:dyDescent="0.25">
      <c r="B5504" s="463"/>
      <c r="C5504" s="463"/>
    </row>
    <row r="5505" spans="2:3" x14ac:dyDescent="0.25">
      <c r="B5505" s="463"/>
      <c r="C5505" s="463"/>
    </row>
    <row r="5506" spans="2:3" x14ac:dyDescent="0.25">
      <c r="B5506" s="463"/>
      <c r="C5506" s="463"/>
    </row>
    <row r="5507" spans="2:3" x14ac:dyDescent="0.25">
      <c r="B5507" s="463"/>
      <c r="C5507" s="463"/>
    </row>
    <row r="5508" spans="2:3" x14ac:dyDescent="0.25">
      <c r="B5508" s="463"/>
      <c r="C5508" s="463"/>
    </row>
    <row r="5509" spans="2:3" x14ac:dyDescent="0.25">
      <c r="B5509" s="463"/>
      <c r="C5509" s="463"/>
    </row>
    <row r="5510" spans="2:3" x14ac:dyDescent="0.25">
      <c r="B5510" s="463"/>
      <c r="C5510" s="463"/>
    </row>
    <row r="5511" spans="2:3" x14ac:dyDescent="0.25">
      <c r="B5511" s="463"/>
      <c r="C5511" s="463"/>
    </row>
    <row r="5512" spans="2:3" x14ac:dyDescent="0.25">
      <c r="B5512" s="463"/>
      <c r="C5512" s="463"/>
    </row>
    <row r="5513" spans="2:3" x14ac:dyDescent="0.25">
      <c r="B5513" s="463"/>
      <c r="C5513" s="463"/>
    </row>
    <row r="5514" spans="2:3" x14ac:dyDescent="0.25">
      <c r="B5514" s="463"/>
      <c r="C5514" s="463"/>
    </row>
    <row r="5515" spans="2:3" x14ac:dyDescent="0.25">
      <c r="B5515" s="463"/>
      <c r="C5515" s="463"/>
    </row>
    <row r="5516" spans="2:3" x14ac:dyDescent="0.25">
      <c r="B5516" s="463"/>
      <c r="C5516" s="463"/>
    </row>
    <row r="5517" spans="2:3" x14ac:dyDescent="0.25">
      <c r="B5517" s="463"/>
      <c r="C5517" s="463"/>
    </row>
    <row r="5518" spans="2:3" x14ac:dyDescent="0.25">
      <c r="B5518" s="463"/>
      <c r="C5518" s="463"/>
    </row>
    <row r="5519" spans="2:3" x14ac:dyDescent="0.25">
      <c r="B5519" s="463"/>
      <c r="C5519" s="463"/>
    </row>
    <row r="5520" spans="2:3" x14ac:dyDescent="0.25">
      <c r="B5520" s="463"/>
      <c r="C5520" s="463"/>
    </row>
    <row r="5521" spans="2:3" x14ac:dyDescent="0.25">
      <c r="B5521" s="463"/>
      <c r="C5521" s="463"/>
    </row>
    <row r="5522" spans="2:3" x14ac:dyDescent="0.25">
      <c r="B5522" s="463"/>
      <c r="C5522" s="463"/>
    </row>
    <row r="5523" spans="2:3" x14ac:dyDescent="0.25">
      <c r="B5523" s="463"/>
      <c r="C5523" s="463"/>
    </row>
    <row r="5524" spans="2:3" x14ac:dyDescent="0.25">
      <c r="B5524" s="463"/>
      <c r="C5524" s="463"/>
    </row>
    <row r="5525" spans="2:3" x14ac:dyDescent="0.25">
      <c r="B5525" s="463"/>
      <c r="C5525" s="463"/>
    </row>
    <row r="5526" spans="2:3" x14ac:dyDescent="0.25">
      <c r="B5526" s="463"/>
      <c r="C5526" s="463"/>
    </row>
    <row r="5527" spans="2:3" x14ac:dyDescent="0.25">
      <c r="B5527" s="463"/>
      <c r="C5527" s="463"/>
    </row>
    <row r="5528" spans="2:3" x14ac:dyDescent="0.25">
      <c r="B5528" s="463"/>
      <c r="C5528" s="463"/>
    </row>
    <row r="5529" spans="2:3" x14ac:dyDescent="0.25">
      <c r="B5529" s="463"/>
      <c r="C5529" s="463"/>
    </row>
    <row r="5530" spans="2:3" x14ac:dyDescent="0.25">
      <c r="B5530" s="463"/>
      <c r="C5530" s="463"/>
    </row>
    <row r="5531" spans="2:3" x14ac:dyDescent="0.25">
      <c r="B5531" s="463"/>
      <c r="C5531" s="463"/>
    </row>
    <row r="5532" spans="2:3" x14ac:dyDescent="0.25">
      <c r="B5532" s="463"/>
      <c r="C5532" s="463"/>
    </row>
    <row r="5533" spans="2:3" x14ac:dyDescent="0.25">
      <c r="B5533" s="463"/>
      <c r="C5533" s="463"/>
    </row>
    <row r="5534" spans="2:3" x14ac:dyDescent="0.25">
      <c r="B5534" s="463"/>
      <c r="C5534" s="463"/>
    </row>
    <row r="5535" spans="2:3" x14ac:dyDescent="0.25">
      <c r="B5535" s="463"/>
      <c r="C5535" s="463"/>
    </row>
    <row r="5536" spans="2:3" x14ac:dyDescent="0.25">
      <c r="B5536" s="463"/>
      <c r="C5536" s="463"/>
    </row>
    <row r="5537" spans="2:3" x14ac:dyDescent="0.25">
      <c r="B5537" s="463"/>
      <c r="C5537" s="463"/>
    </row>
    <row r="5538" spans="2:3" x14ac:dyDescent="0.25">
      <c r="B5538" s="463"/>
      <c r="C5538" s="463"/>
    </row>
    <row r="5539" spans="2:3" x14ac:dyDescent="0.25">
      <c r="B5539" s="463"/>
      <c r="C5539" s="463"/>
    </row>
    <row r="5540" spans="2:3" x14ac:dyDescent="0.25">
      <c r="B5540" s="463"/>
      <c r="C5540" s="463"/>
    </row>
    <row r="5541" spans="2:3" x14ac:dyDescent="0.25">
      <c r="B5541" s="463"/>
      <c r="C5541" s="463"/>
    </row>
    <row r="5542" spans="2:3" x14ac:dyDescent="0.25">
      <c r="B5542" s="463"/>
      <c r="C5542" s="463"/>
    </row>
    <row r="5543" spans="2:3" x14ac:dyDescent="0.25">
      <c r="B5543" s="463"/>
      <c r="C5543" s="463"/>
    </row>
    <row r="5544" spans="2:3" x14ac:dyDescent="0.25">
      <c r="B5544" s="463"/>
      <c r="C5544" s="463"/>
    </row>
    <row r="5545" spans="2:3" x14ac:dyDescent="0.25">
      <c r="B5545" s="463"/>
      <c r="C5545" s="463"/>
    </row>
    <row r="5546" spans="2:3" x14ac:dyDescent="0.25">
      <c r="B5546" s="463"/>
      <c r="C5546" s="463"/>
    </row>
    <row r="5547" spans="2:3" x14ac:dyDescent="0.25">
      <c r="B5547" s="463"/>
      <c r="C5547" s="463"/>
    </row>
    <row r="5548" spans="2:3" x14ac:dyDescent="0.25">
      <c r="B5548" s="463"/>
      <c r="C5548" s="463"/>
    </row>
    <row r="5549" spans="2:3" x14ac:dyDescent="0.25">
      <c r="B5549" s="463"/>
      <c r="C5549" s="463"/>
    </row>
    <row r="5550" spans="2:3" x14ac:dyDescent="0.25">
      <c r="B5550" s="463"/>
      <c r="C5550" s="463"/>
    </row>
    <row r="5551" spans="2:3" x14ac:dyDescent="0.25">
      <c r="B5551" s="463"/>
      <c r="C5551" s="463"/>
    </row>
    <row r="5552" spans="2:3" x14ac:dyDescent="0.25">
      <c r="B5552" s="463"/>
      <c r="C5552" s="463"/>
    </row>
    <row r="5553" spans="2:3" x14ac:dyDescent="0.25">
      <c r="B5553" s="463"/>
      <c r="C5553" s="463"/>
    </row>
    <row r="5554" spans="2:3" x14ac:dyDescent="0.25">
      <c r="B5554" s="463"/>
      <c r="C5554" s="463"/>
    </row>
    <row r="5555" spans="2:3" x14ac:dyDescent="0.25">
      <c r="B5555" s="463"/>
      <c r="C5555" s="463"/>
    </row>
    <row r="5556" spans="2:3" x14ac:dyDescent="0.25">
      <c r="B5556" s="463"/>
      <c r="C5556" s="463"/>
    </row>
    <row r="5557" spans="2:3" x14ac:dyDescent="0.25">
      <c r="B5557" s="463"/>
      <c r="C5557" s="463"/>
    </row>
    <row r="5558" spans="2:3" x14ac:dyDescent="0.25">
      <c r="B5558" s="463"/>
      <c r="C5558" s="463"/>
    </row>
    <row r="5559" spans="2:3" x14ac:dyDescent="0.25">
      <c r="B5559" s="463"/>
      <c r="C5559" s="463"/>
    </row>
    <row r="5560" spans="2:3" x14ac:dyDescent="0.25">
      <c r="B5560" s="463"/>
      <c r="C5560" s="463"/>
    </row>
    <row r="5561" spans="2:3" x14ac:dyDescent="0.25">
      <c r="B5561" s="463"/>
      <c r="C5561" s="463"/>
    </row>
    <row r="5562" spans="2:3" x14ac:dyDescent="0.25">
      <c r="B5562" s="463"/>
      <c r="C5562" s="463"/>
    </row>
    <row r="5563" spans="2:3" x14ac:dyDescent="0.25">
      <c r="B5563" s="463"/>
      <c r="C5563" s="463"/>
    </row>
    <row r="5564" spans="2:3" x14ac:dyDescent="0.25">
      <c r="B5564" s="463"/>
      <c r="C5564" s="463"/>
    </row>
    <row r="5565" spans="2:3" x14ac:dyDescent="0.25">
      <c r="B5565" s="463"/>
      <c r="C5565" s="463"/>
    </row>
    <row r="5566" spans="2:3" x14ac:dyDescent="0.25">
      <c r="B5566" s="463"/>
      <c r="C5566" s="463"/>
    </row>
    <row r="5567" spans="2:3" x14ac:dyDescent="0.25">
      <c r="B5567" s="463"/>
      <c r="C5567" s="463"/>
    </row>
    <row r="5568" spans="2:3" x14ac:dyDescent="0.25">
      <c r="B5568" s="463"/>
      <c r="C5568" s="463"/>
    </row>
    <row r="5569" spans="2:3" x14ac:dyDescent="0.25">
      <c r="B5569" s="463"/>
      <c r="C5569" s="463"/>
    </row>
    <row r="5570" spans="2:3" x14ac:dyDescent="0.25">
      <c r="B5570" s="463"/>
      <c r="C5570" s="463"/>
    </row>
    <row r="5571" spans="2:3" x14ac:dyDescent="0.25">
      <c r="B5571" s="463"/>
      <c r="C5571" s="463"/>
    </row>
    <row r="5572" spans="2:3" x14ac:dyDescent="0.25">
      <c r="B5572" s="463"/>
      <c r="C5572" s="463"/>
    </row>
    <row r="5573" spans="2:3" x14ac:dyDescent="0.25">
      <c r="B5573" s="463"/>
      <c r="C5573" s="463"/>
    </row>
    <row r="5574" spans="2:3" x14ac:dyDescent="0.25">
      <c r="B5574" s="463"/>
      <c r="C5574" s="463"/>
    </row>
    <row r="5575" spans="2:3" x14ac:dyDescent="0.25">
      <c r="B5575" s="463"/>
      <c r="C5575" s="463"/>
    </row>
    <row r="5576" spans="2:3" x14ac:dyDescent="0.25">
      <c r="B5576" s="463"/>
      <c r="C5576" s="463"/>
    </row>
    <row r="5577" spans="2:3" x14ac:dyDescent="0.25">
      <c r="B5577" s="463"/>
      <c r="C5577" s="463"/>
    </row>
    <row r="5578" spans="2:3" x14ac:dyDescent="0.25">
      <c r="B5578" s="463"/>
      <c r="C5578" s="463"/>
    </row>
    <row r="5579" spans="2:3" x14ac:dyDescent="0.25">
      <c r="B5579" s="463"/>
      <c r="C5579" s="463"/>
    </row>
    <row r="5580" spans="2:3" x14ac:dyDescent="0.25">
      <c r="B5580" s="463"/>
      <c r="C5580" s="463"/>
    </row>
    <row r="5581" spans="2:3" x14ac:dyDescent="0.25">
      <c r="B5581" s="463"/>
      <c r="C5581" s="463"/>
    </row>
    <row r="5582" spans="2:3" x14ac:dyDescent="0.25">
      <c r="B5582" s="463"/>
      <c r="C5582" s="463"/>
    </row>
    <row r="5583" spans="2:3" x14ac:dyDescent="0.25">
      <c r="B5583" s="463"/>
      <c r="C5583" s="463"/>
    </row>
    <row r="5584" spans="2:3" x14ac:dyDescent="0.25">
      <c r="B5584" s="463"/>
      <c r="C5584" s="463"/>
    </row>
    <row r="5585" spans="2:3" x14ac:dyDescent="0.25">
      <c r="B5585" s="463"/>
      <c r="C5585" s="463"/>
    </row>
    <row r="5586" spans="2:3" x14ac:dyDescent="0.25">
      <c r="B5586" s="463"/>
      <c r="C5586" s="463"/>
    </row>
    <row r="5587" spans="2:3" x14ac:dyDescent="0.25">
      <c r="B5587" s="463"/>
      <c r="C5587" s="463"/>
    </row>
    <row r="5588" spans="2:3" x14ac:dyDescent="0.25">
      <c r="B5588" s="463"/>
      <c r="C5588" s="463"/>
    </row>
    <row r="5589" spans="2:3" x14ac:dyDescent="0.25">
      <c r="B5589" s="463"/>
      <c r="C5589" s="463"/>
    </row>
    <row r="5590" spans="2:3" x14ac:dyDescent="0.25">
      <c r="B5590" s="463"/>
      <c r="C5590" s="463"/>
    </row>
    <row r="5591" spans="2:3" x14ac:dyDescent="0.25">
      <c r="B5591" s="463"/>
      <c r="C5591" s="463"/>
    </row>
    <row r="5592" spans="2:3" x14ac:dyDescent="0.25">
      <c r="B5592" s="463"/>
      <c r="C5592" s="463"/>
    </row>
    <row r="5593" spans="2:3" x14ac:dyDescent="0.25">
      <c r="B5593" s="463"/>
      <c r="C5593" s="463"/>
    </row>
    <row r="5594" spans="2:3" x14ac:dyDescent="0.25">
      <c r="B5594" s="463"/>
      <c r="C5594" s="463"/>
    </row>
    <row r="5595" spans="2:3" x14ac:dyDescent="0.25">
      <c r="B5595" s="463"/>
      <c r="C5595" s="463"/>
    </row>
    <row r="5596" spans="2:3" x14ac:dyDescent="0.25">
      <c r="B5596" s="463"/>
      <c r="C5596" s="463"/>
    </row>
    <row r="5597" spans="2:3" x14ac:dyDescent="0.25">
      <c r="B5597" s="463"/>
      <c r="C5597" s="463"/>
    </row>
    <row r="5598" spans="2:3" x14ac:dyDescent="0.25">
      <c r="B5598" s="463"/>
      <c r="C5598" s="463"/>
    </row>
    <row r="5599" spans="2:3" x14ac:dyDescent="0.25">
      <c r="B5599" s="463"/>
      <c r="C5599" s="463"/>
    </row>
    <row r="5600" spans="2:3" x14ac:dyDescent="0.25">
      <c r="B5600" s="463"/>
      <c r="C5600" s="463"/>
    </row>
    <row r="5601" spans="2:3" x14ac:dyDescent="0.25">
      <c r="B5601" s="463"/>
      <c r="C5601" s="463"/>
    </row>
    <row r="5602" spans="2:3" x14ac:dyDescent="0.25">
      <c r="B5602" s="463"/>
      <c r="C5602" s="463"/>
    </row>
    <row r="5603" spans="2:3" x14ac:dyDescent="0.25">
      <c r="B5603" s="463"/>
      <c r="C5603" s="463"/>
    </row>
    <row r="5604" spans="2:3" x14ac:dyDescent="0.25">
      <c r="B5604" s="463"/>
      <c r="C5604" s="463"/>
    </row>
    <row r="5605" spans="2:3" x14ac:dyDescent="0.25">
      <c r="B5605" s="463"/>
      <c r="C5605" s="463"/>
    </row>
    <row r="5606" spans="2:3" x14ac:dyDescent="0.25">
      <c r="B5606" s="463"/>
      <c r="C5606" s="463"/>
    </row>
    <row r="5607" spans="2:3" x14ac:dyDescent="0.25">
      <c r="B5607" s="463"/>
      <c r="C5607" s="463"/>
    </row>
    <row r="5608" spans="2:3" x14ac:dyDescent="0.25">
      <c r="B5608" s="463"/>
      <c r="C5608" s="463"/>
    </row>
    <row r="5609" spans="2:3" x14ac:dyDescent="0.25">
      <c r="B5609" s="463"/>
      <c r="C5609" s="463"/>
    </row>
    <row r="5610" spans="2:3" x14ac:dyDescent="0.25">
      <c r="B5610" s="463"/>
      <c r="C5610" s="463"/>
    </row>
    <row r="5611" spans="2:3" x14ac:dyDescent="0.25">
      <c r="B5611" s="463"/>
      <c r="C5611" s="463"/>
    </row>
    <row r="5612" spans="2:3" x14ac:dyDescent="0.25">
      <c r="B5612" s="463"/>
      <c r="C5612" s="463"/>
    </row>
    <row r="5613" spans="2:3" x14ac:dyDescent="0.25">
      <c r="B5613" s="463"/>
      <c r="C5613" s="463"/>
    </row>
    <row r="5614" spans="2:3" x14ac:dyDescent="0.25">
      <c r="B5614" s="463"/>
      <c r="C5614" s="463"/>
    </row>
    <row r="5615" spans="2:3" x14ac:dyDescent="0.25">
      <c r="B5615" s="463"/>
      <c r="C5615" s="463"/>
    </row>
    <row r="5616" spans="2:3" x14ac:dyDescent="0.25">
      <c r="B5616" s="463"/>
      <c r="C5616" s="463"/>
    </row>
    <row r="5617" spans="2:3" x14ac:dyDescent="0.25">
      <c r="B5617" s="463"/>
      <c r="C5617" s="463"/>
    </row>
    <row r="5618" spans="2:3" x14ac:dyDescent="0.25">
      <c r="B5618" s="463"/>
      <c r="C5618" s="463"/>
    </row>
    <row r="5619" spans="2:3" x14ac:dyDescent="0.25">
      <c r="B5619" s="463"/>
      <c r="C5619" s="463"/>
    </row>
    <row r="5620" spans="2:3" x14ac:dyDescent="0.25">
      <c r="B5620" s="463"/>
      <c r="C5620" s="463"/>
    </row>
    <row r="5621" spans="2:3" x14ac:dyDescent="0.25">
      <c r="B5621" s="463"/>
      <c r="C5621" s="463"/>
    </row>
    <row r="5622" spans="2:3" x14ac:dyDescent="0.25">
      <c r="B5622" s="463"/>
      <c r="C5622" s="463"/>
    </row>
    <row r="5623" spans="2:3" x14ac:dyDescent="0.25">
      <c r="B5623" s="463"/>
      <c r="C5623" s="463"/>
    </row>
    <row r="5624" spans="2:3" x14ac:dyDescent="0.25">
      <c r="B5624" s="463"/>
      <c r="C5624" s="463"/>
    </row>
    <row r="5625" spans="2:3" x14ac:dyDescent="0.25">
      <c r="B5625" s="463"/>
      <c r="C5625" s="463"/>
    </row>
    <row r="5626" spans="2:3" x14ac:dyDescent="0.25">
      <c r="B5626" s="463"/>
      <c r="C5626" s="463"/>
    </row>
    <row r="5627" spans="2:3" x14ac:dyDescent="0.25">
      <c r="B5627" s="463"/>
      <c r="C5627" s="463"/>
    </row>
    <row r="5628" spans="2:3" x14ac:dyDescent="0.25">
      <c r="B5628" s="463"/>
      <c r="C5628" s="463"/>
    </row>
    <row r="5629" spans="2:3" x14ac:dyDescent="0.25">
      <c r="B5629" s="463"/>
      <c r="C5629" s="463"/>
    </row>
    <row r="5630" spans="2:3" x14ac:dyDescent="0.25">
      <c r="B5630" s="463"/>
      <c r="C5630" s="463"/>
    </row>
    <row r="5631" spans="2:3" x14ac:dyDescent="0.25">
      <c r="B5631" s="463"/>
      <c r="C5631" s="463"/>
    </row>
    <row r="5632" spans="2:3" x14ac:dyDescent="0.25">
      <c r="B5632" s="463"/>
      <c r="C5632" s="463"/>
    </row>
    <row r="5633" spans="2:3" x14ac:dyDescent="0.25">
      <c r="B5633" s="463"/>
      <c r="C5633" s="463"/>
    </row>
    <row r="5634" spans="2:3" x14ac:dyDescent="0.25">
      <c r="B5634" s="463"/>
      <c r="C5634" s="463"/>
    </row>
    <row r="5635" spans="2:3" x14ac:dyDescent="0.25">
      <c r="B5635" s="463"/>
      <c r="C5635" s="463"/>
    </row>
    <row r="5636" spans="2:3" x14ac:dyDescent="0.25">
      <c r="B5636" s="463"/>
      <c r="C5636" s="463"/>
    </row>
    <row r="5637" spans="2:3" x14ac:dyDescent="0.25">
      <c r="B5637" s="463"/>
      <c r="C5637" s="463"/>
    </row>
    <row r="5638" spans="2:3" x14ac:dyDescent="0.25">
      <c r="B5638" s="463"/>
      <c r="C5638" s="463"/>
    </row>
    <row r="5639" spans="2:3" x14ac:dyDescent="0.25">
      <c r="B5639" s="463"/>
      <c r="C5639" s="463"/>
    </row>
    <row r="5640" spans="2:3" x14ac:dyDescent="0.25">
      <c r="B5640" s="463"/>
      <c r="C5640" s="463"/>
    </row>
    <row r="5641" spans="2:3" x14ac:dyDescent="0.25">
      <c r="B5641" s="463"/>
      <c r="C5641" s="463"/>
    </row>
    <row r="5642" spans="2:3" x14ac:dyDescent="0.25">
      <c r="B5642" s="463"/>
      <c r="C5642" s="463"/>
    </row>
    <row r="5643" spans="2:3" x14ac:dyDescent="0.25">
      <c r="B5643" s="463"/>
      <c r="C5643" s="463"/>
    </row>
    <row r="5644" spans="2:3" x14ac:dyDescent="0.25">
      <c r="B5644" s="463"/>
      <c r="C5644" s="463"/>
    </row>
    <row r="5645" spans="2:3" x14ac:dyDescent="0.25">
      <c r="B5645" s="463"/>
      <c r="C5645" s="463"/>
    </row>
    <row r="5646" spans="2:3" x14ac:dyDescent="0.25">
      <c r="B5646" s="463"/>
      <c r="C5646" s="463"/>
    </row>
    <row r="5647" spans="2:3" x14ac:dyDescent="0.25">
      <c r="B5647" s="463"/>
      <c r="C5647" s="463"/>
    </row>
    <row r="5648" spans="2:3" x14ac:dyDescent="0.25">
      <c r="B5648" s="463"/>
      <c r="C5648" s="463"/>
    </row>
    <row r="5649" spans="2:3" x14ac:dyDescent="0.25">
      <c r="B5649" s="463"/>
      <c r="C5649" s="463"/>
    </row>
    <row r="5650" spans="2:3" x14ac:dyDescent="0.25">
      <c r="B5650" s="463"/>
      <c r="C5650" s="463"/>
    </row>
    <row r="5651" spans="2:3" x14ac:dyDescent="0.25">
      <c r="B5651" s="463"/>
      <c r="C5651" s="463"/>
    </row>
    <row r="5652" spans="2:3" x14ac:dyDescent="0.25">
      <c r="B5652" s="463"/>
      <c r="C5652" s="463"/>
    </row>
    <row r="5653" spans="2:3" x14ac:dyDescent="0.25">
      <c r="B5653" s="463"/>
      <c r="C5653" s="463"/>
    </row>
    <row r="5654" spans="2:3" x14ac:dyDescent="0.25">
      <c r="B5654" s="463"/>
      <c r="C5654" s="463"/>
    </row>
    <row r="5655" spans="2:3" x14ac:dyDescent="0.25">
      <c r="B5655" s="463"/>
      <c r="C5655" s="463"/>
    </row>
    <row r="5656" spans="2:3" x14ac:dyDescent="0.25">
      <c r="B5656" s="463"/>
      <c r="C5656" s="463"/>
    </row>
    <row r="5657" spans="2:3" x14ac:dyDescent="0.25">
      <c r="B5657" s="463"/>
      <c r="C5657" s="463"/>
    </row>
    <row r="5658" spans="2:3" x14ac:dyDescent="0.25">
      <c r="B5658" s="463"/>
      <c r="C5658" s="463"/>
    </row>
    <row r="5659" spans="2:3" x14ac:dyDescent="0.25">
      <c r="B5659" s="463"/>
      <c r="C5659" s="463"/>
    </row>
    <row r="5660" spans="2:3" x14ac:dyDescent="0.25">
      <c r="B5660" s="463"/>
      <c r="C5660" s="463"/>
    </row>
    <row r="5661" spans="2:3" x14ac:dyDescent="0.25">
      <c r="B5661" s="463"/>
      <c r="C5661" s="463"/>
    </row>
    <row r="5662" spans="2:3" x14ac:dyDescent="0.25">
      <c r="B5662" s="463"/>
      <c r="C5662" s="463"/>
    </row>
    <row r="5663" spans="2:3" x14ac:dyDescent="0.25">
      <c r="B5663" s="463"/>
      <c r="C5663" s="463"/>
    </row>
    <row r="5664" spans="2:3" x14ac:dyDescent="0.25">
      <c r="B5664" s="463"/>
      <c r="C5664" s="463"/>
    </row>
    <row r="5665" spans="2:3" x14ac:dyDescent="0.25">
      <c r="B5665" s="463"/>
      <c r="C5665" s="463"/>
    </row>
    <row r="5666" spans="2:3" x14ac:dyDescent="0.25">
      <c r="B5666" s="463"/>
      <c r="C5666" s="463"/>
    </row>
    <row r="5667" spans="2:3" x14ac:dyDescent="0.25">
      <c r="B5667" s="463"/>
      <c r="C5667" s="463"/>
    </row>
    <row r="5668" spans="2:3" x14ac:dyDescent="0.25">
      <c r="B5668" s="463"/>
      <c r="C5668" s="463"/>
    </row>
    <row r="5669" spans="2:3" x14ac:dyDescent="0.25">
      <c r="B5669" s="463"/>
      <c r="C5669" s="463"/>
    </row>
    <row r="5670" spans="2:3" x14ac:dyDescent="0.25">
      <c r="B5670" s="463"/>
      <c r="C5670" s="463"/>
    </row>
    <row r="5671" spans="2:3" x14ac:dyDescent="0.25">
      <c r="B5671" s="463"/>
      <c r="C5671" s="463"/>
    </row>
    <row r="5672" spans="2:3" x14ac:dyDescent="0.25">
      <c r="B5672" s="463"/>
      <c r="C5672" s="463"/>
    </row>
    <row r="5673" spans="2:3" x14ac:dyDescent="0.25">
      <c r="B5673" s="463"/>
      <c r="C5673" s="463"/>
    </row>
    <row r="5674" spans="2:3" x14ac:dyDescent="0.25">
      <c r="B5674" s="463"/>
      <c r="C5674" s="463"/>
    </row>
    <row r="5675" spans="2:3" x14ac:dyDescent="0.25">
      <c r="B5675" s="463"/>
      <c r="C5675" s="463"/>
    </row>
    <row r="5676" spans="2:3" x14ac:dyDescent="0.25">
      <c r="B5676" s="463"/>
      <c r="C5676" s="463"/>
    </row>
    <row r="5677" spans="2:3" x14ac:dyDescent="0.25">
      <c r="B5677" s="463"/>
      <c r="C5677" s="463"/>
    </row>
    <row r="5678" spans="2:3" x14ac:dyDescent="0.25">
      <c r="B5678" s="463"/>
      <c r="C5678" s="463"/>
    </row>
    <row r="5679" spans="2:3" x14ac:dyDescent="0.25">
      <c r="B5679" s="463"/>
      <c r="C5679" s="463"/>
    </row>
    <row r="5680" spans="2:3" x14ac:dyDescent="0.25">
      <c r="B5680" s="463"/>
      <c r="C5680" s="463"/>
    </row>
    <row r="5681" spans="2:3" x14ac:dyDescent="0.25">
      <c r="B5681" s="463"/>
      <c r="C5681" s="463"/>
    </row>
    <row r="5682" spans="2:3" x14ac:dyDescent="0.25">
      <c r="B5682" s="463"/>
      <c r="C5682" s="463"/>
    </row>
    <row r="5683" spans="2:3" x14ac:dyDescent="0.25">
      <c r="B5683" s="463"/>
      <c r="C5683" s="463"/>
    </row>
    <row r="5684" spans="2:3" x14ac:dyDescent="0.25">
      <c r="B5684" s="463"/>
      <c r="C5684" s="463"/>
    </row>
    <row r="5685" spans="2:3" x14ac:dyDescent="0.25">
      <c r="B5685" s="463"/>
      <c r="C5685" s="463"/>
    </row>
    <row r="5686" spans="2:3" x14ac:dyDescent="0.25">
      <c r="B5686" s="463"/>
      <c r="C5686" s="463"/>
    </row>
    <row r="5687" spans="2:3" x14ac:dyDescent="0.25">
      <c r="B5687" s="463"/>
      <c r="C5687" s="463"/>
    </row>
    <row r="5688" spans="2:3" x14ac:dyDescent="0.25">
      <c r="B5688" s="463"/>
      <c r="C5688" s="463"/>
    </row>
    <row r="5689" spans="2:3" x14ac:dyDescent="0.25">
      <c r="B5689" s="463"/>
      <c r="C5689" s="463"/>
    </row>
    <row r="5690" spans="2:3" x14ac:dyDescent="0.25">
      <c r="B5690" s="463"/>
      <c r="C5690" s="463"/>
    </row>
    <row r="5691" spans="2:3" x14ac:dyDescent="0.25">
      <c r="B5691" s="463"/>
      <c r="C5691" s="463"/>
    </row>
    <row r="5692" spans="2:3" x14ac:dyDescent="0.25">
      <c r="B5692" s="463"/>
      <c r="C5692" s="463"/>
    </row>
    <row r="5693" spans="2:3" x14ac:dyDescent="0.25">
      <c r="B5693" s="463"/>
      <c r="C5693" s="463"/>
    </row>
    <row r="5694" spans="2:3" x14ac:dyDescent="0.25">
      <c r="B5694" s="463"/>
      <c r="C5694" s="463"/>
    </row>
    <row r="5695" spans="2:3" x14ac:dyDescent="0.25">
      <c r="B5695" s="463"/>
      <c r="C5695" s="463"/>
    </row>
    <row r="5696" spans="2:3" x14ac:dyDescent="0.25">
      <c r="B5696" s="463"/>
      <c r="C5696" s="463"/>
    </row>
    <row r="5697" spans="2:3" x14ac:dyDescent="0.25">
      <c r="B5697" s="463"/>
      <c r="C5697" s="463"/>
    </row>
    <row r="5698" spans="2:3" x14ac:dyDescent="0.25">
      <c r="B5698" s="463"/>
      <c r="C5698" s="463"/>
    </row>
    <row r="5699" spans="2:3" x14ac:dyDescent="0.25">
      <c r="B5699" s="463"/>
      <c r="C5699" s="463"/>
    </row>
    <row r="5700" spans="2:3" x14ac:dyDescent="0.25">
      <c r="B5700" s="463"/>
      <c r="C5700" s="463"/>
    </row>
    <row r="5701" spans="2:3" x14ac:dyDescent="0.25">
      <c r="B5701" s="463"/>
      <c r="C5701" s="463"/>
    </row>
    <row r="5702" spans="2:3" x14ac:dyDescent="0.25">
      <c r="B5702" s="463"/>
      <c r="C5702" s="463"/>
    </row>
    <row r="5703" spans="2:3" x14ac:dyDescent="0.25">
      <c r="B5703" s="463"/>
      <c r="C5703" s="463"/>
    </row>
    <row r="5704" spans="2:3" x14ac:dyDescent="0.25">
      <c r="B5704" s="463"/>
      <c r="C5704" s="463"/>
    </row>
    <row r="5705" spans="2:3" x14ac:dyDescent="0.25">
      <c r="B5705" s="463"/>
      <c r="C5705" s="463"/>
    </row>
    <row r="5706" spans="2:3" x14ac:dyDescent="0.25">
      <c r="B5706" s="463"/>
      <c r="C5706" s="463"/>
    </row>
    <row r="5707" spans="2:3" x14ac:dyDescent="0.25">
      <c r="B5707" s="463"/>
      <c r="C5707" s="463"/>
    </row>
    <row r="5708" spans="2:3" x14ac:dyDescent="0.25">
      <c r="B5708" s="463"/>
      <c r="C5708" s="463"/>
    </row>
    <row r="5709" spans="2:3" x14ac:dyDescent="0.25">
      <c r="B5709" s="463"/>
      <c r="C5709" s="463"/>
    </row>
    <row r="5710" spans="2:3" x14ac:dyDescent="0.25">
      <c r="B5710" s="463"/>
      <c r="C5710" s="463"/>
    </row>
    <row r="5711" spans="2:3" x14ac:dyDescent="0.25">
      <c r="B5711" s="463"/>
      <c r="C5711" s="463"/>
    </row>
    <row r="5712" spans="2:3" x14ac:dyDescent="0.25">
      <c r="B5712" s="463"/>
      <c r="C5712" s="463"/>
    </row>
    <row r="5713" spans="2:3" x14ac:dyDescent="0.25">
      <c r="B5713" s="463"/>
      <c r="C5713" s="463"/>
    </row>
    <row r="5714" spans="2:3" x14ac:dyDescent="0.25">
      <c r="B5714" s="463"/>
      <c r="C5714" s="463"/>
    </row>
    <row r="5715" spans="2:3" x14ac:dyDescent="0.25">
      <c r="B5715" s="463"/>
      <c r="C5715" s="463"/>
    </row>
    <row r="5716" spans="2:3" x14ac:dyDescent="0.25">
      <c r="B5716" s="463"/>
      <c r="C5716" s="463"/>
    </row>
    <row r="5717" spans="2:3" x14ac:dyDescent="0.25">
      <c r="B5717" s="463"/>
      <c r="C5717" s="463"/>
    </row>
    <row r="5718" spans="2:3" x14ac:dyDescent="0.25">
      <c r="B5718" s="463"/>
      <c r="C5718" s="463"/>
    </row>
    <row r="5719" spans="2:3" x14ac:dyDescent="0.25">
      <c r="B5719" s="463"/>
      <c r="C5719" s="463"/>
    </row>
    <row r="5720" spans="2:3" x14ac:dyDescent="0.25">
      <c r="B5720" s="463"/>
      <c r="C5720" s="463"/>
    </row>
    <row r="5721" spans="2:3" x14ac:dyDescent="0.25">
      <c r="B5721" s="463"/>
      <c r="C5721" s="463"/>
    </row>
    <row r="5722" spans="2:3" x14ac:dyDescent="0.25">
      <c r="B5722" s="463"/>
      <c r="C5722" s="463"/>
    </row>
    <row r="5723" spans="2:3" x14ac:dyDescent="0.25">
      <c r="B5723" s="463"/>
      <c r="C5723" s="463"/>
    </row>
    <row r="5724" spans="2:3" x14ac:dyDescent="0.25">
      <c r="B5724" s="463"/>
      <c r="C5724" s="463"/>
    </row>
    <row r="5725" spans="2:3" x14ac:dyDescent="0.25">
      <c r="B5725" s="463"/>
      <c r="C5725" s="463"/>
    </row>
    <row r="5726" spans="2:3" x14ac:dyDescent="0.25">
      <c r="B5726" s="463"/>
      <c r="C5726" s="463"/>
    </row>
    <row r="5727" spans="2:3" x14ac:dyDescent="0.25">
      <c r="B5727" s="463"/>
      <c r="C5727" s="463"/>
    </row>
    <row r="5728" spans="2:3" x14ac:dyDescent="0.25">
      <c r="B5728" s="463"/>
      <c r="C5728" s="463"/>
    </row>
    <row r="5729" spans="2:3" x14ac:dyDescent="0.25">
      <c r="B5729" s="463"/>
      <c r="C5729" s="463"/>
    </row>
    <row r="5730" spans="2:3" x14ac:dyDescent="0.25">
      <c r="B5730" s="463"/>
      <c r="C5730" s="463"/>
    </row>
    <row r="5731" spans="2:3" x14ac:dyDescent="0.25">
      <c r="B5731" s="463"/>
      <c r="C5731" s="463"/>
    </row>
    <row r="5732" spans="2:3" x14ac:dyDescent="0.25">
      <c r="B5732" s="463"/>
      <c r="C5732" s="463"/>
    </row>
    <row r="5733" spans="2:3" x14ac:dyDescent="0.25">
      <c r="B5733" s="463"/>
      <c r="C5733" s="463"/>
    </row>
    <row r="5734" spans="2:3" x14ac:dyDescent="0.25">
      <c r="B5734" s="463"/>
      <c r="C5734" s="463"/>
    </row>
    <row r="5735" spans="2:3" x14ac:dyDescent="0.25">
      <c r="B5735" s="463"/>
      <c r="C5735" s="463"/>
    </row>
    <row r="5736" spans="2:3" x14ac:dyDescent="0.25">
      <c r="B5736" s="463"/>
      <c r="C5736" s="463"/>
    </row>
    <row r="5737" spans="2:3" x14ac:dyDescent="0.25">
      <c r="B5737" s="463"/>
      <c r="C5737" s="463"/>
    </row>
    <row r="5738" spans="2:3" x14ac:dyDescent="0.25">
      <c r="B5738" s="463"/>
      <c r="C5738" s="463"/>
    </row>
    <row r="5739" spans="2:3" x14ac:dyDescent="0.25">
      <c r="B5739" s="463"/>
      <c r="C5739" s="463"/>
    </row>
    <row r="5740" spans="2:3" x14ac:dyDescent="0.25">
      <c r="B5740" s="463"/>
      <c r="C5740" s="463"/>
    </row>
    <row r="5741" spans="2:3" x14ac:dyDescent="0.25">
      <c r="B5741" s="463"/>
      <c r="C5741" s="463"/>
    </row>
    <row r="5742" spans="2:3" x14ac:dyDescent="0.25">
      <c r="B5742" s="463"/>
      <c r="C5742" s="463"/>
    </row>
    <row r="5743" spans="2:3" x14ac:dyDescent="0.25">
      <c r="B5743" s="463"/>
      <c r="C5743" s="463"/>
    </row>
    <row r="5744" spans="2:3" x14ac:dyDescent="0.25">
      <c r="B5744" s="463"/>
      <c r="C5744" s="463"/>
    </row>
    <row r="5745" spans="2:3" x14ac:dyDescent="0.25">
      <c r="B5745" s="463"/>
      <c r="C5745" s="463"/>
    </row>
    <row r="5746" spans="2:3" x14ac:dyDescent="0.25">
      <c r="B5746" s="463"/>
      <c r="C5746" s="463"/>
    </row>
    <row r="5747" spans="2:3" x14ac:dyDescent="0.25">
      <c r="B5747" s="463"/>
      <c r="C5747" s="463"/>
    </row>
    <row r="5748" spans="2:3" x14ac:dyDescent="0.25">
      <c r="B5748" s="463"/>
      <c r="C5748" s="463"/>
    </row>
    <row r="5749" spans="2:3" x14ac:dyDescent="0.25">
      <c r="B5749" s="463"/>
      <c r="C5749" s="463"/>
    </row>
    <row r="5750" spans="2:3" x14ac:dyDescent="0.25">
      <c r="B5750" s="463"/>
      <c r="C5750" s="463"/>
    </row>
    <row r="5751" spans="2:3" x14ac:dyDescent="0.25">
      <c r="B5751" s="463"/>
      <c r="C5751" s="463"/>
    </row>
    <row r="5752" spans="2:3" x14ac:dyDescent="0.25">
      <c r="B5752" s="463"/>
      <c r="C5752" s="463"/>
    </row>
    <row r="5753" spans="2:3" x14ac:dyDescent="0.25">
      <c r="B5753" s="463"/>
      <c r="C5753" s="463"/>
    </row>
    <row r="5754" spans="2:3" x14ac:dyDescent="0.25">
      <c r="B5754" s="463"/>
      <c r="C5754" s="463"/>
    </row>
    <row r="5755" spans="2:3" x14ac:dyDescent="0.25">
      <c r="B5755" s="463"/>
      <c r="C5755" s="463"/>
    </row>
    <row r="5756" spans="2:3" x14ac:dyDescent="0.25">
      <c r="B5756" s="463"/>
      <c r="C5756" s="463"/>
    </row>
    <row r="5757" spans="2:3" x14ac:dyDescent="0.25">
      <c r="B5757" s="463"/>
      <c r="C5757" s="463"/>
    </row>
    <row r="5758" spans="2:3" x14ac:dyDescent="0.25">
      <c r="B5758" s="463"/>
      <c r="C5758" s="463"/>
    </row>
    <row r="5759" spans="2:3" x14ac:dyDescent="0.25">
      <c r="B5759" s="463"/>
      <c r="C5759" s="463"/>
    </row>
    <row r="5760" spans="2:3" x14ac:dyDescent="0.25">
      <c r="B5760" s="463"/>
      <c r="C5760" s="463"/>
    </row>
    <row r="5761" spans="2:3" x14ac:dyDescent="0.25">
      <c r="B5761" s="463"/>
      <c r="C5761" s="463"/>
    </row>
    <row r="5762" spans="2:3" x14ac:dyDescent="0.25">
      <c r="B5762" s="463"/>
      <c r="C5762" s="463"/>
    </row>
    <row r="5763" spans="2:3" x14ac:dyDescent="0.25">
      <c r="B5763" s="463"/>
      <c r="C5763" s="463"/>
    </row>
    <row r="5764" spans="2:3" x14ac:dyDescent="0.25">
      <c r="B5764" s="463"/>
      <c r="C5764" s="463"/>
    </row>
    <row r="5765" spans="2:3" x14ac:dyDescent="0.25">
      <c r="B5765" s="463"/>
      <c r="C5765" s="463"/>
    </row>
    <row r="5766" spans="2:3" x14ac:dyDescent="0.25">
      <c r="B5766" s="463"/>
      <c r="C5766" s="463"/>
    </row>
    <row r="5767" spans="2:3" x14ac:dyDescent="0.25">
      <c r="B5767" s="463"/>
      <c r="C5767" s="463"/>
    </row>
    <row r="5768" spans="2:3" x14ac:dyDescent="0.25">
      <c r="B5768" s="463"/>
      <c r="C5768" s="463"/>
    </row>
    <row r="5769" spans="2:3" x14ac:dyDescent="0.25">
      <c r="B5769" s="463"/>
      <c r="C5769" s="463"/>
    </row>
    <row r="5770" spans="2:3" x14ac:dyDescent="0.25">
      <c r="B5770" s="463"/>
      <c r="C5770" s="463"/>
    </row>
    <row r="5771" spans="2:3" x14ac:dyDescent="0.25">
      <c r="B5771" s="463"/>
      <c r="C5771" s="463"/>
    </row>
    <row r="5772" spans="2:3" x14ac:dyDescent="0.25">
      <c r="B5772" s="463"/>
      <c r="C5772" s="463"/>
    </row>
    <row r="5773" spans="2:3" x14ac:dyDescent="0.25">
      <c r="B5773" s="463"/>
      <c r="C5773" s="463"/>
    </row>
    <row r="5774" spans="2:3" x14ac:dyDescent="0.25">
      <c r="B5774" s="463"/>
      <c r="C5774" s="463"/>
    </row>
    <row r="5775" spans="2:3" x14ac:dyDescent="0.25">
      <c r="B5775" s="463"/>
      <c r="C5775" s="463"/>
    </row>
    <row r="5776" spans="2:3" x14ac:dyDescent="0.25">
      <c r="B5776" s="463"/>
      <c r="C5776" s="463"/>
    </row>
    <row r="5777" spans="2:3" x14ac:dyDescent="0.25">
      <c r="B5777" s="463"/>
      <c r="C5777" s="463"/>
    </row>
    <row r="5778" spans="2:3" x14ac:dyDescent="0.25">
      <c r="B5778" s="463"/>
      <c r="C5778" s="463"/>
    </row>
    <row r="5779" spans="2:3" x14ac:dyDescent="0.25">
      <c r="B5779" s="463"/>
      <c r="C5779" s="463"/>
    </row>
    <row r="5780" spans="2:3" x14ac:dyDescent="0.25">
      <c r="B5780" s="463"/>
      <c r="C5780" s="463"/>
    </row>
    <row r="5781" spans="2:3" x14ac:dyDescent="0.25">
      <c r="B5781" s="463"/>
      <c r="C5781" s="463"/>
    </row>
    <row r="5782" spans="2:3" x14ac:dyDescent="0.25">
      <c r="B5782" s="463"/>
      <c r="C5782" s="463"/>
    </row>
    <row r="5783" spans="2:3" x14ac:dyDescent="0.25">
      <c r="B5783" s="463"/>
      <c r="C5783" s="463"/>
    </row>
    <row r="5784" spans="2:3" x14ac:dyDescent="0.25">
      <c r="B5784" s="463"/>
      <c r="C5784" s="463"/>
    </row>
    <row r="5785" spans="2:3" x14ac:dyDescent="0.25">
      <c r="B5785" s="463"/>
      <c r="C5785" s="463"/>
    </row>
    <row r="5786" spans="2:3" x14ac:dyDescent="0.25">
      <c r="B5786" s="463"/>
      <c r="C5786" s="463"/>
    </row>
    <row r="5787" spans="2:3" x14ac:dyDescent="0.25">
      <c r="B5787" s="463"/>
      <c r="C5787" s="463"/>
    </row>
    <row r="5788" spans="2:3" x14ac:dyDescent="0.25">
      <c r="B5788" s="463"/>
      <c r="C5788" s="463"/>
    </row>
    <row r="5789" spans="2:3" x14ac:dyDescent="0.25">
      <c r="B5789" s="463"/>
      <c r="C5789" s="463"/>
    </row>
    <row r="5790" spans="2:3" x14ac:dyDescent="0.25">
      <c r="B5790" s="463"/>
      <c r="C5790" s="463"/>
    </row>
    <row r="5791" spans="2:3" x14ac:dyDescent="0.25">
      <c r="B5791" s="463"/>
      <c r="C5791" s="463"/>
    </row>
    <row r="5792" spans="2:3" x14ac:dyDescent="0.25">
      <c r="B5792" s="463"/>
      <c r="C5792" s="463"/>
    </row>
    <row r="5793" spans="2:3" x14ac:dyDescent="0.25">
      <c r="B5793" s="463"/>
      <c r="C5793" s="463"/>
    </row>
    <row r="5794" spans="2:3" x14ac:dyDescent="0.25">
      <c r="B5794" s="463"/>
      <c r="C5794" s="463"/>
    </row>
    <row r="5795" spans="2:3" x14ac:dyDescent="0.25">
      <c r="B5795" s="463"/>
      <c r="C5795" s="463"/>
    </row>
    <row r="5796" spans="2:3" x14ac:dyDescent="0.25">
      <c r="B5796" s="463"/>
      <c r="C5796" s="463"/>
    </row>
    <row r="5797" spans="2:3" x14ac:dyDescent="0.25">
      <c r="B5797" s="463"/>
      <c r="C5797" s="463"/>
    </row>
    <row r="5798" spans="2:3" x14ac:dyDescent="0.25">
      <c r="B5798" s="463"/>
      <c r="C5798" s="463"/>
    </row>
    <row r="5799" spans="2:3" x14ac:dyDescent="0.25">
      <c r="B5799" s="463"/>
      <c r="C5799" s="463"/>
    </row>
    <row r="5800" spans="2:3" x14ac:dyDescent="0.25">
      <c r="B5800" s="463"/>
      <c r="C5800" s="463"/>
    </row>
    <row r="5801" spans="2:3" x14ac:dyDescent="0.25">
      <c r="B5801" s="463"/>
      <c r="C5801" s="463"/>
    </row>
    <row r="5802" spans="2:3" x14ac:dyDescent="0.25">
      <c r="B5802" s="463"/>
      <c r="C5802" s="463"/>
    </row>
    <row r="5803" spans="2:3" x14ac:dyDescent="0.25">
      <c r="B5803" s="463"/>
      <c r="C5803" s="463"/>
    </row>
    <row r="5804" spans="2:3" x14ac:dyDescent="0.25">
      <c r="B5804" s="463"/>
      <c r="C5804" s="463"/>
    </row>
    <row r="5805" spans="2:3" x14ac:dyDescent="0.25">
      <c r="B5805" s="463"/>
      <c r="C5805" s="463"/>
    </row>
    <row r="5806" spans="2:3" x14ac:dyDescent="0.25">
      <c r="B5806" s="463"/>
      <c r="C5806" s="463"/>
    </row>
    <row r="5807" spans="2:3" x14ac:dyDescent="0.25">
      <c r="B5807" s="463"/>
      <c r="C5807" s="463"/>
    </row>
    <row r="5808" spans="2:3" x14ac:dyDescent="0.25">
      <c r="B5808" s="463"/>
      <c r="C5808" s="463"/>
    </row>
    <row r="5809" spans="2:3" x14ac:dyDescent="0.25">
      <c r="B5809" s="463"/>
      <c r="C5809" s="463"/>
    </row>
    <row r="5810" spans="2:3" x14ac:dyDescent="0.25">
      <c r="B5810" s="463"/>
      <c r="C5810" s="463"/>
    </row>
    <row r="5811" spans="2:3" x14ac:dyDescent="0.25">
      <c r="B5811" s="463"/>
      <c r="C5811" s="463"/>
    </row>
    <row r="5812" spans="2:3" x14ac:dyDescent="0.25">
      <c r="B5812" s="463"/>
      <c r="C5812" s="463"/>
    </row>
    <row r="5813" spans="2:3" x14ac:dyDescent="0.25">
      <c r="B5813" s="463"/>
      <c r="C5813" s="463"/>
    </row>
    <row r="5814" spans="2:3" x14ac:dyDescent="0.25">
      <c r="B5814" s="463"/>
      <c r="C5814" s="463"/>
    </row>
    <row r="5815" spans="2:3" x14ac:dyDescent="0.25">
      <c r="B5815" s="463"/>
      <c r="C5815" s="463"/>
    </row>
    <row r="5816" spans="2:3" x14ac:dyDescent="0.25">
      <c r="B5816" s="463"/>
      <c r="C5816" s="463"/>
    </row>
    <row r="5817" spans="2:3" x14ac:dyDescent="0.25">
      <c r="B5817" s="463"/>
      <c r="C5817" s="463"/>
    </row>
    <row r="5818" spans="2:3" x14ac:dyDescent="0.25">
      <c r="B5818" s="463"/>
      <c r="C5818" s="463"/>
    </row>
    <row r="5819" spans="2:3" x14ac:dyDescent="0.25">
      <c r="B5819" s="463"/>
      <c r="C5819" s="463"/>
    </row>
    <row r="5820" spans="2:3" x14ac:dyDescent="0.25">
      <c r="B5820" s="463"/>
      <c r="C5820" s="463"/>
    </row>
    <row r="5821" spans="2:3" x14ac:dyDescent="0.25">
      <c r="B5821" s="463"/>
      <c r="C5821" s="463"/>
    </row>
    <row r="5822" spans="2:3" x14ac:dyDescent="0.25">
      <c r="B5822" s="463"/>
      <c r="C5822" s="463"/>
    </row>
    <row r="5823" spans="2:3" x14ac:dyDescent="0.25">
      <c r="B5823" s="463"/>
      <c r="C5823" s="463"/>
    </row>
    <row r="5824" spans="2:3" x14ac:dyDescent="0.25">
      <c r="B5824" s="463"/>
      <c r="C5824" s="463"/>
    </row>
    <row r="5825" spans="2:3" x14ac:dyDescent="0.25">
      <c r="B5825" s="463"/>
      <c r="C5825" s="463"/>
    </row>
    <row r="5826" spans="2:3" x14ac:dyDescent="0.25">
      <c r="B5826" s="463"/>
      <c r="C5826" s="463"/>
    </row>
    <row r="5827" spans="2:3" x14ac:dyDescent="0.25">
      <c r="B5827" s="463"/>
      <c r="C5827" s="463"/>
    </row>
    <row r="5828" spans="2:3" x14ac:dyDescent="0.25">
      <c r="B5828" s="463"/>
      <c r="C5828" s="463"/>
    </row>
    <row r="5829" spans="2:3" x14ac:dyDescent="0.25">
      <c r="B5829" s="463"/>
      <c r="C5829" s="463"/>
    </row>
    <row r="5830" spans="2:3" x14ac:dyDescent="0.25">
      <c r="B5830" s="463"/>
      <c r="C5830" s="463"/>
    </row>
    <row r="5831" spans="2:3" x14ac:dyDescent="0.25">
      <c r="B5831" s="463"/>
      <c r="C5831" s="463"/>
    </row>
    <row r="5832" spans="2:3" x14ac:dyDescent="0.25">
      <c r="B5832" s="463"/>
      <c r="C5832" s="463"/>
    </row>
    <row r="5833" spans="2:3" x14ac:dyDescent="0.25">
      <c r="B5833" s="463"/>
      <c r="C5833" s="463"/>
    </row>
    <row r="5834" spans="2:3" x14ac:dyDescent="0.25">
      <c r="B5834" s="463"/>
      <c r="C5834" s="463"/>
    </row>
    <row r="5835" spans="2:3" x14ac:dyDescent="0.25">
      <c r="B5835" s="463"/>
      <c r="C5835" s="463"/>
    </row>
    <row r="5836" spans="2:3" x14ac:dyDescent="0.25">
      <c r="B5836" s="463"/>
      <c r="C5836" s="463"/>
    </row>
    <row r="5837" spans="2:3" x14ac:dyDescent="0.25">
      <c r="B5837" s="463"/>
      <c r="C5837" s="463"/>
    </row>
    <row r="5838" spans="2:3" x14ac:dyDescent="0.25">
      <c r="B5838" s="463"/>
      <c r="C5838" s="463"/>
    </row>
    <row r="5839" spans="2:3" x14ac:dyDescent="0.25">
      <c r="B5839" s="463"/>
      <c r="C5839" s="463"/>
    </row>
    <row r="5840" spans="2:3" x14ac:dyDescent="0.25">
      <c r="B5840" s="463"/>
      <c r="C5840" s="463"/>
    </row>
    <row r="5841" spans="2:3" x14ac:dyDescent="0.25">
      <c r="B5841" s="463"/>
      <c r="C5841" s="463"/>
    </row>
    <row r="5842" spans="2:3" x14ac:dyDescent="0.25">
      <c r="B5842" s="463"/>
      <c r="C5842" s="463"/>
    </row>
    <row r="5843" spans="2:3" x14ac:dyDescent="0.25">
      <c r="B5843" s="463"/>
      <c r="C5843" s="463"/>
    </row>
    <row r="5844" spans="2:3" x14ac:dyDescent="0.25">
      <c r="B5844" s="463"/>
      <c r="C5844" s="463"/>
    </row>
    <row r="5845" spans="2:3" x14ac:dyDescent="0.25">
      <c r="B5845" s="463"/>
      <c r="C5845" s="463"/>
    </row>
    <row r="5846" spans="2:3" x14ac:dyDescent="0.25">
      <c r="B5846" s="463"/>
      <c r="C5846" s="463"/>
    </row>
    <row r="5847" spans="2:3" x14ac:dyDescent="0.25">
      <c r="B5847" s="463"/>
      <c r="C5847" s="463"/>
    </row>
    <row r="5848" spans="2:3" x14ac:dyDescent="0.25">
      <c r="B5848" s="463"/>
      <c r="C5848" s="463"/>
    </row>
    <row r="5849" spans="2:3" x14ac:dyDescent="0.25">
      <c r="B5849" s="463"/>
      <c r="C5849" s="463"/>
    </row>
    <row r="5850" spans="2:3" x14ac:dyDescent="0.25">
      <c r="B5850" s="463"/>
      <c r="C5850" s="463"/>
    </row>
    <row r="5851" spans="2:3" x14ac:dyDescent="0.25">
      <c r="B5851" s="463"/>
      <c r="C5851" s="463"/>
    </row>
    <row r="5852" spans="2:3" x14ac:dyDescent="0.25">
      <c r="B5852" s="463"/>
      <c r="C5852" s="463"/>
    </row>
    <row r="5853" spans="2:3" x14ac:dyDescent="0.25">
      <c r="B5853" s="463"/>
      <c r="C5853" s="463"/>
    </row>
    <row r="5854" spans="2:3" x14ac:dyDescent="0.25">
      <c r="B5854" s="463"/>
      <c r="C5854" s="463"/>
    </row>
    <row r="5855" spans="2:3" x14ac:dyDescent="0.25">
      <c r="B5855" s="463"/>
      <c r="C5855" s="463"/>
    </row>
    <row r="5856" spans="2:3" x14ac:dyDescent="0.25">
      <c r="B5856" s="463"/>
      <c r="C5856" s="463"/>
    </row>
    <row r="5857" spans="2:3" x14ac:dyDescent="0.25">
      <c r="B5857" s="463"/>
      <c r="C5857" s="463"/>
    </row>
    <row r="5858" spans="2:3" x14ac:dyDescent="0.25">
      <c r="B5858" s="463"/>
      <c r="C5858" s="463"/>
    </row>
    <row r="5859" spans="2:3" x14ac:dyDescent="0.25">
      <c r="B5859" s="463"/>
      <c r="C5859" s="463"/>
    </row>
    <row r="5860" spans="2:3" x14ac:dyDescent="0.25">
      <c r="B5860" s="463"/>
      <c r="C5860" s="463"/>
    </row>
    <row r="5861" spans="2:3" x14ac:dyDescent="0.25">
      <c r="B5861" s="463"/>
      <c r="C5861" s="463"/>
    </row>
    <row r="5862" spans="2:3" x14ac:dyDescent="0.25">
      <c r="B5862" s="463"/>
      <c r="C5862" s="463"/>
    </row>
    <row r="5863" spans="2:3" x14ac:dyDescent="0.25">
      <c r="B5863" s="463"/>
      <c r="C5863" s="463"/>
    </row>
    <row r="5864" spans="2:3" x14ac:dyDescent="0.25">
      <c r="B5864" s="463"/>
      <c r="C5864" s="463"/>
    </row>
    <row r="5865" spans="2:3" x14ac:dyDescent="0.25">
      <c r="B5865" s="463"/>
      <c r="C5865" s="463"/>
    </row>
    <row r="5866" spans="2:3" x14ac:dyDescent="0.25">
      <c r="B5866" s="463"/>
      <c r="C5866" s="463"/>
    </row>
    <row r="5867" spans="2:3" x14ac:dyDescent="0.25">
      <c r="B5867" s="463"/>
      <c r="C5867" s="463"/>
    </row>
    <row r="5868" spans="2:3" x14ac:dyDescent="0.25">
      <c r="B5868" s="463"/>
      <c r="C5868" s="463"/>
    </row>
    <row r="5869" spans="2:3" x14ac:dyDescent="0.25">
      <c r="B5869" s="463"/>
      <c r="C5869" s="463"/>
    </row>
    <row r="5870" spans="2:3" x14ac:dyDescent="0.25">
      <c r="B5870" s="463"/>
      <c r="C5870" s="463"/>
    </row>
    <row r="5871" spans="2:3" x14ac:dyDescent="0.25">
      <c r="B5871" s="463"/>
      <c r="C5871" s="463"/>
    </row>
    <row r="5872" spans="2:3" x14ac:dyDescent="0.25">
      <c r="B5872" s="463"/>
      <c r="C5872" s="463"/>
    </row>
    <row r="5873" spans="2:3" x14ac:dyDescent="0.25">
      <c r="B5873" s="463"/>
      <c r="C5873" s="463"/>
    </row>
    <row r="5874" spans="2:3" x14ac:dyDescent="0.25">
      <c r="B5874" s="463"/>
      <c r="C5874" s="463"/>
    </row>
    <row r="5875" spans="2:3" x14ac:dyDescent="0.25">
      <c r="B5875" s="463"/>
      <c r="C5875" s="463"/>
    </row>
    <row r="5876" spans="2:3" x14ac:dyDescent="0.25">
      <c r="B5876" s="463"/>
      <c r="C5876" s="463"/>
    </row>
    <row r="5877" spans="2:3" x14ac:dyDescent="0.25">
      <c r="B5877" s="463"/>
      <c r="C5877" s="463"/>
    </row>
    <row r="5878" spans="2:3" x14ac:dyDescent="0.25">
      <c r="B5878" s="463"/>
      <c r="C5878" s="463"/>
    </row>
    <row r="5879" spans="2:3" x14ac:dyDescent="0.25">
      <c r="B5879" s="463"/>
      <c r="C5879" s="463"/>
    </row>
    <row r="5880" spans="2:3" x14ac:dyDescent="0.25">
      <c r="B5880" s="463"/>
      <c r="C5880" s="463"/>
    </row>
    <row r="5881" spans="2:3" x14ac:dyDescent="0.25">
      <c r="B5881" s="463"/>
      <c r="C5881" s="463"/>
    </row>
    <row r="5882" spans="2:3" x14ac:dyDescent="0.25">
      <c r="B5882" s="463"/>
      <c r="C5882" s="463"/>
    </row>
    <row r="5883" spans="2:3" x14ac:dyDescent="0.25">
      <c r="B5883" s="463"/>
      <c r="C5883" s="463"/>
    </row>
    <row r="5884" spans="2:3" x14ac:dyDescent="0.25">
      <c r="B5884" s="463"/>
      <c r="C5884" s="463"/>
    </row>
    <row r="5885" spans="2:3" x14ac:dyDescent="0.25">
      <c r="B5885" s="463"/>
      <c r="C5885" s="463"/>
    </row>
    <row r="5886" spans="2:3" x14ac:dyDescent="0.25">
      <c r="B5886" s="463"/>
      <c r="C5886" s="463"/>
    </row>
    <row r="5887" spans="2:3" x14ac:dyDescent="0.25">
      <c r="B5887" s="463"/>
      <c r="C5887" s="463"/>
    </row>
    <row r="5888" spans="2:3" x14ac:dyDescent="0.25">
      <c r="B5888" s="463"/>
      <c r="C5888" s="463"/>
    </row>
    <row r="5889" spans="2:3" x14ac:dyDescent="0.25">
      <c r="B5889" s="463"/>
      <c r="C5889" s="463"/>
    </row>
    <row r="5890" spans="2:3" x14ac:dyDescent="0.25">
      <c r="B5890" s="463"/>
      <c r="C5890" s="463"/>
    </row>
    <row r="5891" spans="2:3" x14ac:dyDescent="0.25">
      <c r="B5891" s="463"/>
      <c r="C5891" s="463"/>
    </row>
    <row r="5892" spans="2:3" x14ac:dyDescent="0.25">
      <c r="B5892" s="463"/>
      <c r="C5892" s="463"/>
    </row>
    <row r="5893" spans="2:3" x14ac:dyDescent="0.25">
      <c r="B5893" s="463"/>
      <c r="C5893" s="463"/>
    </row>
    <row r="5894" spans="2:3" x14ac:dyDescent="0.25">
      <c r="B5894" s="463"/>
      <c r="C5894" s="463"/>
    </row>
    <row r="5895" spans="2:3" x14ac:dyDescent="0.25">
      <c r="B5895" s="463"/>
      <c r="C5895" s="463"/>
    </row>
    <row r="5896" spans="2:3" x14ac:dyDescent="0.25">
      <c r="B5896" s="463"/>
      <c r="C5896" s="463"/>
    </row>
    <row r="5897" spans="2:3" x14ac:dyDescent="0.25">
      <c r="B5897" s="463"/>
      <c r="C5897" s="463"/>
    </row>
    <row r="5898" spans="2:3" x14ac:dyDescent="0.25">
      <c r="B5898" s="463"/>
      <c r="C5898" s="463"/>
    </row>
    <row r="5899" spans="2:3" x14ac:dyDescent="0.25">
      <c r="B5899" s="463"/>
      <c r="C5899" s="463"/>
    </row>
    <row r="5900" spans="2:3" x14ac:dyDescent="0.25">
      <c r="B5900" s="463"/>
      <c r="C5900" s="463"/>
    </row>
    <row r="5901" spans="2:3" x14ac:dyDescent="0.25">
      <c r="B5901" s="463"/>
      <c r="C5901" s="463"/>
    </row>
    <row r="5902" spans="2:3" x14ac:dyDescent="0.25">
      <c r="B5902" s="463"/>
      <c r="C5902" s="463"/>
    </row>
    <row r="5903" spans="2:3" x14ac:dyDescent="0.25">
      <c r="B5903" s="463"/>
      <c r="C5903" s="463"/>
    </row>
    <row r="5904" spans="2:3" x14ac:dyDescent="0.25">
      <c r="B5904" s="463"/>
      <c r="C5904" s="463"/>
    </row>
    <row r="5905" spans="2:3" x14ac:dyDescent="0.25">
      <c r="B5905" s="463"/>
      <c r="C5905" s="463"/>
    </row>
    <row r="5906" spans="2:3" x14ac:dyDescent="0.25">
      <c r="B5906" s="463"/>
      <c r="C5906" s="463"/>
    </row>
    <row r="5907" spans="2:3" x14ac:dyDescent="0.25">
      <c r="B5907" s="463"/>
      <c r="C5907" s="463"/>
    </row>
    <row r="5908" spans="2:3" x14ac:dyDescent="0.25">
      <c r="B5908" s="463"/>
      <c r="C5908" s="463"/>
    </row>
    <row r="5909" spans="2:3" x14ac:dyDescent="0.25">
      <c r="B5909" s="463"/>
      <c r="C5909" s="463"/>
    </row>
    <row r="5910" spans="2:3" x14ac:dyDescent="0.25">
      <c r="B5910" s="463"/>
      <c r="C5910" s="463"/>
    </row>
    <row r="5911" spans="2:3" x14ac:dyDescent="0.25">
      <c r="B5911" s="463"/>
      <c r="C5911" s="463"/>
    </row>
    <row r="5912" spans="2:3" x14ac:dyDescent="0.25">
      <c r="B5912" s="463"/>
      <c r="C5912" s="463"/>
    </row>
    <row r="5913" spans="2:3" x14ac:dyDescent="0.25">
      <c r="B5913" s="463"/>
      <c r="C5913" s="463"/>
    </row>
    <row r="5914" spans="2:3" x14ac:dyDescent="0.25">
      <c r="B5914" s="463"/>
      <c r="C5914" s="463"/>
    </row>
    <row r="5915" spans="2:3" x14ac:dyDescent="0.25">
      <c r="B5915" s="463"/>
      <c r="C5915" s="463"/>
    </row>
    <row r="5916" spans="2:3" x14ac:dyDescent="0.25">
      <c r="B5916" s="463"/>
      <c r="C5916" s="463"/>
    </row>
    <row r="5917" spans="2:3" x14ac:dyDescent="0.25">
      <c r="B5917" s="463"/>
      <c r="C5917" s="463"/>
    </row>
    <row r="5918" spans="2:3" x14ac:dyDescent="0.25">
      <c r="B5918" s="463"/>
      <c r="C5918" s="463"/>
    </row>
    <row r="5919" spans="2:3" x14ac:dyDescent="0.25">
      <c r="B5919" s="463"/>
      <c r="C5919" s="463"/>
    </row>
    <row r="5920" spans="2:3" x14ac:dyDescent="0.25">
      <c r="B5920" s="463"/>
      <c r="C5920" s="463"/>
    </row>
    <row r="5921" spans="2:3" x14ac:dyDescent="0.25">
      <c r="B5921" s="463"/>
      <c r="C5921" s="463"/>
    </row>
    <row r="5922" spans="2:3" x14ac:dyDescent="0.25">
      <c r="B5922" s="463"/>
      <c r="C5922" s="463"/>
    </row>
    <row r="5923" spans="2:3" x14ac:dyDescent="0.25">
      <c r="B5923" s="463"/>
      <c r="C5923" s="463"/>
    </row>
    <row r="5924" spans="2:3" x14ac:dyDescent="0.25">
      <c r="B5924" s="463"/>
      <c r="C5924" s="463"/>
    </row>
    <row r="5925" spans="2:3" x14ac:dyDescent="0.25">
      <c r="B5925" s="463"/>
      <c r="C5925" s="463"/>
    </row>
    <row r="5926" spans="2:3" x14ac:dyDescent="0.25">
      <c r="B5926" s="463"/>
      <c r="C5926" s="463"/>
    </row>
    <row r="5927" spans="2:3" x14ac:dyDescent="0.25">
      <c r="B5927" s="463"/>
      <c r="C5927" s="463"/>
    </row>
    <row r="5928" spans="2:3" x14ac:dyDescent="0.25">
      <c r="B5928" s="463"/>
      <c r="C5928" s="463"/>
    </row>
    <row r="5929" spans="2:3" x14ac:dyDescent="0.25">
      <c r="B5929" s="463"/>
      <c r="C5929" s="463"/>
    </row>
    <row r="5930" spans="2:3" x14ac:dyDescent="0.25">
      <c r="B5930" s="463"/>
      <c r="C5930" s="463"/>
    </row>
    <row r="5931" spans="2:3" x14ac:dyDescent="0.25">
      <c r="B5931" s="463"/>
      <c r="C5931" s="463"/>
    </row>
    <row r="5932" spans="2:3" x14ac:dyDescent="0.25">
      <c r="B5932" s="463"/>
      <c r="C5932" s="463"/>
    </row>
    <row r="5933" spans="2:3" x14ac:dyDescent="0.25">
      <c r="B5933" s="463"/>
      <c r="C5933" s="463"/>
    </row>
    <row r="5934" spans="2:3" x14ac:dyDescent="0.25">
      <c r="B5934" s="463"/>
      <c r="C5934" s="463"/>
    </row>
    <row r="5935" spans="2:3" x14ac:dyDescent="0.25">
      <c r="B5935" s="463"/>
      <c r="C5935" s="463"/>
    </row>
    <row r="5936" spans="2:3" x14ac:dyDescent="0.25">
      <c r="B5936" s="463"/>
      <c r="C5936" s="463"/>
    </row>
    <row r="5937" spans="2:3" x14ac:dyDescent="0.25">
      <c r="B5937" s="463"/>
      <c r="C5937" s="463"/>
    </row>
    <row r="5938" spans="2:3" x14ac:dyDescent="0.25">
      <c r="B5938" s="463"/>
      <c r="C5938" s="463"/>
    </row>
    <row r="5939" spans="2:3" x14ac:dyDescent="0.25">
      <c r="B5939" s="463"/>
      <c r="C5939" s="463"/>
    </row>
    <row r="5940" spans="2:3" x14ac:dyDescent="0.25">
      <c r="B5940" s="463"/>
      <c r="C5940" s="463"/>
    </row>
    <row r="5941" spans="2:3" x14ac:dyDescent="0.25">
      <c r="B5941" s="463"/>
      <c r="C5941" s="463"/>
    </row>
    <row r="5942" spans="2:3" x14ac:dyDescent="0.25">
      <c r="B5942" s="463"/>
      <c r="C5942" s="463"/>
    </row>
    <row r="5943" spans="2:3" x14ac:dyDescent="0.25">
      <c r="B5943" s="463"/>
      <c r="C5943" s="463"/>
    </row>
    <row r="5944" spans="2:3" x14ac:dyDescent="0.25">
      <c r="B5944" s="463"/>
      <c r="C5944" s="463"/>
    </row>
    <row r="5945" spans="2:3" x14ac:dyDescent="0.25">
      <c r="B5945" s="463"/>
      <c r="C5945" s="463"/>
    </row>
    <row r="5946" spans="2:3" x14ac:dyDescent="0.25">
      <c r="B5946" s="463"/>
      <c r="C5946" s="463"/>
    </row>
    <row r="5947" spans="2:3" x14ac:dyDescent="0.25">
      <c r="B5947" s="463"/>
      <c r="C5947" s="463"/>
    </row>
    <row r="5948" spans="2:3" x14ac:dyDescent="0.25">
      <c r="B5948" s="463"/>
      <c r="C5948" s="463"/>
    </row>
    <row r="5949" spans="2:3" x14ac:dyDescent="0.25">
      <c r="B5949" s="463"/>
      <c r="C5949" s="463"/>
    </row>
    <row r="5950" spans="2:3" x14ac:dyDescent="0.25">
      <c r="B5950" s="463"/>
      <c r="C5950" s="463"/>
    </row>
    <row r="5951" spans="2:3" x14ac:dyDescent="0.25">
      <c r="B5951" s="463"/>
      <c r="C5951" s="463"/>
    </row>
    <row r="5952" spans="2:3" x14ac:dyDescent="0.25">
      <c r="B5952" s="463"/>
      <c r="C5952" s="463"/>
    </row>
    <row r="5953" spans="2:3" x14ac:dyDescent="0.25">
      <c r="B5953" s="463"/>
      <c r="C5953" s="463"/>
    </row>
    <row r="5954" spans="2:3" x14ac:dyDescent="0.25">
      <c r="B5954" s="463"/>
      <c r="C5954" s="463"/>
    </row>
    <row r="5955" spans="2:3" x14ac:dyDescent="0.25">
      <c r="B5955" s="463"/>
      <c r="C5955" s="463"/>
    </row>
    <row r="5956" spans="2:3" x14ac:dyDescent="0.25">
      <c r="B5956" s="463"/>
      <c r="C5956" s="463"/>
    </row>
    <row r="5957" spans="2:3" x14ac:dyDescent="0.25">
      <c r="B5957" s="463"/>
      <c r="C5957" s="463"/>
    </row>
    <row r="5958" spans="2:3" x14ac:dyDescent="0.25">
      <c r="B5958" s="463"/>
      <c r="C5958" s="463"/>
    </row>
    <row r="5959" spans="2:3" x14ac:dyDescent="0.25">
      <c r="B5959" s="463"/>
      <c r="C5959" s="463"/>
    </row>
    <row r="5960" spans="2:3" x14ac:dyDescent="0.25">
      <c r="B5960" s="463"/>
      <c r="C5960" s="463"/>
    </row>
    <row r="5961" spans="2:3" x14ac:dyDescent="0.25">
      <c r="B5961" s="463"/>
      <c r="C5961" s="463"/>
    </row>
    <row r="5962" spans="2:3" x14ac:dyDescent="0.25">
      <c r="B5962" s="463"/>
      <c r="C5962" s="463"/>
    </row>
    <row r="5963" spans="2:3" x14ac:dyDescent="0.25">
      <c r="B5963" s="463"/>
      <c r="C5963" s="463"/>
    </row>
    <row r="5964" spans="2:3" x14ac:dyDescent="0.25">
      <c r="B5964" s="463"/>
      <c r="C5964" s="463"/>
    </row>
    <row r="5965" spans="2:3" x14ac:dyDescent="0.25">
      <c r="B5965" s="463"/>
      <c r="C5965" s="463"/>
    </row>
    <row r="5966" spans="2:3" x14ac:dyDescent="0.25">
      <c r="B5966" s="463"/>
      <c r="C5966" s="463"/>
    </row>
    <row r="5967" spans="2:3" x14ac:dyDescent="0.25">
      <c r="B5967" s="463"/>
      <c r="C5967" s="463"/>
    </row>
    <row r="5968" spans="2:3" x14ac:dyDescent="0.25">
      <c r="B5968" s="463"/>
      <c r="C5968" s="463"/>
    </row>
    <row r="5969" spans="2:3" x14ac:dyDescent="0.25">
      <c r="B5969" s="463"/>
      <c r="C5969" s="463"/>
    </row>
    <row r="5970" spans="2:3" x14ac:dyDescent="0.25">
      <c r="B5970" s="463"/>
      <c r="C5970" s="463"/>
    </row>
    <row r="5971" spans="2:3" x14ac:dyDescent="0.25">
      <c r="B5971" s="463"/>
      <c r="C5971" s="463"/>
    </row>
    <row r="5972" spans="2:3" x14ac:dyDescent="0.25">
      <c r="B5972" s="463"/>
      <c r="C5972" s="463"/>
    </row>
    <row r="5973" spans="2:3" x14ac:dyDescent="0.25">
      <c r="B5973" s="463"/>
      <c r="C5973" s="463"/>
    </row>
    <row r="5974" spans="2:3" x14ac:dyDescent="0.25">
      <c r="B5974" s="463"/>
      <c r="C5974" s="463"/>
    </row>
    <row r="5975" spans="2:3" x14ac:dyDescent="0.25">
      <c r="B5975" s="463"/>
      <c r="C5975" s="463"/>
    </row>
    <row r="5976" spans="2:3" x14ac:dyDescent="0.25">
      <c r="B5976" s="463"/>
      <c r="C5976" s="463"/>
    </row>
    <row r="5977" spans="2:3" x14ac:dyDescent="0.25">
      <c r="B5977" s="463"/>
      <c r="C5977" s="463"/>
    </row>
    <row r="5978" spans="2:3" x14ac:dyDescent="0.25">
      <c r="B5978" s="463"/>
      <c r="C5978" s="463"/>
    </row>
    <row r="5979" spans="2:3" x14ac:dyDescent="0.25">
      <c r="B5979" s="463"/>
      <c r="C5979" s="463"/>
    </row>
    <row r="5980" spans="2:3" x14ac:dyDescent="0.25">
      <c r="B5980" s="463"/>
      <c r="C5980" s="463"/>
    </row>
    <row r="5981" spans="2:3" x14ac:dyDescent="0.25">
      <c r="B5981" s="463"/>
      <c r="C5981" s="463"/>
    </row>
    <row r="5982" spans="2:3" x14ac:dyDescent="0.25">
      <c r="B5982" s="463"/>
      <c r="C5982" s="463"/>
    </row>
    <row r="5983" spans="2:3" x14ac:dyDescent="0.25">
      <c r="B5983" s="463"/>
      <c r="C5983" s="463"/>
    </row>
    <row r="5984" spans="2:3" x14ac:dyDescent="0.25">
      <c r="B5984" s="463"/>
      <c r="C5984" s="463"/>
    </row>
    <row r="5985" spans="2:3" x14ac:dyDescent="0.25">
      <c r="B5985" s="463"/>
      <c r="C5985" s="463"/>
    </row>
    <row r="5986" spans="2:3" x14ac:dyDescent="0.25">
      <c r="B5986" s="463"/>
      <c r="C5986" s="463"/>
    </row>
    <row r="5987" spans="2:3" x14ac:dyDescent="0.25">
      <c r="B5987" s="463"/>
      <c r="C5987" s="463"/>
    </row>
    <row r="5988" spans="2:3" x14ac:dyDescent="0.25">
      <c r="B5988" s="463"/>
      <c r="C5988" s="463"/>
    </row>
    <row r="5989" spans="2:3" x14ac:dyDescent="0.25">
      <c r="B5989" s="463"/>
      <c r="C5989" s="463"/>
    </row>
    <row r="5990" spans="2:3" x14ac:dyDescent="0.25">
      <c r="B5990" s="463"/>
      <c r="C5990" s="463"/>
    </row>
    <row r="5991" spans="2:3" x14ac:dyDescent="0.25">
      <c r="B5991" s="463"/>
      <c r="C5991" s="463"/>
    </row>
    <row r="5992" spans="2:3" x14ac:dyDescent="0.25">
      <c r="B5992" s="463"/>
      <c r="C5992" s="463"/>
    </row>
    <row r="5993" spans="2:3" x14ac:dyDescent="0.25">
      <c r="B5993" s="463"/>
      <c r="C5993" s="463"/>
    </row>
    <row r="5994" spans="2:3" x14ac:dyDescent="0.25">
      <c r="B5994" s="463"/>
      <c r="C5994" s="463"/>
    </row>
    <row r="5995" spans="2:3" x14ac:dyDescent="0.25">
      <c r="B5995" s="463"/>
      <c r="C5995" s="463"/>
    </row>
    <row r="5996" spans="2:3" x14ac:dyDescent="0.25">
      <c r="B5996" s="463"/>
      <c r="C5996" s="463"/>
    </row>
    <row r="5997" spans="2:3" x14ac:dyDescent="0.25">
      <c r="B5997" s="463"/>
      <c r="C5997" s="463"/>
    </row>
    <row r="5998" spans="2:3" x14ac:dyDescent="0.25">
      <c r="B5998" s="463"/>
      <c r="C5998" s="463"/>
    </row>
    <row r="5999" spans="2:3" x14ac:dyDescent="0.25">
      <c r="B5999" s="463"/>
      <c r="C5999" s="463"/>
    </row>
    <row r="6000" spans="2:3" x14ac:dyDescent="0.25">
      <c r="B6000" s="463"/>
      <c r="C6000" s="463"/>
    </row>
    <row r="6001" spans="2:3" x14ac:dyDescent="0.25">
      <c r="B6001" s="463"/>
      <c r="C6001" s="463"/>
    </row>
    <row r="6002" spans="2:3" x14ac:dyDescent="0.25">
      <c r="B6002" s="463"/>
      <c r="C6002" s="463"/>
    </row>
    <row r="6003" spans="2:3" x14ac:dyDescent="0.25">
      <c r="B6003" s="463"/>
      <c r="C6003" s="463"/>
    </row>
    <row r="6004" spans="2:3" x14ac:dyDescent="0.25">
      <c r="B6004" s="463"/>
      <c r="C6004" s="463"/>
    </row>
    <row r="6005" spans="2:3" x14ac:dyDescent="0.25">
      <c r="B6005" s="463"/>
      <c r="C6005" s="463"/>
    </row>
    <row r="6006" spans="2:3" x14ac:dyDescent="0.25">
      <c r="B6006" s="463"/>
      <c r="C6006" s="463"/>
    </row>
    <row r="6007" spans="2:3" x14ac:dyDescent="0.25">
      <c r="B6007" s="463"/>
      <c r="C6007" s="463"/>
    </row>
    <row r="6008" spans="2:3" x14ac:dyDescent="0.25">
      <c r="B6008" s="463"/>
      <c r="C6008" s="463"/>
    </row>
    <row r="6009" spans="2:3" x14ac:dyDescent="0.25">
      <c r="B6009" s="463"/>
      <c r="C6009" s="463"/>
    </row>
    <row r="6010" spans="2:3" x14ac:dyDescent="0.25">
      <c r="B6010" s="463"/>
      <c r="C6010" s="463"/>
    </row>
    <row r="6011" spans="2:3" x14ac:dyDescent="0.25">
      <c r="B6011" s="463"/>
      <c r="C6011" s="463"/>
    </row>
    <row r="6012" spans="2:3" x14ac:dyDescent="0.25">
      <c r="B6012" s="463"/>
      <c r="C6012" s="463"/>
    </row>
    <row r="6013" spans="2:3" x14ac:dyDescent="0.25">
      <c r="B6013" s="463"/>
      <c r="C6013" s="463"/>
    </row>
    <row r="6014" spans="2:3" x14ac:dyDescent="0.25">
      <c r="B6014" s="463"/>
      <c r="C6014" s="463"/>
    </row>
    <row r="6015" spans="2:3" x14ac:dyDescent="0.25">
      <c r="B6015" s="463"/>
      <c r="C6015" s="463"/>
    </row>
    <row r="6016" spans="2:3" x14ac:dyDescent="0.25">
      <c r="B6016" s="463"/>
      <c r="C6016" s="463"/>
    </row>
    <row r="6017" spans="2:3" x14ac:dyDescent="0.25">
      <c r="B6017" s="463"/>
      <c r="C6017" s="463"/>
    </row>
    <row r="6018" spans="2:3" x14ac:dyDescent="0.25">
      <c r="B6018" s="463"/>
      <c r="C6018" s="463"/>
    </row>
    <row r="6019" spans="2:3" x14ac:dyDescent="0.25">
      <c r="B6019" s="463"/>
      <c r="C6019" s="463"/>
    </row>
    <row r="6020" spans="2:3" x14ac:dyDescent="0.25">
      <c r="B6020" s="463"/>
      <c r="C6020" s="463"/>
    </row>
    <row r="6021" spans="2:3" x14ac:dyDescent="0.25">
      <c r="B6021" s="463"/>
      <c r="C6021" s="463"/>
    </row>
    <row r="6022" spans="2:3" x14ac:dyDescent="0.25">
      <c r="B6022" s="463"/>
      <c r="C6022" s="463"/>
    </row>
    <row r="6023" spans="2:3" x14ac:dyDescent="0.25">
      <c r="B6023" s="463"/>
      <c r="C6023" s="463"/>
    </row>
    <row r="6024" spans="2:3" x14ac:dyDescent="0.25">
      <c r="B6024" s="463"/>
      <c r="C6024" s="463"/>
    </row>
    <row r="6025" spans="2:3" x14ac:dyDescent="0.25">
      <c r="B6025" s="463"/>
      <c r="C6025" s="463"/>
    </row>
    <row r="6026" spans="2:3" x14ac:dyDescent="0.25">
      <c r="B6026" s="463"/>
      <c r="C6026" s="463"/>
    </row>
    <row r="6027" spans="2:3" x14ac:dyDescent="0.25">
      <c r="B6027" s="463"/>
      <c r="C6027" s="463"/>
    </row>
    <row r="6028" spans="2:3" x14ac:dyDescent="0.25">
      <c r="B6028" s="463"/>
      <c r="C6028" s="463"/>
    </row>
    <row r="6029" spans="2:3" x14ac:dyDescent="0.25">
      <c r="B6029" s="463"/>
      <c r="C6029" s="463"/>
    </row>
    <row r="6030" spans="2:3" x14ac:dyDescent="0.25">
      <c r="B6030" s="463"/>
      <c r="C6030" s="463"/>
    </row>
    <row r="6031" spans="2:3" x14ac:dyDescent="0.25">
      <c r="B6031" s="463"/>
      <c r="C6031" s="463"/>
    </row>
    <row r="6032" spans="2:3" x14ac:dyDescent="0.25">
      <c r="B6032" s="463"/>
      <c r="C6032" s="463"/>
    </row>
    <row r="6033" spans="2:3" x14ac:dyDescent="0.25">
      <c r="B6033" s="463"/>
      <c r="C6033" s="463"/>
    </row>
    <row r="6034" spans="2:3" x14ac:dyDescent="0.25">
      <c r="B6034" s="463"/>
      <c r="C6034" s="463"/>
    </row>
    <row r="6035" spans="2:3" x14ac:dyDescent="0.25">
      <c r="B6035" s="463"/>
      <c r="C6035" s="463"/>
    </row>
    <row r="6036" spans="2:3" x14ac:dyDescent="0.25">
      <c r="B6036" s="463"/>
      <c r="C6036" s="463"/>
    </row>
    <row r="6037" spans="2:3" x14ac:dyDescent="0.25">
      <c r="B6037" s="463"/>
      <c r="C6037" s="463"/>
    </row>
    <row r="6038" spans="2:3" x14ac:dyDescent="0.25">
      <c r="B6038" s="463"/>
      <c r="C6038" s="463"/>
    </row>
    <row r="6039" spans="2:3" x14ac:dyDescent="0.25">
      <c r="B6039" s="463"/>
      <c r="C6039" s="463"/>
    </row>
    <row r="6040" spans="2:3" x14ac:dyDescent="0.25">
      <c r="B6040" s="463"/>
      <c r="C6040" s="463"/>
    </row>
    <row r="6041" spans="2:3" x14ac:dyDescent="0.25">
      <c r="B6041" s="463"/>
      <c r="C6041" s="463"/>
    </row>
    <row r="6042" spans="2:3" x14ac:dyDescent="0.25">
      <c r="B6042" s="463"/>
      <c r="C6042" s="463"/>
    </row>
    <row r="6043" spans="2:3" x14ac:dyDescent="0.25">
      <c r="B6043" s="463"/>
      <c r="C6043" s="463"/>
    </row>
    <row r="6044" spans="2:3" x14ac:dyDescent="0.25">
      <c r="B6044" s="463"/>
      <c r="C6044" s="463"/>
    </row>
    <row r="6045" spans="2:3" x14ac:dyDescent="0.25">
      <c r="B6045" s="463"/>
      <c r="C6045" s="463"/>
    </row>
    <row r="6046" spans="2:3" x14ac:dyDescent="0.25">
      <c r="B6046" s="463"/>
      <c r="C6046" s="463"/>
    </row>
    <row r="6047" spans="2:3" x14ac:dyDescent="0.25">
      <c r="B6047" s="463"/>
      <c r="C6047" s="463"/>
    </row>
    <row r="6048" spans="2:3" x14ac:dyDescent="0.25">
      <c r="B6048" s="463"/>
      <c r="C6048" s="463"/>
    </row>
    <row r="6049" spans="2:3" x14ac:dyDescent="0.25">
      <c r="B6049" s="463"/>
      <c r="C6049" s="463"/>
    </row>
    <row r="6050" spans="2:3" x14ac:dyDescent="0.25">
      <c r="B6050" s="463"/>
      <c r="C6050" s="463"/>
    </row>
    <row r="6051" spans="2:3" x14ac:dyDescent="0.25">
      <c r="B6051" s="463"/>
      <c r="C6051" s="463"/>
    </row>
    <row r="6052" spans="2:3" x14ac:dyDescent="0.25">
      <c r="B6052" s="463"/>
      <c r="C6052" s="463"/>
    </row>
    <row r="6053" spans="2:3" x14ac:dyDescent="0.25">
      <c r="B6053" s="463"/>
      <c r="C6053" s="463"/>
    </row>
    <row r="6054" spans="2:3" x14ac:dyDescent="0.25">
      <c r="B6054" s="463"/>
      <c r="C6054" s="463"/>
    </row>
    <row r="6055" spans="2:3" x14ac:dyDescent="0.25">
      <c r="B6055" s="463"/>
      <c r="C6055" s="463"/>
    </row>
    <row r="6056" spans="2:3" x14ac:dyDescent="0.25">
      <c r="B6056" s="463"/>
      <c r="C6056" s="463"/>
    </row>
    <row r="6057" spans="2:3" x14ac:dyDescent="0.25">
      <c r="B6057" s="463"/>
      <c r="C6057" s="463"/>
    </row>
    <row r="6058" spans="2:3" x14ac:dyDescent="0.25">
      <c r="B6058" s="463"/>
      <c r="C6058" s="463"/>
    </row>
    <row r="6059" spans="2:3" x14ac:dyDescent="0.25">
      <c r="B6059" s="463"/>
      <c r="C6059" s="463"/>
    </row>
    <row r="6060" spans="2:3" x14ac:dyDescent="0.25">
      <c r="B6060" s="463"/>
      <c r="C6060" s="463"/>
    </row>
    <row r="6061" spans="2:3" x14ac:dyDescent="0.25">
      <c r="B6061" s="463"/>
      <c r="C6061" s="463"/>
    </row>
    <row r="6062" spans="2:3" x14ac:dyDescent="0.25">
      <c r="B6062" s="463"/>
      <c r="C6062" s="463"/>
    </row>
    <row r="6063" spans="2:3" x14ac:dyDescent="0.25">
      <c r="B6063" s="463"/>
      <c r="C6063" s="463"/>
    </row>
    <row r="6064" spans="2:3" x14ac:dyDescent="0.25">
      <c r="B6064" s="463"/>
      <c r="C6064" s="463"/>
    </row>
    <row r="6065" spans="2:3" x14ac:dyDescent="0.25">
      <c r="B6065" s="463"/>
      <c r="C6065" s="463"/>
    </row>
    <row r="6066" spans="2:3" x14ac:dyDescent="0.25">
      <c r="B6066" s="463"/>
      <c r="C6066" s="463"/>
    </row>
    <row r="6067" spans="2:3" x14ac:dyDescent="0.25">
      <c r="B6067" s="463"/>
      <c r="C6067" s="463"/>
    </row>
    <row r="6068" spans="2:3" x14ac:dyDescent="0.25">
      <c r="B6068" s="463"/>
      <c r="C6068" s="463"/>
    </row>
    <row r="6069" spans="2:3" x14ac:dyDescent="0.25">
      <c r="B6069" s="463"/>
      <c r="C6069" s="463"/>
    </row>
    <row r="6070" spans="2:3" x14ac:dyDescent="0.25">
      <c r="B6070" s="463"/>
      <c r="C6070" s="463"/>
    </row>
    <row r="6071" spans="2:3" x14ac:dyDescent="0.25">
      <c r="B6071" s="463"/>
      <c r="C6071" s="463"/>
    </row>
    <row r="6072" spans="2:3" x14ac:dyDescent="0.25">
      <c r="B6072" s="463"/>
      <c r="C6072" s="463"/>
    </row>
    <row r="6073" spans="2:3" x14ac:dyDescent="0.25">
      <c r="B6073" s="463"/>
      <c r="C6073" s="463"/>
    </row>
    <row r="6074" spans="2:3" x14ac:dyDescent="0.25">
      <c r="B6074" s="463"/>
      <c r="C6074" s="463"/>
    </row>
    <row r="6075" spans="2:3" x14ac:dyDescent="0.25">
      <c r="B6075" s="463"/>
      <c r="C6075" s="463"/>
    </row>
    <row r="6076" spans="2:3" x14ac:dyDescent="0.25">
      <c r="B6076" s="463"/>
      <c r="C6076" s="463"/>
    </row>
    <row r="6077" spans="2:3" x14ac:dyDescent="0.25">
      <c r="B6077" s="463"/>
      <c r="C6077" s="463"/>
    </row>
    <row r="6078" spans="2:3" x14ac:dyDescent="0.25">
      <c r="B6078" s="463"/>
      <c r="C6078" s="463"/>
    </row>
    <row r="6079" spans="2:3" x14ac:dyDescent="0.25">
      <c r="B6079" s="463"/>
      <c r="C6079" s="463"/>
    </row>
    <row r="6080" spans="2:3" x14ac:dyDescent="0.25">
      <c r="B6080" s="463"/>
      <c r="C6080" s="463"/>
    </row>
    <row r="6081" spans="2:3" x14ac:dyDescent="0.25">
      <c r="B6081" s="463"/>
      <c r="C6081" s="463"/>
    </row>
    <row r="6082" spans="2:3" x14ac:dyDescent="0.25">
      <c r="B6082" s="463"/>
      <c r="C6082" s="463"/>
    </row>
    <row r="6083" spans="2:3" x14ac:dyDescent="0.25">
      <c r="B6083" s="463"/>
      <c r="C6083" s="463"/>
    </row>
    <row r="6084" spans="2:3" x14ac:dyDescent="0.25">
      <c r="B6084" s="463"/>
      <c r="C6084" s="463"/>
    </row>
    <row r="6085" spans="2:3" x14ac:dyDescent="0.25">
      <c r="B6085" s="463"/>
      <c r="C6085" s="463"/>
    </row>
    <row r="6086" spans="2:3" x14ac:dyDescent="0.25">
      <c r="B6086" s="463"/>
      <c r="C6086" s="463"/>
    </row>
    <row r="6087" spans="2:3" x14ac:dyDescent="0.25">
      <c r="B6087" s="463"/>
      <c r="C6087" s="463"/>
    </row>
    <row r="6088" spans="2:3" x14ac:dyDescent="0.25">
      <c r="B6088" s="463"/>
      <c r="C6088" s="463"/>
    </row>
    <row r="6089" spans="2:3" x14ac:dyDescent="0.25">
      <c r="B6089" s="463"/>
      <c r="C6089" s="463"/>
    </row>
    <row r="6090" spans="2:3" x14ac:dyDescent="0.25">
      <c r="B6090" s="463"/>
      <c r="C6090" s="463"/>
    </row>
    <row r="6091" spans="2:3" x14ac:dyDescent="0.25">
      <c r="B6091" s="463"/>
      <c r="C6091" s="463"/>
    </row>
    <row r="6092" spans="2:3" x14ac:dyDescent="0.25">
      <c r="B6092" s="463"/>
      <c r="C6092" s="463"/>
    </row>
    <row r="6093" spans="2:3" x14ac:dyDescent="0.25">
      <c r="B6093" s="463"/>
      <c r="C6093" s="463"/>
    </row>
    <row r="6094" spans="2:3" x14ac:dyDescent="0.25">
      <c r="B6094" s="463"/>
      <c r="C6094" s="463"/>
    </row>
    <row r="6095" spans="2:3" x14ac:dyDescent="0.25">
      <c r="B6095" s="463"/>
      <c r="C6095" s="463"/>
    </row>
    <row r="6096" spans="2:3" x14ac:dyDescent="0.25">
      <c r="B6096" s="463"/>
      <c r="C6096" s="463"/>
    </row>
    <row r="6097" spans="2:3" x14ac:dyDescent="0.25">
      <c r="B6097" s="463"/>
      <c r="C6097" s="463"/>
    </row>
    <row r="6098" spans="2:3" x14ac:dyDescent="0.25">
      <c r="B6098" s="463"/>
      <c r="C6098" s="463"/>
    </row>
    <row r="6099" spans="2:3" x14ac:dyDescent="0.25">
      <c r="B6099" s="463"/>
      <c r="C6099" s="463"/>
    </row>
    <row r="6100" spans="2:3" x14ac:dyDescent="0.25">
      <c r="B6100" s="463"/>
      <c r="C6100" s="463"/>
    </row>
    <row r="6101" spans="2:3" x14ac:dyDescent="0.25">
      <c r="B6101" s="463"/>
      <c r="C6101" s="463"/>
    </row>
    <row r="6102" spans="2:3" x14ac:dyDescent="0.25">
      <c r="B6102" s="463"/>
      <c r="C6102" s="463"/>
    </row>
    <row r="6103" spans="2:3" x14ac:dyDescent="0.25">
      <c r="B6103" s="463"/>
      <c r="C6103" s="463"/>
    </row>
    <row r="6104" spans="2:3" x14ac:dyDescent="0.25">
      <c r="B6104" s="463"/>
      <c r="C6104" s="463"/>
    </row>
    <row r="6105" spans="2:3" x14ac:dyDescent="0.25">
      <c r="B6105" s="463"/>
      <c r="C6105" s="463"/>
    </row>
    <row r="6106" spans="2:3" x14ac:dyDescent="0.25">
      <c r="B6106" s="463"/>
      <c r="C6106" s="463"/>
    </row>
    <row r="6107" spans="2:3" x14ac:dyDescent="0.25">
      <c r="B6107" s="463"/>
      <c r="C6107" s="463"/>
    </row>
    <row r="6108" spans="2:3" x14ac:dyDescent="0.25">
      <c r="B6108" s="463"/>
      <c r="C6108" s="463"/>
    </row>
    <row r="6109" spans="2:3" x14ac:dyDescent="0.25">
      <c r="B6109" s="463"/>
      <c r="C6109" s="463"/>
    </row>
    <row r="6110" spans="2:3" x14ac:dyDescent="0.25">
      <c r="B6110" s="463"/>
      <c r="C6110" s="463"/>
    </row>
    <row r="6111" spans="2:3" x14ac:dyDescent="0.25">
      <c r="B6111" s="463"/>
      <c r="C6111" s="463"/>
    </row>
    <row r="6112" spans="2:3" x14ac:dyDescent="0.25">
      <c r="B6112" s="463"/>
      <c r="C6112" s="463"/>
    </row>
    <row r="6113" spans="2:3" x14ac:dyDescent="0.25">
      <c r="B6113" s="463"/>
      <c r="C6113" s="463"/>
    </row>
    <row r="6114" spans="2:3" x14ac:dyDescent="0.25">
      <c r="B6114" s="463"/>
      <c r="C6114" s="463"/>
    </row>
    <row r="6115" spans="2:3" x14ac:dyDescent="0.25">
      <c r="B6115" s="463"/>
      <c r="C6115" s="463"/>
    </row>
    <row r="6116" spans="2:3" x14ac:dyDescent="0.25">
      <c r="B6116" s="463"/>
      <c r="C6116" s="463"/>
    </row>
    <row r="6117" spans="2:3" x14ac:dyDescent="0.25">
      <c r="B6117" s="463"/>
      <c r="C6117" s="463"/>
    </row>
    <row r="6118" spans="2:3" x14ac:dyDescent="0.25">
      <c r="B6118" s="463"/>
      <c r="C6118" s="463"/>
    </row>
    <row r="6119" spans="2:3" x14ac:dyDescent="0.25">
      <c r="B6119" s="463"/>
      <c r="C6119" s="463"/>
    </row>
    <row r="6120" spans="2:3" x14ac:dyDescent="0.25">
      <c r="B6120" s="463"/>
      <c r="C6120" s="463"/>
    </row>
    <row r="6121" spans="2:3" x14ac:dyDescent="0.25">
      <c r="B6121" s="463"/>
      <c r="C6121" s="463"/>
    </row>
    <row r="6122" spans="2:3" x14ac:dyDescent="0.25">
      <c r="B6122" s="463"/>
      <c r="C6122" s="463"/>
    </row>
    <row r="6123" spans="2:3" x14ac:dyDescent="0.25">
      <c r="B6123" s="463"/>
      <c r="C6123" s="463"/>
    </row>
    <row r="6124" spans="2:3" x14ac:dyDescent="0.25">
      <c r="B6124" s="463"/>
      <c r="C6124" s="463"/>
    </row>
    <row r="6125" spans="2:3" x14ac:dyDescent="0.25">
      <c r="B6125" s="463"/>
      <c r="C6125" s="463"/>
    </row>
    <row r="6126" spans="2:3" x14ac:dyDescent="0.25">
      <c r="B6126" s="463"/>
      <c r="C6126" s="463"/>
    </row>
    <row r="6127" spans="2:3" x14ac:dyDescent="0.25">
      <c r="B6127" s="463"/>
      <c r="C6127" s="463"/>
    </row>
    <row r="6128" spans="2:3" x14ac:dyDescent="0.25">
      <c r="B6128" s="463"/>
      <c r="C6128" s="463"/>
    </row>
    <row r="6129" spans="2:3" x14ac:dyDescent="0.25">
      <c r="B6129" s="463"/>
      <c r="C6129" s="463"/>
    </row>
    <row r="6130" spans="2:3" x14ac:dyDescent="0.25">
      <c r="B6130" s="463"/>
      <c r="C6130" s="463"/>
    </row>
    <row r="6131" spans="2:3" x14ac:dyDescent="0.25">
      <c r="B6131" s="463"/>
      <c r="C6131" s="463"/>
    </row>
    <row r="6132" spans="2:3" x14ac:dyDescent="0.25">
      <c r="B6132" s="463"/>
      <c r="C6132" s="463"/>
    </row>
    <row r="6133" spans="2:3" x14ac:dyDescent="0.25">
      <c r="B6133" s="463"/>
      <c r="C6133" s="463"/>
    </row>
    <row r="6134" spans="2:3" x14ac:dyDescent="0.25">
      <c r="B6134" s="463"/>
      <c r="C6134" s="463"/>
    </row>
    <row r="6135" spans="2:3" x14ac:dyDescent="0.25">
      <c r="B6135" s="463"/>
      <c r="C6135" s="463"/>
    </row>
    <row r="6136" spans="2:3" x14ac:dyDescent="0.25">
      <c r="B6136" s="463"/>
      <c r="C6136" s="463"/>
    </row>
    <row r="6137" spans="2:3" x14ac:dyDescent="0.25">
      <c r="B6137" s="463"/>
      <c r="C6137" s="463"/>
    </row>
    <row r="6138" spans="2:3" x14ac:dyDescent="0.25">
      <c r="B6138" s="463"/>
      <c r="C6138" s="463"/>
    </row>
    <row r="6139" spans="2:3" x14ac:dyDescent="0.25">
      <c r="B6139" s="463"/>
      <c r="C6139" s="463"/>
    </row>
    <row r="6140" spans="2:3" x14ac:dyDescent="0.25">
      <c r="B6140" s="463"/>
      <c r="C6140" s="463"/>
    </row>
    <row r="6141" spans="2:3" x14ac:dyDescent="0.25">
      <c r="B6141" s="463"/>
      <c r="C6141" s="463"/>
    </row>
    <row r="6142" spans="2:3" x14ac:dyDescent="0.25">
      <c r="B6142" s="463"/>
      <c r="C6142" s="463"/>
    </row>
    <row r="6143" spans="2:3" x14ac:dyDescent="0.25">
      <c r="B6143" s="463"/>
      <c r="C6143" s="463"/>
    </row>
    <row r="6144" spans="2:3" x14ac:dyDescent="0.25">
      <c r="B6144" s="463"/>
      <c r="C6144" s="463"/>
    </row>
    <row r="6145" spans="2:3" x14ac:dyDescent="0.25">
      <c r="B6145" s="463"/>
      <c r="C6145" s="463"/>
    </row>
    <row r="6146" spans="2:3" x14ac:dyDescent="0.25">
      <c r="B6146" s="463"/>
      <c r="C6146" s="463"/>
    </row>
    <row r="6147" spans="2:3" x14ac:dyDescent="0.25">
      <c r="B6147" s="463"/>
      <c r="C6147" s="463"/>
    </row>
    <row r="6148" spans="2:3" x14ac:dyDescent="0.25">
      <c r="B6148" s="463"/>
      <c r="C6148" s="463"/>
    </row>
    <row r="6149" spans="2:3" x14ac:dyDescent="0.25">
      <c r="B6149" s="463"/>
      <c r="C6149" s="463"/>
    </row>
    <row r="6150" spans="2:3" x14ac:dyDescent="0.25">
      <c r="B6150" s="463"/>
      <c r="C6150" s="463"/>
    </row>
    <row r="6151" spans="2:3" x14ac:dyDescent="0.25">
      <c r="B6151" s="463"/>
      <c r="C6151" s="463"/>
    </row>
    <row r="6152" spans="2:3" x14ac:dyDescent="0.25">
      <c r="B6152" s="463"/>
      <c r="C6152" s="463"/>
    </row>
    <row r="6153" spans="2:3" x14ac:dyDescent="0.25">
      <c r="B6153" s="463"/>
      <c r="C6153" s="463"/>
    </row>
    <row r="6154" spans="2:3" x14ac:dyDescent="0.25">
      <c r="B6154" s="463"/>
      <c r="C6154" s="463"/>
    </row>
    <row r="6155" spans="2:3" x14ac:dyDescent="0.25">
      <c r="B6155" s="463"/>
      <c r="C6155" s="463"/>
    </row>
    <row r="6156" spans="2:3" x14ac:dyDescent="0.25">
      <c r="B6156" s="463"/>
      <c r="C6156" s="463"/>
    </row>
    <row r="6157" spans="2:3" x14ac:dyDescent="0.25">
      <c r="B6157" s="463"/>
      <c r="C6157" s="463"/>
    </row>
    <row r="6158" spans="2:3" x14ac:dyDescent="0.25">
      <c r="B6158" s="463"/>
      <c r="C6158" s="463"/>
    </row>
    <row r="6159" spans="2:3" x14ac:dyDescent="0.25">
      <c r="B6159" s="463"/>
      <c r="C6159" s="463"/>
    </row>
    <row r="6160" spans="2:3" x14ac:dyDescent="0.25">
      <c r="B6160" s="463"/>
      <c r="C6160" s="463"/>
    </row>
    <row r="6161" spans="2:3" x14ac:dyDescent="0.25">
      <c r="B6161" s="463"/>
      <c r="C6161" s="463"/>
    </row>
    <row r="6162" spans="2:3" x14ac:dyDescent="0.25">
      <c r="B6162" s="463"/>
      <c r="C6162" s="463"/>
    </row>
    <row r="6163" spans="2:3" x14ac:dyDescent="0.25">
      <c r="B6163" s="463"/>
      <c r="C6163" s="463"/>
    </row>
    <row r="6164" spans="2:3" x14ac:dyDescent="0.25">
      <c r="B6164" s="463"/>
      <c r="C6164" s="463"/>
    </row>
    <row r="6165" spans="2:3" x14ac:dyDescent="0.25">
      <c r="B6165" s="463"/>
      <c r="C6165" s="463"/>
    </row>
    <row r="6166" spans="2:3" x14ac:dyDescent="0.25">
      <c r="B6166" s="463"/>
      <c r="C6166" s="463"/>
    </row>
    <row r="6167" spans="2:3" x14ac:dyDescent="0.25">
      <c r="B6167" s="463"/>
      <c r="C6167" s="463"/>
    </row>
    <row r="6168" spans="2:3" x14ac:dyDescent="0.25">
      <c r="B6168" s="463"/>
      <c r="C6168" s="463"/>
    </row>
    <row r="6169" spans="2:3" x14ac:dyDescent="0.25">
      <c r="B6169" s="463"/>
      <c r="C6169" s="463"/>
    </row>
    <row r="6170" spans="2:3" x14ac:dyDescent="0.25">
      <c r="B6170" s="463"/>
      <c r="C6170" s="463"/>
    </row>
    <row r="6171" spans="2:3" x14ac:dyDescent="0.25">
      <c r="B6171" s="463"/>
      <c r="C6171" s="463"/>
    </row>
    <row r="6172" spans="2:3" x14ac:dyDescent="0.25">
      <c r="B6172" s="463"/>
      <c r="C6172" s="463"/>
    </row>
    <row r="6173" spans="2:3" x14ac:dyDescent="0.25">
      <c r="B6173" s="463"/>
      <c r="C6173" s="463"/>
    </row>
    <row r="6174" spans="2:3" x14ac:dyDescent="0.25">
      <c r="B6174" s="463"/>
      <c r="C6174" s="463"/>
    </row>
    <row r="6175" spans="2:3" x14ac:dyDescent="0.25">
      <c r="B6175" s="463"/>
      <c r="C6175" s="463"/>
    </row>
    <row r="6176" spans="2:3" x14ac:dyDescent="0.25">
      <c r="B6176" s="463"/>
      <c r="C6176" s="463"/>
    </row>
    <row r="6177" spans="2:3" x14ac:dyDescent="0.25">
      <c r="B6177" s="463"/>
      <c r="C6177" s="463"/>
    </row>
    <row r="6178" spans="2:3" x14ac:dyDescent="0.25">
      <c r="B6178" s="463"/>
      <c r="C6178" s="463"/>
    </row>
    <row r="6179" spans="2:3" x14ac:dyDescent="0.25">
      <c r="B6179" s="463"/>
      <c r="C6179" s="463"/>
    </row>
    <row r="6180" spans="2:3" x14ac:dyDescent="0.25">
      <c r="B6180" s="463"/>
      <c r="C6180" s="463"/>
    </row>
    <row r="6181" spans="2:3" x14ac:dyDescent="0.25">
      <c r="B6181" s="463"/>
      <c r="C6181" s="463"/>
    </row>
    <row r="6182" spans="2:3" x14ac:dyDescent="0.25">
      <c r="B6182" s="463"/>
      <c r="C6182" s="463"/>
    </row>
    <row r="6183" spans="2:3" x14ac:dyDescent="0.25">
      <c r="B6183" s="463"/>
      <c r="C6183" s="463"/>
    </row>
    <row r="6184" spans="2:3" x14ac:dyDescent="0.25">
      <c r="B6184" s="463"/>
      <c r="C6184" s="463"/>
    </row>
    <row r="6185" spans="2:3" x14ac:dyDescent="0.25">
      <c r="B6185" s="463"/>
      <c r="C6185" s="463"/>
    </row>
    <row r="6186" spans="2:3" x14ac:dyDescent="0.25">
      <c r="B6186" s="463"/>
      <c r="C6186" s="463"/>
    </row>
    <row r="6187" spans="2:3" x14ac:dyDescent="0.25">
      <c r="B6187" s="463"/>
      <c r="C6187" s="463"/>
    </row>
    <row r="6188" spans="2:3" x14ac:dyDescent="0.25">
      <c r="B6188" s="463"/>
      <c r="C6188" s="463"/>
    </row>
    <row r="6189" spans="2:3" x14ac:dyDescent="0.25">
      <c r="B6189" s="463"/>
      <c r="C6189" s="463"/>
    </row>
    <row r="6190" spans="2:3" x14ac:dyDescent="0.25">
      <c r="B6190" s="463"/>
      <c r="C6190" s="463"/>
    </row>
    <row r="6191" spans="2:3" x14ac:dyDescent="0.25">
      <c r="B6191" s="463"/>
      <c r="C6191" s="463"/>
    </row>
    <row r="6192" spans="2:3" x14ac:dyDescent="0.25">
      <c r="B6192" s="463"/>
      <c r="C6192" s="463"/>
    </row>
    <row r="6193" spans="2:3" x14ac:dyDescent="0.25">
      <c r="B6193" s="463"/>
      <c r="C6193" s="463"/>
    </row>
    <row r="6194" spans="2:3" x14ac:dyDescent="0.25">
      <c r="B6194" s="463"/>
      <c r="C6194" s="463"/>
    </row>
    <row r="6195" spans="2:3" x14ac:dyDescent="0.25">
      <c r="B6195" s="463"/>
      <c r="C6195" s="463"/>
    </row>
    <row r="6196" spans="2:3" x14ac:dyDescent="0.25">
      <c r="B6196" s="463"/>
      <c r="C6196" s="463"/>
    </row>
    <row r="6197" spans="2:3" x14ac:dyDescent="0.25">
      <c r="B6197" s="463"/>
      <c r="C6197" s="463"/>
    </row>
    <row r="6198" spans="2:3" x14ac:dyDescent="0.25">
      <c r="B6198" s="463"/>
      <c r="C6198" s="463"/>
    </row>
    <row r="6199" spans="2:3" x14ac:dyDescent="0.25">
      <c r="B6199" s="463"/>
      <c r="C6199" s="463"/>
    </row>
    <row r="6200" spans="2:3" x14ac:dyDescent="0.25">
      <c r="B6200" s="463"/>
      <c r="C6200" s="463"/>
    </row>
    <row r="6201" spans="2:3" x14ac:dyDescent="0.25">
      <c r="B6201" s="463"/>
      <c r="C6201" s="463"/>
    </row>
    <row r="6202" spans="2:3" x14ac:dyDescent="0.25">
      <c r="B6202" s="463"/>
      <c r="C6202" s="463"/>
    </row>
    <row r="6203" spans="2:3" x14ac:dyDescent="0.25">
      <c r="B6203" s="463"/>
      <c r="C6203" s="463"/>
    </row>
    <row r="6204" spans="2:3" x14ac:dyDescent="0.25">
      <c r="B6204" s="463"/>
      <c r="C6204" s="463"/>
    </row>
    <row r="6205" spans="2:3" x14ac:dyDescent="0.25">
      <c r="B6205" s="463"/>
      <c r="C6205" s="463"/>
    </row>
    <row r="6206" spans="2:3" x14ac:dyDescent="0.25">
      <c r="B6206" s="463"/>
      <c r="C6206" s="463"/>
    </row>
    <row r="6207" spans="2:3" x14ac:dyDescent="0.25">
      <c r="B6207" s="463"/>
      <c r="C6207" s="463"/>
    </row>
    <row r="6208" spans="2:3" x14ac:dyDescent="0.25">
      <c r="B6208" s="463"/>
      <c r="C6208" s="463"/>
    </row>
    <row r="6209" spans="2:3" x14ac:dyDescent="0.25">
      <c r="B6209" s="463"/>
      <c r="C6209" s="463"/>
    </row>
    <row r="6210" spans="2:3" x14ac:dyDescent="0.25">
      <c r="B6210" s="463"/>
      <c r="C6210" s="463"/>
    </row>
    <row r="6211" spans="2:3" x14ac:dyDescent="0.25">
      <c r="B6211" s="463"/>
      <c r="C6211" s="463"/>
    </row>
    <row r="6212" spans="2:3" x14ac:dyDescent="0.25">
      <c r="B6212" s="463"/>
      <c r="C6212" s="463"/>
    </row>
    <row r="6213" spans="2:3" x14ac:dyDescent="0.25">
      <c r="B6213" s="463"/>
      <c r="C6213" s="463"/>
    </row>
    <row r="6214" spans="2:3" x14ac:dyDescent="0.25">
      <c r="B6214" s="463"/>
      <c r="C6214" s="463"/>
    </row>
    <row r="6215" spans="2:3" x14ac:dyDescent="0.25">
      <c r="B6215" s="463"/>
      <c r="C6215" s="463"/>
    </row>
    <row r="6216" spans="2:3" x14ac:dyDescent="0.25">
      <c r="B6216" s="463"/>
      <c r="C6216" s="463"/>
    </row>
    <row r="6217" spans="2:3" x14ac:dyDescent="0.25">
      <c r="B6217" s="463"/>
      <c r="C6217" s="463"/>
    </row>
    <row r="6218" spans="2:3" x14ac:dyDescent="0.25">
      <c r="B6218" s="463"/>
      <c r="C6218" s="463"/>
    </row>
    <row r="6219" spans="2:3" x14ac:dyDescent="0.25">
      <c r="B6219" s="463"/>
      <c r="C6219" s="463"/>
    </row>
    <row r="6220" spans="2:3" x14ac:dyDescent="0.25">
      <c r="B6220" s="463"/>
      <c r="C6220" s="463"/>
    </row>
    <row r="6221" spans="2:3" x14ac:dyDescent="0.25">
      <c r="B6221" s="463"/>
      <c r="C6221" s="463"/>
    </row>
    <row r="6222" spans="2:3" x14ac:dyDescent="0.25">
      <c r="B6222" s="463"/>
      <c r="C6222" s="463"/>
    </row>
    <row r="6223" spans="2:3" x14ac:dyDescent="0.25">
      <c r="B6223" s="463"/>
      <c r="C6223" s="463"/>
    </row>
    <row r="6224" spans="2:3" x14ac:dyDescent="0.25">
      <c r="B6224" s="463"/>
      <c r="C6224" s="463"/>
    </row>
    <row r="6225" spans="2:3" x14ac:dyDescent="0.25">
      <c r="B6225" s="463"/>
      <c r="C6225" s="463"/>
    </row>
    <row r="6226" spans="2:3" x14ac:dyDescent="0.25">
      <c r="B6226" s="463"/>
      <c r="C6226" s="463"/>
    </row>
    <row r="6227" spans="2:3" x14ac:dyDescent="0.25">
      <c r="B6227" s="463"/>
      <c r="C6227" s="463"/>
    </row>
    <row r="6228" spans="2:3" x14ac:dyDescent="0.25">
      <c r="B6228" s="463"/>
      <c r="C6228" s="463"/>
    </row>
    <row r="6229" spans="2:3" x14ac:dyDescent="0.25">
      <c r="B6229" s="463"/>
      <c r="C6229" s="463"/>
    </row>
    <row r="6230" spans="2:3" x14ac:dyDescent="0.25">
      <c r="B6230" s="463"/>
      <c r="C6230" s="463"/>
    </row>
    <row r="6231" spans="2:3" x14ac:dyDescent="0.25">
      <c r="B6231" s="463"/>
      <c r="C6231" s="463"/>
    </row>
    <row r="6232" spans="2:3" x14ac:dyDescent="0.25">
      <c r="B6232" s="463"/>
      <c r="C6232" s="463"/>
    </row>
    <row r="6233" spans="2:3" x14ac:dyDescent="0.25">
      <c r="B6233" s="463"/>
      <c r="C6233" s="463"/>
    </row>
    <row r="6234" spans="2:3" x14ac:dyDescent="0.25">
      <c r="B6234" s="463"/>
      <c r="C6234" s="463"/>
    </row>
    <row r="6235" spans="2:3" x14ac:dyDescent="0.25">
      <c r="B6235" s="463"/>
      <c r="C6235" s="463"/>
    </row>
    <row r="6236" spans="2:3" x14ac:dyDescent="0.25">
      <c r="B6236" s="463"/>
      <c r="C6236" s="463"/>
    </row>
    <row r="6237" spans="2:3" x14ac:dyDescent="0.25">
      <c r="B6237" s="463"/>
      <c r="C6237" s="463"/>
    </row>
    <row r="6238" spans="2:3" x14ac:dyDescent="0.25">
      <c r="B6238" s="463"/>
      <c r="C6238" s="463"/>
    </row>
    <row r="6239" spans="2:3" x14ac:dyDescent="0.25">
      <c r="B6239" s="463"/>
      <c r="C6239" s="463"/>
    </row>
    <row r="6240" spans="2:3" x14ac:dyDescent="0.25">
      <c r="B6240" s="463"/>
      <c r="C6240" s="463"/>
    </row>
    <row r="6241" spans="2:3" x14ac:dyDescent="0.25">
      <c r="B6241" s="463"/>
      <c r="C6241" s="463"/>
    </row>
    <row r="6242" spans="2:3" x14ac:dyDescent="0.25">
      <c r="B6242" s="463"/>
      <c r="C6242" s="463"/>
    </row>
    <row r="6243" spans="2:3" x14ac:dyDescent="0.25">
      <c r="B6243" s="463"/>
      <c r="C6243" s="463"/>
    </row>
    <row r="6244" spans="2:3" x14ac:dyDescent="0.25">
      <c r="B6244" s="463"/>
      <c r="C6244" s="463"/>
    </row>
    <row r="6245" spans="2:3" x14ac:dyDescent="0.25">
      <c r="B6245" s="463"/>
      <c r="C6245" s="463"/>
    </row>
    <row r="6246" spans="2:3" x14ac:dyDescent="0.25">
      <c r="B6246" s="463"/>
      <c r="C6246" s="463"/>
    </row>
    <row r="6247" spans="2:3" x14ac:dyDescent="0.25">
      <c r="B6247" s="463"/>
      <c r="C6247" s="463"/>
    </row>
    <row r="6248" spans="2:3" x14ac:dyDescent="0.25">
      <c r="B6248" s="463"/>
      <c r="C6248" s="463"/>
    </row>
    <row r="6249" spans="2:3" x14ac:dyDescent="0.25">
      <c r="B6249" s="463"/>
      <c r="C6249" s="463"/>
    </row>
    <row r="6250" spans="2:3" x14ac:dyDescent="0.25">
      <c r="B6250" s="463"/>
      <c r="C6250" s="463"/>
    </row>
    <row r="6251" spans="2:3" x14ac:dyDescent="0.25">
      <c r="B6251" s="463"/>
      <c r="C6251" s="463"/>
    </row>
    <row r="6252" spans="2:3" x14ac:dyDescent="0.25">
      <c r="B6252" s="463"/>
      <c r="C6252" s="463"/>
    </row>
    <row r="6253" spans="2:3" x14ac:dyDescent="0.25">
      <c r="B6253" s="463"/>
      <c r="C6253" s="463"/>
    </row>
    <row r="6254" spans="2:3" x14ac:dyDescent="0.25">
      <c r="B6254" s="463"/>
      <c r="C6254" s="463"/>
    </row>
    <row r="6255" spans="2:3" x14ac:dyDescent="0.25">
      <c r="B6255" s="463"/>
      <c r="C6255" s="463"/>
    </row>
    <row r="6256" spans="2:3" x14ac:dyDescent="0.25">
      <c r="B6256" s="463"/>
      <c r="C6256" s="463"/>
    </row>
    <row r="6257" spans="2:3" x14ac:dyDescent="0.25">
      <c r="B6257" s="463"/>
      <c r="C6257" s="463"/>
    </row>
    <row r="6258" spans="2:3" x14ac:dyDescent="0.25">
      <c r="B6258" s="463"/>
      <c r="C6258" s="463"/>
    </row>
    <row r="6259" spans="2:3" x14ac:dyDescent="0.25">
      <c r="B6259" s="463"/>
      <c r="C6259" s="463"/>
    </row>
    <row r="6260" spans="2:3" x14ac:dyDescent="0.25">
      <c r="B6260" s="463"/>
      <c r="C6260" s="463"/>
    </row>
    <row r="6261" spans="2:3" x14ac:dyDescent="0.25">
      <c r="B6261" s="463"/>
      <c r="C6261" s="463"/>
    </row>
    <row r="6262" spans="2:3" x14ac:dyDescent="0.25">
      <c r="B6262" s="463"/>
      <c r="C6262" s="463"/>
    </row>
    <row r="6263" spans="2:3" x14ac:dyDescent="0.25">
      <c r="B6263" s="463"/>
      <c r="C6263" s="463"/>
    </row>
    <row r="6264" spans="2:3" x14ac:dyDescent="0.25">
      <c r="B6264" s="463"/>
      <c r="C6264" s="463"/>
    </row>
    <row r="6265" spans="2:3" x14ac:dyDescent="0.25">
      <c r="B6265" s="463"/>
      <c r="C6265" s="463"/>
    </row>
    <row r="6266" spans="2:3" x14ac:dyDescent="0.25">
      <c r="B6266" s="463"/>
      <c r="C6266" s="463"/>
    </row>
    <row r="6267" spans="2:3" x14ac:dyDescent="0.25">
      <c r="B6267" s="463"/>
      <c r="C6267" s="463"/>
    </row>
    <row r="6268" spans="2:3" x14ac:dyDescent="0.25">
      <c r="B6268" s="463"/>
      <c r="C6268" s="463"/>
    </row>
    <row r="6269" spans="2:3" x14ac:dyDescent="0.25">
      <c r="B6269" s="463"/>
      <c r="C6269" s="463"/>
    </row>
    <row r="6270" spans="2:3" x14ac:dyDescent="0.25">
      <c r="B6270" s="463"/>
      <c r="C6270" s="463"/>
    </row>
    <row r="6271" spans="2:3" x14ac:dyDescent="0.25">
      <c r="B6271" s="463"/>
      <c r="C6271" s="463"/>
    </row>
    <row r="6272" spans="2:3" x14ac:dyDescent="0.25">
      <c r="B6272" s="463"/>
      <c r="C6272" s="463"/>
    </row>
    <row r="6273" spans="2:3" x14ac:dyDescent="0.25">
      <c r="B6273" s="463"/>
      <c r="C6273" s="463"/>
    </row>
    <row r="6274" spans="2:3" x14ac:dyDescent="0.25">
      <c r="B6274" s="463"/>
      <c r="C6274" s="463"/>
    </row>
    <row r="6275" spans="2:3" x14ac:dyDescent="0.25">
      <c r="B6275" s="463"/>
      <c r="C6275" s="463"/>
    </row>
    <row r="6276" spans="2:3" x14ac:dyDescent="0.25">
      <c r="B6276" s="463"/>
      <c r="C6276" s="463"/>
    </row>
    <row r="6277" spans="2:3" x14ac:dyDescent="0.25">
      <c r="B6277" s="463"/>
      <c r="C6277" s="463"/>
    </row>
    <row r="6278" spans="2:3" x14ac:dyDescent="0.25">
      <c r="B6278" s="463"/>
      <c r="C6278" s="463"/>
    </row>
    <row r="6279" spans="2:3" x14ac:dyDescent="0.25">
      <c r="B6279" s="463"/>
      <c r="C6279" s="463"/>
    </row>
    <row r="6280" spans="2:3" x14ac:dyDescent="0.25">
      <c r="B6280" s="463"/>
      <c r="C6280" s="463"/>
    </row>
    <row r="6281" spans="2:3" x14ac:dyDescent="0.25">
      <c r="B6281" s="463"/>
      <c r="C6281" s="463"/>
    </row>
    <row r="6282" spans="2:3" x14ac:dyDescent="0.25">
      <c r="B6282" s="463"/>
      <c r="C6282" s="463"/>
    </row>
    <row r="6283" spans="2:3" x14ac:dyDescent="0.25">
      <c r="B6283" s="463"/>
      <c r="C6283" s="463"/>
    </row>
    <row r="6284" spans="2:3" x14ac:dyDescent="0.25">
      <c r="B6284" s="463"/>
      <c r="C6284" s="463"/>
    </row>
    <row r="6285" spans="2:3" x14ac:dyDescent="0.25">
      <c r="B6285" s="463"/>
      <c r="C6285" s="463"/>
    </row>
    <row r="6286" spans="2:3" x14ac:dyDescent="0.25">
      <c r="B6286" s="463"/>
      <c r="C6286" s="463"/>
    </row>
    <row r="6287" spans="2:3" x14ac:dyDescent="0.25">
      <c r="B6287" s="463"/>
      <c r="C6287" s="463"/>
    </row>
    <row r="6288" spans="2:3" x14ac:dyDescent="0.25">
      <c r="B6288" s="463"/>
      <c r="C6288" s="463"/>
    </row>
    <row r="6289" spans="2:3" x14ac:dyDescent="0.25">
      <c r="B6289" s="463"/>
      <c r="C6289" s="463"/>
    </row>
    <row r="6290" spans="2:3" x14ac:dyDescent="0.25">
      <c r="B6290" s="463"/>
      <c r="C6290" s="463"/>
    </row>
    <row r="6291" spans="2:3" x14ac:dyDescent="0.25">
      <c r="B6291" s="463"/>
      <c r="C6291" s="463"/>
    </row>
    <row r="6292" spans="2:3" x14ac:dyDescent="0.25">
      <c r="B6292" s="463"/>
      <c r="C6292" s="463"/>
    </row>
    <row r="6293" spans="2:3" x14ac:dyDescent="0.25">
      <c r="B6293" s="463"/>
      <c r="C6293" s="463"/>
    </row>
    <row r="6294" spans="2:3" x14ac:dyDescent="0.25">
      <c r="B6294" s="463"/>
      <c r="C6294" s="463"/>
    </row>
    <row r="6295" spans="2:3" x14ac:dyDescent="0.25">
      <c r="B6295" s="463"/>
      <c r="C6295" s="463"/>
    </row>
    <row r="6296" spans="2:3" x14ac:dyDescent="0.25">
      <c r="B6296" s="463"/>
      <c r="C6296" s="463"/>
    </row>
    <row r="6297" spans="2:3" x14ac:dyDescent="0.25">
      <c r="B6297" s="463"/>
      <c r="C6297" s="463"/>
    </row>
    <row r="6298" spans="2:3" x14ac:dyDescent="0.25">
      <c r="B6298" s="463"/>
      <c r="C6298" s="463"/>
    </row>
    <row r="6299" spans="2:3" x14ac:dyDescent="0.25">
      <c r="B6299" s="463"/>
      <c r="C6299" s="463"/>
    </row>
    <row r="6300" spans="2:3" x14ac:dyDescent="0.25">
      <c r="B6300" s="463"/>
      <c r="C6300" s="463"/>
    </row>
    <row r="6301" spans="2:3" x14ac:dyDescent="0.25">
      <c r="B6301" s="463"/>
      <c r="C6301" s="463"/>
    </row>
    <row r="6302" spans="2:3" x14ac:dyDescent="0.25">
      <c r="B6302" s="463"/>
      <c r="C6302" s="463"/>
    </row>
    <row r="6303" spans="2:3" x14ac:dyDescent="0.25">
      <c r="B6303" s="463"/>
      <c r="C6303" s="463"/>
    </row>
    <row r="6304" spans="2:3" x14ac:dyDescent="0.25">
      <c r="B6304" s="463"/>
      <c r="C6304" s="463"/>
    </row>
    <row r="6305" spans="2:3" x14ac:dyDescent="0.25">
      <c r="B6305" s="463"/>
      <c r="C6305" s="463"/>
    </row>
    <row r="6306" spans="2:3" x14ac:dyDescent="0.25">
      <c r="B6306" s="463"/>
      <c r="C6306" s="463"/>
    </row>
    <row r="6307" spans="2:3" x14ac:dyDescent="0.25">
      <c r="B6307" s="463"/>
      <c r="C6307" s="463"/>
    </row>
    <row r="6308" spans="2:3" x14ac:dyDescent="0.25">
      <c r="B6308" s="463"/>
      <c r="C6308" s="463"/>
    </row>
    <row r="6309" spans="2:3" x14ac:dyDescent="0.25">
      <c r="B6309" s="463"/>
      <c r="C6309" s="463"/>
    </row>
    <row r="6310" spans="2:3" x14ac:dyDescent="0.25">
      <c r="B6310" s="463"/>
      <c r="C6310" s="463"/>
    </row>
    <row r="6311" spans="2:3" x14ac:dyDescent="0.25">
      <c r="B6311" s="463"/>
      <c r="C6311" s="463"/>
    </row>
    <row r="6312" spans="2:3" x14ac:dyDescent="0.25">
      <c r="B6312" s="463"/>
      <c r="C6312" s="463"/>
    </row>
    <row r="6313" spans="2:3" x14ac:dyDescent="0.25">
      <c r="B6313" s="463"/>
      <c r="C6313" s="463"/>
    </row>
    <row r="6314" spans="2:3" x14ac:dyDescent="0.25">
      <c r="B6314" s="463"/>
      <c r="C6314" s="463"/>
    </row>
    <row r="6315" spans="2:3" x14ac:dyDescent="0.25">
      <c r="B6315" s="463"/>
      <c r="C6315" s="463"/>
    </row>
    <row r="6316" spans="2:3" x14ac:dyDescent="0.25">
      <c r="B6316" s="463"/>
      <c r="C6316" s="463"/>
    </row>
    <row r="6317" spans="2:3" x14ac:dyDescent="0.25">
      <c r="B6317" s="463"/>
      <c r="C6317" s="463"/>
    </row>
    <row r="6318" spans="2:3" x14ac:dyDescent="0.25">
      <c r="B6318" s="463"/>
      <c r="C6318" s="463"/>
    </row>
    <row r="6319" spans="2:3" x14ac:dyDescent="0.25">
      <c r="B6319" s="463"/>
      <c r="C6319" s="463"/>
    </row>
    <row r="6320" spans="2:3" x14ac:dyDescent="0.25">
      <c r="B6320" s="463"/>
      <c r="C6320" s="463"/>
    </row>
    <row r="6321" spans="2:3" x14ac:dyDescent="0.25">
      <c r="B6321" s="463"/>
      <c r="C6321" s="463"/>
    </row>
    <row r="6322" spans="2:3" x14ac:dyDescent="0.25">
      <c r="B6322" s="463"/>
      <c r="C6322" s="463"/>
    </row>
    <row r="6323" spans="2:3" x14ac:dyDescent="0.25">
      <c r="B6323" s="463"/>
      <c r="C6323" s="463"/>
    </row>
    <row r="6324" spans="2:3" x14ac:dyDescent="0.25">
      <c r="B6324" s="463"/>
      <c r="C6324" s="463"/>
    </row>
    <row r="6325" spans="2:3" x14ac:dyDescent="0.25">
      <c r="B6325" s="463"/>
      <c r="C6325" s="463"/>
    </row>
    <row r="6326" spans="2:3" x14ac:dyDescent="0.25">
      <c r="B6326" s="463"/>
      <c r="C6326" s="463"/>
    </row>
    <row r="6327" spans="2:3" x14ac:dyDescent="0.25">
      <c r="B6327" s="463"/>
      <c r="C6327" s="463"/>
    </row>
    <row r="6328" spans="2:3" x14ac:dyDescent="0.25">
      <c r="B6328" s="463"/>
      <c r="C6328" s="463"/>
    </row>
    <row r="6329" spans="2:3" x14ac:dyDescent="0.25">
      <c r="B6329" s="463"/>
      <c r="C6329" s="463"/>
    </row>
    <row r="6330" spans="2:3" x14ac:dyDescent="0.25">
      <c r="B6330" s="463"/>
      <c r="C6330" s="463"/>
    </row>
    <row r="6331" spans="2:3" x14ac:dyDescent="0.25">
      <c r="B6331" s="463"/>
      <c r="C6331" s="463"/>
    </row>
    <row r="6332" spans="2:3" x14ac:dyDescent="0.25">
      <c r="B6332" s="463"/>
      <c r="C6332" s="463"/>
    </row>
    <row r="6333" spans="2:3" x14ac:dyDescent="0.25">
      <c r="B6333" s="463"/>
      <c r="C6333" s="463"/>
    </row>
    <row r="6334" spans="2:3" x14ac:dyDescent="0.25">
      <c r="B6334" s="463"/>
      <c r="C6334" s="463"/>
    </row>
    <row r="6335" spans="2:3" x14ac:dyDescent="0.25">
      <c r="B6335" s="463"/>
      <c r="C6335" s="463"/>
    </row>
    <row r="6336" spans="2:3" x14ac:dyDescent="0.25">
      <c r="B6336" s="463"/>
      <c r="C6336" s="463"/>
    </row>
    <row r="6337" spans="2:3" x14ac:dyDescent="0.25">
      <c r="B6337" s="463"/>
      <c r="C6337" s="463"/>
    </row>
    <row r="6338" spans="2:3" x14ac:dyDescent="0.25">
      <c r="B6338" s="463"/>
      <c r="C6338" s="463"/>
    </row>
    <row r="6339" spans="2:3" x14ac:dyDescent="0.25">
      <c r="B6339" s="463"/>
      <c r="C6339" s="463"/>
    </row>
    <row r="6340" spans="2:3" x14ac:dyDescent="0.25">
      <c r="B6340" s="463"/>
      <c r="C6340" s="463"/>
    </row>
    <row r="6341" spans="2:3" x14ac:dyDescent="0.25">
      <c r="B6341" s="463"/>
      <c r="C6341" s="463"/>
    </row>
    <row r="6342" spans="2:3" x14ac:dyDescent="0.25">
      <c r="B6342" s="463"/>
      <c r="C6342" s="463"/>
    </row>
    <row r="6343" spans="2:3" x14ac:dyDescent="0.25">
      <c r="B6343" s="463"/>
      <c r="C6343" s="463"/>
    </row>
    <row r="6344" spans="2:3" x14ac:dyDescent="0.25">
      <c r="B6344" s="463"/>
      <c r="C6344" s="463"/>
    </row>
    <row r="6345" spans="2:3" x14ac:dyDescent="0.25">
      <c r="B6345" s="463"/>
      <c r="C6345" s="463"/>
    </row>
    <row r="6346" spans="2:3" x14ac:dyDescent="0.25">
      <c r="B6346" s="463"/>
      <c r="C6346" s="463"/>
    </row>
    <row r="6347" spans="2:3" x14ac:dyDescent="0.25">
      <c r="B6347" s="463"/>
      <c r="C6347" s="463"/>
    </row>
    <row r="6348" spans="2:3" x14ac:dyDescent="0.25">
      <c r="B6348" s="463"/>
      <c r="C6348" s="463"/>
    </row>
    <row r="6349" spans="2:3" x14ac:dyDescent="0.25">
      <c r="B6349" s="463"/>
      <c r="C6349" s="463"/>
    </row>
    <row r="6350" spans="2:3" x14ac:dyDescent="0.25">
      <c r="B6350" s="463"/>
      <c r="C6350" s="463"/>
    </row>
    <row r="6351" spans="2:3" x14ac:dyDescent="0.25">
      <c r="B6351" s="463"/>
      <c r="C6351" s="463"/>
    </row>
    <row r="6352" spans="2:3" x14ac:dyDescent="0.25">
      <c r="B6352" s="463"/>
      <c r="C6352" s="463"/>
    </row>
    <row r="6353" spans="2:3" x14ac:dyDescent="0.25">
      <c r="B6353" s="463"/>
      <c r="C6353" s="463"/>
    </row>
    <row r="6354" spans="2:3" x14ac:dyDescent="0.25">
      <c r="B6354" s="463"/>
      <c r="C6354" s="463"/>
    </row>
    <row r="6355" spans="2:3" x14ac:dyDescent="0.25">
      <c r="B6355" s="463"/>
      <c r="C6355" s="463"/>
    </row>
    <row r="6356" spans="2:3" x14ac:dyDescent="0.25">
      <c r="B6356" s="463"/>
      <c r="C6356" s="463"/>
    </row>
    <row r="6357" spans="2:3" x14ac:dyDescent="0.25">
      <c r="B6357" s="463"/>
      <c r="C6357" s="463"/>
    </row>
    <row r="6358" spans="2:3" x14ac:dyDescent="0.25">
      <c r="B6358" s="463"/>
      <c r="C6358" s="463"/>
    </row>
    <row r="6359" spans="2:3" x14ac:dyDescent="0.25">
      <c r="B6359" s="463"/>
      <c r="C6359" s="463"/>
    </row>
    <row r="6360" spans="2:3" x14ac:dyDescent="0.25">
      <c r="B6360" s="463"/>
      <c r="C6360" s="463"/>
    </row>
    <row r="6361" spans="2:3" x14ac:dyDescent="0.25">
      <c r="B6361" s="463"/>
      <c r="C6361" s="463"/>
    </row>
    <row r="6362" spans="2:3" x14ac:dyDescent="0.25">
      <c r="B6362" s="463"/>
      <c r="C6362" s="463"/>
    </row>
    <row r="6363" spans="2:3" x14ac:dyDescent="0.25">
      <c r="B6363" s="463"/>
      <c r="C6363" s="463"/>
    </row>
    <row r="6364" spans="2:3" x14ac:dyDescent="0.25">
      <c r="B6364" s="463"/>
      <c r="C6364" s="463"/>
    </row>
    <row r="6365" spans="2:3" x14ac:dyDescent="0.25">
      <c r="B6365" s="463"/>
      <c r="C6365" s="463"/>
    </row>
    <row r="6366" spans="2:3" x14ac:dyDescent="0.25">
      <c r="B6366" s="463"/>
      <c r="C6366" s="463"/>
    </row>
    <row r="6367" spans="2:3" x14ac:dyDescent="0.25">
      <c r="B6367" s="463"/>
      <c r="C6367" s="463"/>
    </row>
    <row r="6368" spans="2:3" x14ac:dyDescent="0.25">
      <c r="B6368" s="463"/>
      <c r="C6368" s="463"/>
    </row>
    <row r="6369" spans="2:3" x14ac:dyDescent="0.25">
      <c r="B6369" s="463"/>
      <c r="C6369" s="463"/>
    </row>
    <row r="6370" spans="2:3" x14ac:dyDescent="0.25">
      <c r="B6370" s="463"/>
      <c r="C6370" s="463"/>
    </row>
    <row r="6371" spans="2:3" x14ac:dyDescent="0.25">
      <c r="B6371" s="463"/>
      <c r="C6371" s="463"/>
    </row>
    <row r="6372" spans="2:3" x14ac:dyDescent="0.25">
      <c r="B6372" s="463"/>
      <c r="C6372" s="463"/>
    </row>
    <row r="6373" spans="2:3" x14ac:dyDescent="0.25">
      <c r="B6373" s="463"/>
      <c r="C6373" s="463"/>
    </row>
    <row r="6374" spans="2:3" x14ac:dyDescent="0.25">
      <c r="B6374" s="463"/>
      <c r="C6374" s="463"/>
    </row>
    <row r="6375" spans="2:3" x14ac:dyDescent="0.25">
      <c r="B6375" s="463"/>
      <c r="C6375" s="463"/>
    </row>
    <row r="6376" spans="2:3" x14ac:dyDescent="0.25">
      <c r="B6376" s="463"/>
      <c r="C6376" s="463"/>
    </row>
    <row r="6377" spans="2:3" x14ac:dyDescent="0.25">
      <c r="B6377" s="463"/>
      <c r="C6377" s="463"/>
    </row>
    <row r="6378" spans="2:3" x14ac:dyDescent="0.25">
      <c r="B6378" s="463"/>
      <c r="C6378" s="463"/>
    </row>
    <row r="6379" spans="2:3" x14ac:dyDescent="0.25">
      <c r="B6379" s="463"/>
      <c r="C6379" s="463"/>
    </row>
    <row r="6380" spans="2:3" x14ac:dyDescent="0.25">
      <c r="B6380" s="463"/>
      <c r="C6380" s="463"/>
    </row>
    <row r="6381" spans="2:3" x14ac:dyDescent="0.25">
      <c r="B6381" s="463"/>
      <c r="C6381" s="463"/>
    </row>
    <row r="6382" spans="2:3" x14ac:dyDescent="0.25">
      <c r="B6382" s="463"/>
      <c r="C6382" s="463"/>
    </row>
    <row r="6383" spans="2:3" x14ac:dyDescent="0.25">
      <c r="B6383" s="463"/>
      <c r="C6383" s="463"/>
    </row>
    <row r="6384" spans="2:3" x14ac:dyDescent="0.25">
      <c r="B6384" s="463"/>
      <c r="C6384" s="463"/>
    </row>
    <row r="6385" spans="2:3" x14ac:dyDescent="0.25">
      <c r="B6385" s="463"/>
      <c r="C6385" s="463"/>
    </row>
    <row r="6386" spans="2:3" x14ac:dyDescent="0.25">
      <c r="B6386" s="463"/>
      <c r="C6386" s="463"/>
    </row>
    <row r="6387" spans="2:3" x14ac:dyDescent="0.25">
      <c r="B6387" s="463"/>
      <c r="C6387" s="463"/>
    </row>
    <row r="6388" spans="2:3" x14ac:dyDescent="0.25">
      <c r="B6388" s="463"/>
      <c r="C6388" s="463"/>
    </row>
    <row r="6389" spans="2:3" x14ac:dyDescent="0.25">
      <c r="B6389" s="463"/>
      <c r="C6389" s="463"/>
    </row>
    <row r="6390" spans="2:3" x14ac:dyDescent="0.25">
      <c r="B6390" s="463"/>
      <c r="C6390" s="463"/>
    </row>
    <row r="6391" spans="2:3" x14ac:dyDescent="0.25">
      <c r="B6391" s="463"/>
      <c r="C6391" s="463"/>
    </row>
    <row r="6392" spans="2:3" x14ac:dyDescent="0.25">
      <c r="B6392" s="463"/>
      <c r="C6392" s="463"/>
    </row>
    <row r="6393" spans="2:3" x14ac:dyDescent="0.25">
      <c r="B6393" s="463"/>
      <c r="C6393" s="463"/>
    </row>
    <row r="6394" spans="2:3" x14ac:dyDescent="0.25">
      <c r="B6394" s="463"/>
      <c r="C6394" s="463"/>
    </row>
    <row r="6395" spans="2:3" x14ac:dyDescent="0.25">
      <c r="B6395" s="463"/>
      <c r="C6395" s="463"/>
    </row>
    <row r="6396" spans="2:3" x14ac:dyDescent="0.25">
      <c r="B6396" s="463"/>
      <c r="C6396" s="463"/>
    </row>
    <row r="6397" spans="2:3" x14ac:dyDescent="0.25">
      <c r="B6397" s="463"/>
      <c r="C6397" s="463"/>
    </row>
    <row r="6398" spans="2:3" x14ac:dyDescent="0.25">
      <c r="B6398" s="463"/>
      <c r="C6398" s="463"/>
    </row>
    <row r="6399" spans="2:3" x14ac:dyDescent="0.25">
      <c r="B6399" s="463"/>
      <c r="C6399" s="463"/>
    </row>
    <row r="6400" spans="2:3" x14ac:dyDescent="0.25">
      <c r="B6400" s="463"/>
      <c r="C6400" s="463"/>
    </row>
    <row r="6401" spans="2:3" x14ac:dyDescent="0.25">
      <c r="B6401" s="463"/>
      <c r="C6401" s="463"/>
    </row>
    <row r="6402" spans="2:3" x14ac:dyDescent="0.25">
      <c r="B6402" s="463"/>
      <c r="C6402" s="463"/>
    </row>
    <row r="6403" spans="2:3" x14ac:dyDescent="0.25">
      <c r="B6403" s="463"/>
      <c r="C6403" s="463"/>
    </row>
    <row r="6404" spans="2:3" x14ac:dyDescent="0.25">
      <c r="B6404" s="463"/>
      <c r="C6404" s="463"/>
    </row>
    <row r="6405" spans="2:3" x14ac:dyDescent="0.25">
      <c r="B6405" s="463"/>
      <c r="C6405" s="463"/>
    </row>
    <row r="6406" spans="2:3" x14ac:dyDescent="0.25">
      <c r="B6406" s="463"/>
      <c r="C6406" s="463"/>
    </row>
    <row r="6407" spans="2:3" x14ac:dyDescent="0.25">
      <c r="B6407" s="463"/>
      <c r="C6407" s="463"/>
    </row>
    <row r="6408" spans="2:3" x14ac:dyDescent="0.25">
      <c r="B6408" s="463"/>
      <c r="C6408" s="463"/>
    </row>
    <row r="6409" spans="2:3" x14ac:dyDescent="0.25">
      <c r="B6409" s="463"/>
      <c r="C6409" s="463"/>
    </row>
    <row r="6410" spans="2:3" x14ac:dyDescent="0.25">
      <c r="B6410" s="463"/>
      <c r="C6410" s="463"/>
    </row>
    <row r="6411" spans="2:3" x14ac:dyDescent="0.25">
      <c r="B6411" s="463"/>
      <c r="C6411" s="463"/>
    </row>
    <row r="6412" spans="2:3" x14ac:dyDescent="0.25">
      <c r="B6412" s="463"/>
      <c r="C6412" s="463"/>
    </row>
    <row r="6413" spans="2:3" x14ac:dyDescent="0.25">
      <c r="B6413" s="463"/>
      <c r="C6413" s="463"/>
    </row>
    <row r="6414" spans="2:3" x14ac:dyDescent="0.25">
      <c r="B6414" s="463"/>
      <c r="C6414" s="463"/>
    </row>
    <row r="6415" spans="2:3" x14ac:dyDescent="0.25">
      <c r="B6415" s="463"/>
      <c r="C6415" s="463"/>
    </row>
    <row r="6416" spans="2:3" x14ac:dyDescent="0.25">
      <c r="B6416" s="463"/>
      <c r="C6416" s="463"/>
    </row>
    <row r="6417" spans="2:3" x14ac:dyDescent="0.25">
      <c r="B6417" s="463"/>
      <c r="C6417" s="463"/>
    </row>
    <row r="6418" spans="2:3" x14ac:dyDescent="0.25">
      <c r="B6418" s="463"/>
      <c r="C6418" s="463"/>
    </row>
    <row r="6419" spans="2:3" x14ac:dyDescent="0.25">
      <c r="B6419" s="463"/>
      <c r="C6419" s="463"/>
    </row>
    <row r="6420" spans="2:3" x14ac:dyDescent="0.25">
      <c r="B6420" s="463"/>
      <c r="C6420" s="463"/>
    </row>
    <row r="6421" spans="2:3" x14ac:dyDescent="0.25">
      <c r="B6421" s="463"/>
      <c r="C6421" s="463"/>
    </row>
    <row r="6422" spans="2:3" x14ac:dyDescent="0.25">
      <c r="B6422" s="463"/>
      <c r="C6422" s="463"/>
    </row>
    <row r="6423" spans="2:3" x14ac:dyDescent="0.25">
      <c r="B6423" s="463"/>
      <c r="C6423" s="463"/>
    </row>
    <row r="6424" spans="2:3" x14ac:dyDescent="0.25">
      <c r="B6424" s="463"/>
      <c r="C6424" s="463"/>
    </row>
    <row r="6425" spans="2:3" x14ac:dyDescent="0.25">
      <c r="B6425" s="463"/>
      <c r="C6425" s="463"/>
    </row>
    <row r="6426" spans="2:3" x14ac:dyDescent="0.25">
      <c r="B6426" s="463"/>
      <c r="C6426" s="463"/>
    </row>
    <row r="6427" spans="2:3" x14ac:dyDescent="0.25">
      <c r="B6427" s="463"/>
      <c r="C6427" s="463"/>
    </row>
    <row r="6428" spans="2:3" x14ac:dyDescent="0.25">
      <c r="B6428" s="463"/>
      <c r="C6428" s="463"/>
    </row>
    <row r="6429" spans="2:3" x14ac:dyDescent="0.25">
      <c r="B6429" s="463"/>
      <c r="C6429" s="463"/>
    </row>
    <row r="6430" spans="2:3" x14ac:dyDescent="0.25">
      <c r="B6430" s="463"/>
      <c r="C6430" s="463"/>
    </row>
    <row r="6431" spans="2:3" x14ac:dyDescent="0.25">
      <c r="B6431" s="463"/>
      <c r="C6431" s="463"/>
    </row>
    <row r="6432" spans="2:3" x14ac:dyDescent="0.25">
      <c r="B6432" s="463"/>
      <c r="C6432" s="463"/>
    </row>
    <row r="6433" spans="2:3" x14ac:dyDescent="0.25">
      <c r="B6433" s="463"/>
      <c r="C6433" s="463"/>
    </row>
    <row r="6434" spans="2:3" x14ac:dyDescent="0.25">
      <c r="B6434" s="463"/>
      <c r="C6434" s="463"/>
    </row>
    <row r="6435" spans="2:3" x14ac:dyDescent="0.25">
      <c r="B6435" s="463"/>
      <c r="C6435" s="463"/>
    </row>
    <row r="6436" spans="2:3" x14ac:dyDescent="0.25">
      <c r="B6436" s="463"/>
      <c r="C6436" s="463"/>
    </row>
    <row r="6437" spans="2:3" x14ac:dyDescent="0.25">
      <c r="B6437" s="463"/>
      <c r="C6437" s="463"/>
    </row>
    <row r="6438" spans="2:3" x14ac:dyDescent="0.25">
      <c r="B6438" s="463"/>
      <c r="C6438" s="463"/>
    </row>
    <row r="6439" spans="2:3" x14ac:dyDescent="0.25">
      <c r="B6439" s="463"/>
      <c r="C6439" s="463"/>
    </row>
    <row r="6440" spans="2:3" x14ac:dyDescent="0.25">
      <c r="B6440" s="463"/>
      <c r="C6440" s="463"/>
    </row>
    <row r="6441" spans="2:3" x14ac:dyDescent="0.25">
      <c r="B6441" s="463"/>
      <c r="C6441" s="463"/>
    </row>
    <row r="6442" spans="2:3" x14ac:dyDescent="0.25">
      <c r="B6442" s="463"/>
      <c r="C6442" s="463"/>
    </row>
    <row r="6443" spans="2:3" x14ac:dyDescent="0.25">
      <c r="B6443" s="463"/>
      <c r="C6443" s="463"/>
    </row>
    <row r="6444" spans="2:3" x14ac:dyDescent="0.25">
      <c r="B6444" s="463"/>
      <c r="C6444" s="463"/>
    </row>
    <row r="6445" spans="2:3" x14ac:dyDescent="0.25">
      <c r="B6445" s="463"/>
      <c r="C6445" s="463"/>
    </row>
    <row r="6446" spans="2:3" x14ac:dyDescent="0.25">
      <c r="B6446" s="463"/>
      <c r="C6446" s="463"/>
    </row>
    <row r="6447" spans="2:3" x14ac:dyDescent="0.25">
      <c r="B6447" s="463"/>
      <c r="C6447" s="463"/>
    </row>
    <row r="6448" spans="2:3" x14ac:dyDescent="0.25">
      <c r="B6448" s="463"/>
      <c r="C6448" s="463"/>
    </row>
    <row r="6449" spans="2:3" x14ac:dyDescent="0.25">
      <c r="B6449" s="463"/>
      <c r="C6449" s="463"/>
    </row>
    <row r="6450" spans="2:3" x14ac:dyDescent="0.25">
      <c r="B6450" s="463"/>
      <c r="C6450" s="463"/>
    </row>
    <row r="6451" spans="2:3" x14ac:dyDescent="0.25">
      <c r="B6451" s="463"/>
      <c r="C6451" s="463"/>
    </row>
    <row r="6452" spans="2:3" x14ac:dyDescent="0.25">
      <c r="B6452" s="463"/>
      <c r="C6452" s="463"/>
    </row>
    <row r="6453" spans="2:3" x14ac:dyDescent="0.25">
      <c r="B6453" s="463"/>
      <c r="C6453" s="463"/>
    </row>
    <row r="6454" spans="2:3" x14ac:dyDescent="0.25">
      <c r="B6454" s="463"/>
      <c r="C6454" s="463"/>
    </row>
    <row r="6455" spans="2:3" x14ac:dyDescent="0.25">
      <c r="B6455" s="463"/>
      <c r="C6455" s="463"/>
    </row>
    <row r="6456" spans="2:3" x14ac:dyDescent="0.25">
      <c r="B6456" s="463"/>
      <c r="C6456" s="463"/>
    </row>
    <row r="6457" spans="2:3" x14ac:dyDescent="0.25">
      <c r="B6457" s="463"/>
      <c r="C6457" s="463"/>
    </row>
    <row r="6458" spans="2:3" x14ac:dyDescent="0.25">
      <c r="B6458" s="463"/>
      <c r="C6458" s="463"/>
    </row>
    <row r="6459" spans="2:3" x14ac:dyDescent="0.25">
      <c r="B6459" s="463"/>
      <c r="C6459" s="463"/>
    </row>
    <row r="6460" spans="2:3" x14ac:dyDescent="0.25">
      <c r="B6460" s="463"/>
      <c r="C6460" s="463"/>
    </row>
    <row r="6461" spans="2:3" x14ac:dyDescent="0.25">
      <c r="B6461" s="463"/>
      <c r="C6461" s="463"/>
    </row>
    <row r="6462" spans="2:3" x14ac:dyDescent="0.25">
      <c r="B6462" s="463"/>
      <c r="C6462" s="463"/>
    </row>
    <row r="6463" spans="2:3" x14ac:dyDescent="0.25">
      <c r="B6463" s="463"/>
      <c r="C6463" s="463"/>
    </row>
    <row r="6464" spans="2:3" x14ac:dyDescent="0.25">
      <c r="B6464" s="463"/>
      <c r="C6464" s="463"/>
    </row>
    <row r="6465" spans="2:3" x14ac:dyDescent="0.25">
      <c r="B6465" s="463"/>
      <c r="C6465" s="463"/>
    </row>
    <row r="6466" spans="2:3" x14ac:dyDescent="0.25">
      <c r="B6466" s="463"/>
      <c r="C6466" s="463"/>
    </row>
    <row r="6467" spans="2:3" x14ac:dyDescent="0.25">
      <c r="B6467" s="463"/>
      <c r="C6467" s="463"/>
    </row>
    <row r="6468" spans="2:3" x14ac:dyDescent="0.25">
      <c r="B6468" s="463"/>
      <c r="C6468" s="463"/>
    </row>
    <row r="6469" spans="2:3" x14ac:dyDescent="0.25">
      <c r="B6469" s="463"/>
      <c r="C6469" s="463"/>
    </row>
    <row r="6470" spans="2:3" x14ac:dyDescent="0.25">
      <c r="B6470" s="463"/>
      <c r="C6470" s="463"/>
    </row>
    <row r="6471" spans="2:3" x14ac:dyDescent="0.25">
      <c r="B6471" s="463"/>
      <c r="C6471" s="463"/>
    </row>
    <row r="6472" spans="2:3" x14ac:dyDescent="0.25">
      <c r="B6472" s="463"/>
      <c r="C6472" s="463"/>
    </row>
    <row r="6473" spans="2:3" x14ac:dyDescent="0.25">
      <c r="B6473" s="463"/>
      <c r="C6473" s="463"/>
    </row>
    <row r="6474" spans="2:3" x14ac:dyDescent="0.25">
      <c r="B6474" s="463"/>
      <c r="C6474" s="463"/>
    </row>
    <row r="6475" spans="2:3" x14ac:dyDescent="0.25">
      <c r="B6475" s="463"/>
      <c r="C6475" s="463"/>
    </row>
    <row r="6476" spans="2:3" x14ac:dyDescent="0.25">
      <c r="B6476" s="463"/>
      <c r="C6476" s="463"/>
    </row>
    <row r="6477" spans="2:3" x14ac:dyDescent="0.25">
      <c r="B6477" s="463"/>
      <c r="C6477" s="463"/>
    </row>
    <row r="6478" spans="2:3" x14ac:dyDescent="0.25">
      <c r="B6478" s="463"/>
      <c r="C6478" s="463"/>
    </row>
    <row r="6479" spans="2:3" x14ac:dyDescent="0.25">
      <c r="B6479" s="463"/>
      <c r="C6479" s="463"/>
    </row>
    <row r="6480" spans="2:3" x14ac:dyDescent="0.25">
      <c r="B6480" s="463"/>
      <c r="C6480" s="463"/>
    </row>
    <row r="6481" spans="2:3" x14ac:dyDescent="0.25">
      <c r="B6481" s="463"/>
      <c r="C6481" s="463"/>
    </row>
    <row r="6482" spans="2:3" x14ac:dyDescent="0.25">
      <c r="B6482" s="463"/>
      <c r="C6482" s="463"/>
    </row>
    <row r="6483" spans="2:3" x14ac:dyDescent="0.25">
      <c r="B6483" s="463"/>
      <c r="C6483" s="463"/>
    </row>
    <row r="6484" spans="2:3" x14ac:dyDescent="0.25">
      <c r="B6484" s="463"/>
      <c r="C6484" s="463"/>
    </row>
    <row r="6485" spans="2:3" x14ac:dyDescent="0.25">
      <c r="B6485" s="463"/>
      <c r="C6485" s="463"/>
    </row>
    <row r="6486" spans="2:3" x14ac:dyDescent="0.25">
      <c r="B6486" s="463"/>
      <c r="C6486" s="463"/>
    </row>
    <row r="6487" spans="2:3" x14ac:dyDescent="0.25">
      <c r="B6487" s="463"/>
      <c r="C6487" s="463"/>
    </row>
    <row r="6488" spans="2:3" x14ac:dyDescent="0.25">
      <c r="B6488" s="463"/>
      <c r="C6488" s="463"/>
    </row>
    <row r="6489" spans="2:3" x14ac:dyDescent="0.25">
      <c r="B6489" s="463"/>
      <c r="C6489" s="463"/>
    </row>
    <row r="6490" spans="2:3" x14ac:dyDescent="0.25">
      <c r="B6490" s="463"/>
      <c r="C6490" s="463"/>
    </row>
    <row r="6491" spans="2:3" x14ac:dyDescent="0.25">
      <c r="B6491" s="463"/>
      <c r="C6491" s="463"/>
    </row>
    <row r="6492" spans="2:3" x14ac:dyDescent="0.25">
      <c r="B6492" s="463"/>
      <c r="C6492" s="463"/>
    </row>
    <row r="6493" spans="2:3" x14ac:dyDescent="0.25">
      <c r="B6493" s="463"/>
      <c r="C6493" s="463"/>
    </row>
    <row r="6494" spans="2:3" x14ac:dyDescent="0.25">
      <c r="B6494" s="463"/>
      <c r="C6494" s="463"/>
    </row>
    <row r="6495" spans="2:3" x14ac:dyDescent="0.25">
      <c r="B6495" s="463"/>
      <c r="C6495" s="463"/>
    </row>
    <row r="6496" spans="2:3" x14ac:dyDescent="0.25">
      <c r="B6496" s="463"/>
      <c r="C6496" s="463"/>
    </row>
    <row r="6497" spans="2:3" x14ac:dyDescent="0.25">
      <c r="B6497" s="463"/>
      <c r="C6497" s="463"/>
    </row>
    <row r="6498" spans="2:3" x14ac:dyDescent="0.25">
      <c r="B6498" s="463"/>
      <c r="C6498" s="463"/>
    </row>
    <row r="6499" spans="2:3" x14ac:dyDescent="0.25">
      <c r="B6499" s="463"/>
      <c r="C6499" s="463"/>
    </row>
    <row r="6500" spans="2:3" x14ac:dyDescent="0.25">
      <c r="B6500" s="463"/>
      <c r="C6500" s="463"/>
    </row>
    <row r="6501" spans="2:3" x14ac:dyDescent="0.25">
      <c r="B6501" s="463"/>
      <c r="C6501" s="463"/>
    </row>
    <row r="6502" spans="2:3" x14ac:dyDescent="0.25">
      <c r="B6502" s="463"/>
      <c r="C6502" s="463"/>
    </row>
    <row r="6503" spans="2:3" x14ac:dyDescent="0.25">
      <c r="B6503" s="463"/>
      <c r="C6503" s="463"/>
    </row>
    <row r="6504" spans="2:3" x14ac:dyDescent="0.25">
      <c r="B6504" s="463"/>
      <c r="C6504" s="463"/>
    </row>
    <row r="6505" spans="2:3" x14ac:dyDescent="0.25">
      <c r="B6505" s="463"/>
      <c r="C6505" s="463"/>
    </row>
    <row r="6506" spans="2:3" x14ac:dyDescent="0.25">
      <c r="B6506" s="463"/>
      <c r="C6506" s="463"/>
    </row>
    <row r="6507" spans="2:3" x14ac:dyDescent="0.25">
      <c r="B6507" s="463"/>
      <c r="C6507" s="463"/>
    </row>
    <row r="6508" spans="2:3" x14ac:dyDescent="0.25">
      <c r="B6508" s="463"/>
      <c r="C6508" s="463"/>
    </row>
    <row r="6509" spans="2:3" x14ac:dyDescent="0.25">
      <c r="B6509" s="463"/>
      <c r="C6509" s="463"/>
    </row>
    <row r="6510" spans="2:3" x14ac:dyDescent="0.25">
      <c r="B6510" s="463"/>
      <c r="C6510" s="463"/>
    </row>
    <row r="6511" spans="2:3" x14ac:dyDescent="0.25">
      <c r="B6511" s="463"/>
      <c r="C6511" s="463"/>
    </row>
    <row r="6512" spans="2:3" x14ac:dyDescent="0.25">
      <c r="B6512" s="463"/>
      <c r="C6512" s="463"/>
    </row>
    <row r="6513" spans="2:3" x14ac:dyDescent="0.25">
      <c r="B6513" s="463"/>
      <c r="C6513" s="463"/>
    </row>
    <row r="6514" spans="2:3" x14ac:dyDescent="0.25">
      <c r="B6514" s="463"/>
      <c r="C6514" s="463"/>
    </row>
    <row r="6515" spans="2:3" x14ac:dyDescent="0.25">
      <c r="B6515" s="463"/>
      <c r="C6515" s="463"/>
    </row>
    <row r="6516" spans="2:3" x14ac:dyDescent="0.25">
      <c r="B6516" s="463"/>
      <c r="C6516" s="463"/>
    </row>
    <row r="6517" spans="2:3" x14ac:dyDescent="0.25">
      <c r="B6517" s="463"/>
      <c r="C6517" s="463"/>
    </row>
    <row r="6518" spans="2:3" x14ac:dyDescent="0.25">
      <c r="B6518" s="463"/>
      <c r="C6518" s="463"/>
    </row>
    <row r="6519" spans="2:3" x14ac:dyDescent="0.25">
      <c r="B6519" s="463"/>
      <c r="C6519" s="463"/>
    </row>
    <row r="6520" spans="2:3" x14ac:dyDescent="0.25">
      <c r="B6520" s="463"/>
      <c r="C6520" s="463"/>
    </row>
    <row r="6521" spans="2:3" x14ac:dyDescent="0.25">
      <c r="B6521" s="463"/>
      <c r="C6521" s="463"/>
    </row>
    <row r="6522" spans="2:3" x14ac:dyDescent="0.25">
      <c r="B6522" s="463"/>
      <c r="C6522" s="463"/>
    </row>
    <row r="6523" spans="2:3" x14ac:dyDescent="0.25">
      <c r="B6523" s="463"/>
      <c r="C6523" s="463"/>
    </row>
    <row r="6524" spans="2:3" x14ac:dyDescent="0.25">
      <c r="B6524" s="463"/>
      <c r="C6524" s="463"/>
    </row>
    <row r="6525" spans="2:3" x14ac:dyDescent="0.25">
      <c r="B6525" s="463"/>
      <c r="C6525" s="463"/>
    </row>
    <row r="6526" spans="2:3" x14ac:dyDescent="0.25">
      <c r="B6526" s="463"/>
      <c r="C6526" s="463"/>
    </row>
    <row r="6527" spans="2:3" x14ac:dyDescent="0.25">
      <c r="B6527" s="463"/>
      <c r="C6527" s="463"/>
    </row>
    <row r="6528" spans="2:3" x14ac:dyDescent="0.25">
      <c r="B6528" s="463"/>
      <c r="C6528" s="463"/>
    </row>
    <row r="6529" spans="2:3" x14ac:dyDescent="0.25">
      <c r="B6529" s="463"/>
      <c r="C6529" s="463"/>
    </row>
    <row r="6530" spans="2:3" x14ac:dyDescent="0.25">
      <c r="B6530" s="463"/>
      <c r="C6530" s="463"/>
    </row>
    <row r="6531" spans="2:3" x14ac:dyDescent="0.25">
      <c r="B6531" s="463"/>
      <c r="C6531" s="463"/>
    </row>
    <row r="6532" spans="2:3" x14ac:dyDescent="0.25">
      <c r="B6532" s="463"/>
      <c r="C6532" s="463"/>
    </row>
    <row r="6533" spans="2:3" x14ac:dyDescent="0.25">
      <c r="B6533" s="463"/>
      <c r="C6533" s="463"/>
    </row>
    <row r="6534" spans="2:3" x14ac:dyDescent="0.25">
      <c r="B6534" s="463"/>
      <c r="C6534" s="463"/>
    </row>
    <row r="6535" spans="2:3" x14ac:dyDescent="0.25">
      <c r="B6535" s="463"/>
      <c r="C6535" s="463"/>
    </row>
    <row r="6536" spans="2:3" x14ac:dyDescent="0.25">
      <c r="B6536" s="463"/>
      <c r="C6536" s="463"/>
    </row>
    <row r="6537" spans="2:3" x14ac:dyDescent="0.25">
      <c r="B6537" s="463"/>
      <c r="C6537" s="463"/>
    </row>
    <row r="6538" spans="2:3" x14ac:dyDescent="0.25">
      <c r="B6538" s="463"/>
      <c r="C6538" s="463"/>
    </row>
    <row r="6539" spans="2:3" x14ac:dyDescent="0.25">
      <c r="B6539" s="463"/>
      <c r="C6539" s="463"/>
    </row>
    <row r="6540" spans="2:3" x14ac:dyDescent="0.25">
      <c r="B6540" s="463"/>
      <c r="C6540" s="463"/>
    </row>
    <row r="6541" spans="2:3" x14ac:dyDescent="0.25">
      <c r="B6541" s="463"/>
      <c r="C6541" s="463"/>
    </row>
    <row r="6542" spans="2:3" x14ac:dyDescent="0.25">
      <c r="B6542" s="463"/>
      <c r="C6542" s="463"/>
    </row>
    <row r="6543" spans="2:3" x14ac:dyDescent="0.25">
      <c r="B6543" s="463"/>
      <c r="C6543" s="463"/>
    </row>
    <row r="6544" spans="2:3" x14ac:dyDescent="0.25">
      <c r="B6544" s="463"/>
      <c r="C6544" s="463"/>
    </row>
    <row r="6545" spans="2:3" x14ac:dyDescent="0.25">
      <c r="B6545" s="463"/>
      <c r="C6545" s="463"/>
    </row>
    <row r="6546" spans="2:3" x14ac:dyDescent="0.25">
      <c r="B6546" s="463"/>
      <c r="C6546" s="463"/>
    </row>
    <row r="6547" spans="2:3" x14ac:dyDescent="0.25">
      <c r="B6547" s="463"/>
      <c r="C6547" s="463"/>
    </row>
    <row r="6548" spans="2:3" x14ac:dyDescent="0.25">
      <c r="B6548" s="463"/>
      <c r="C6548" s="463"/>
    </row>
    <row r="6549" spans="2:3" x14ac:dyDescent="0.25">
      <c r="B6549" s="463"/>
      <c r="C6549" s="463"/>
    </row>
    <row r="6550" spans="2:3" x14ac:dyDescent="0.25">
      <c r="B6550" s="463"/>
      <c r="C6550" s="463"/>
    </row>
    <row r="6551" spans="2:3" x14ac:dyDescent="0.25">
      <c r="B6551" s="463"/>
      <c r="C6551" s="463"/>
    </row>
    <row r="6552" spans="2:3" x14ac:dyDescent="0.25">
      <c r="B6552" s="463"/>
      <c r="C6552" s="463"/>
    </row>
    <row r="6553" spans="2:3" x14ac:dyDescent="0.25">
      <c r="B6553" s="463"/>
      <c r="C6553" s="463"/>
    </row>
    <row r="6554" spans="2:3" x14ac:dyDescent="0.25">
      <c r="B6554" s="463"/>
      <c r="C6554" s="463"/>
    </row>
    <row r="6555" spans="2:3" x14ac:dyDescent="0.25">
      <c r="B6555" s="463"/>
      <c r="C6555" s="463"/>
    </row>
    <row r="6556" spans="2:3" x14ac:dyDescent="0.25">
      <c r="B6556" s="463"/>
      <c r="C6556" s="463"/>
    </row>
    <row r="6557" spans="2:3" x14ac:dyDescent="0.25">
      <c r="B6557" s="463"/>
      <c r="C6557" s="463"/>
    </row>
    <row r="6558" spans="2:3" x14ac:dyDescent="0.25">
      <c r="B6558" s="463"/>
      <c r="C6558" s="463"/>
    </row>
    <row r="6559" spans="2:3" x14ac:dyDescent="0.25">
      <c r="B6559" s="463"/>
      <c r="C6559" s="463"/>
    </row>
    <row r="6560" spans="2:3" x14ac:dyDescent="0.25">
      <c r="B6560" s="463"/>
      <c r="C6560" s="463"/>
    </row>
    <row r="6561" spans="2:3" x14ac:dyDescent="0.25">
      <c r="B6561" s="463"/>
      <c r="C6561" s="463"/>
    </row>
    <row r="6562" spans="2:3" x14ac:dyDescent="0.25">
      <c r="B6562" s="463"/>
      <c r="C6562" s="463"/>
    </row>
    <row r="6563" spans="2:3" x14ac:dyDescent="0.25">
      <c r="B6563" s="463"/>
      <c r="C6563" s="463"/>
    </row>
    <row r="6564" spans="2:3" x14ac:dyDescent="0.25">
      <c r="B6564" s="463"/>
      <c r="C6564" s="463"/>
    </row>
    <row r="6565" spans="2:3" x14ac:dyDescent="0.25">
      <c r="B6565" s="463"/>
      <c r="C6565" s="463"/>
    </row>
    <row r="6566" spans="2:3" x14ac:dyDescent="0.25">
      <c r="B6566" s="463"/>
      <c r="C6566" s="463"/>
    </row>
    <row r="6567" spans="2:3" x14ac:dyDescent="0.25">
      <c r="B6567" s="463"/>
      <c r="C6567" s="463"/>
    </row>
    <row r="6568" spans="2:3" x14ac:dyDescent="0.25">
      <c r="B6568" s="463"/>
      <c r="C6568" s="463"/>
    </row>
    <row r="6569" spans="2:3" x14ac:dyDescent="0.25">
      <c r="B6569" s="463"/>
      <c r="C6569" s="463"/>
    </row>
    <row r="6570" spans="2:3" x14ac:dyDescent="0.25">
      <c r="B6570" s="463"/>
      <c r="C6570" s="463"/>
    </row>
    <row r="6571" spans="2:3" x14ac:dyDescent="0.25">
      <c r="B6571" s="463"/>
      <c r="C6571" s="463"/>
    </row>
    <row r="6572" spans="2:3" x14ac:dyDescent="0.25">
      <c r="B6572" s="463"/>
      <c r="C6572" s="463"/>
    </row>
    <row r="6573" spans="2:3" x14ac:dyDescent="0.25">
      <c r="B6573" s="463"/>
      <c r="C6573" s="463"/>
    </row>
    <row r="6574" spans="2:3" x14ac:dyDescent="0.25">
      <c r="B6574" s="463"/>
      <c r="C6574" s="463"/>
    </row>
    <row r="6575" spans="2:3" x14ac:dyDescent="0.25">
      <c r="B6575" s="463"/>
      <c r="C6575" s="463"/>
    </row>
    <row r="6576" spans="2:3" x14ac:dyDescent="0.25">
      <c r="B6576" s="463"/>
      <c r="C6576" s="463"/>
    </row>
    <row r="6577" spans="2:3" x14ac:dyDescent="0.25">
      <c r="B6577" s="463"/>
      <c r="C6577" s="463"/>
    </row>
    <row r="6578" spans="2:3" x14ac:dyDescent="0.25">
      <c r="B6578" s="463"/>
      <c r="C6578" s="463"/>
    </row>
    <row r="6579" spans="2:3" x14ac:dyDescent="0.25">
      <c r="B6579" s="463"/>
      <c r="C6579" s="463"/>
    </row>
    <row r="6580" spans="2:3" x14ac:dyDescent="0.25">
      <c r="B6580" s="463"/>
      <c r="C6580" s="463"/>
    </row>
    <row r="6581" spans="2:3" x14ac:dyDescent="0.25">
      <c r="B6581" s="463"/>
      <c r="C6581" s="463"/>
    </row>
    <row r="6582" spans="2:3" x14ac:dyDescent="0.25">
      <c r="B6582" s="463"/>
      <c r="C6582" s="463"/>
    </row>
    <row r="6583" spans="2:3" x14ac:dyDescent="0.25">
      <c r="B6583" s="463"/>
      <c r="C6583" s="463"/>
    </row>
    <row r="6584" spans="2:3" x14ac:dyDescent="0.25">
      <c r="B6584" s="463"/>
      <c r="C6584" s="463"/>
    </row>
    <row r="6585" spans="2:3" x14ac:dyDescent="0.25">
      <c r="B6585" s="463"/>
      <c r="C6585" s="463"/>
    </row>
    <row r="6586" spans="2:3" x14ac:dyDescent="0.25">
      <c r="B6586" s="463"/>
      <c r="C6586" s="463"/>
    </row>
    <row r="6587" spans="2:3" x14ac:dyDescent="0.25">
      <c r="B6587" s="463"/>
      <c r="C6587" s="463"/>
    </row>
    <row r="6588" spans="2:3" x14ac:dyDescent="0.25">
      <c r="B6588" s="463"/>
      <c r="C6588" s="463"/>
    </row>
    <row r="6589" spans="2:3" x14ac:dyDescent="0.25">
      <c r="B6589" s="463"/>
      <c r="C6589" s="463"/>
    </row>
    <row r="6590" spans="2:3" x14ac:dyDescent="0.25">
      <c r="B6590" s="463"/>
      <c r="C6590" s="463"/>
    </row>
    <row r="6591" spans="2:3" x14ac:dyDescent="0.25">
      <c r="B6591" s="463"/>
      <c r="C6591" s="463"/>
    </row>
    <row r="6592" spans="2:3" x14ac:dyDescent="0.25">
      <c r="B6592" s="463"/>
      <c r="C6592" s="463"/>
    </row>
    <row r="6593" spans="2:3" x14ac:dyDescent="0.25">
      <c r="B6593" s="463"/>
      <c r="C6593" s="463"/>
    </row>
    <row r="6594" spans="2:3" x14ac:dyDescent="0.25">
      <c r="B6594" s="463"/>
      <c r="C6594" s="463"/>
    </row>
    <row r="6595" spans="2:3" x14ac:dyDescent="0.25">
      <c r="B6595" s="463"/>
      <c r="C6595" s="463"/>
    </row>
    <row r="6596" spans="2:3" x14ac:dyDescent="0.25">
      <c r="B6596" s="463"/>
      <c r="C6596" s="463"/>
    </row>
    <row r="6597" spans="2:3" x14ac:dyDescent="0.25">
      <c r="B6597" s="463"/>
      <c r="C6597" s="463"/>
    </row>
    <row r="6598" spans="2:3" x14ac:dyDescent="0.25">
      <c r="B6598" s="463"/>
      <c r="C6598" s="463"/>
    </row>
    <row r="6599" spans="2:3" x14ac:dyDescent="0.25">
      <c r="B6599" s="463"/>
      <c r="C6599" s="463"/>
    </row>
    <row r="6600" spans="2:3" x14ac:dyDescent="0.25">
      <c r="B6600" s="463"/>
      <c r="C6600" s="463"/>
    </row>
    <row r="6601" spans="2:3" x14ac:dyDescent="0.25">
      <c r="B6601" s="463"/>
      <c r="C6601" s="463"/>
    </row>
    <row r="6602" spans="2:3" x14ac:dyDescent="0.25">
      <c r="B6602" s="463"/>
      <c r="C6602" s="463"/>
    </row>
    <row r="6603" spans="2:3" x14ac:dyDescent="0.25">
      <c r="B6603" s="463"/>
      <c r="C6603" s="463"/>
    </row>
    <row r="6604" spans="2:3" x14ac:dyDescent="0.25">
      <c r="B6604" s="463"/>
      <c r="C6604" s="463"/>
    </row>
    <row r="6605" spans="2:3" x14ac:dyDescent="0.25">
      <c r="B6605" s="463"/>
      <c r="C6605" s="463"/>
    </row>
    <row r="6606" spans="2:3" x14ac:dyDescent="0.25">
      <c r="B6606" s="463"/>
      <c r="C6606" s="463"/>
    </row>
    <row r="6607" spans="2:3" x14ac:dyDescent="0.25">
      <c r="B6607" s="463"/>
      <c r="C6607" s="463"/>
    </row>
    <row r="6608" spans="2:3" x14ac:dyDescent="0.25">
      <c r="B6608" s="463"/>
      <c r="C6608" s="463"/>
    </row>
    <row r="6609" spans="2:3" x14ac:dyDescent="0.25">
      <c r="B6609" s="463"/>
      <c r="C6609" s="463"/>
    </row>
    <row r="6610" spans="2:3" x14ac:dyDescent="0.25">
      <c r="B6610" s="463"/>
      <c r="C6610" s="463"/>
    </row>
    <row r="6611" spans="2:3" x14ac:dyDescent="0.25">
      <c r="B6611" s="463"/>
      <c r="C6611" s="463"/>
    </row>
    <row r="6612" spans="2:3" x14ac:dyDescent="0.25">
      <c r="B6612" s="463"/>
      <c r="C6612" s="463"/>
    </row>
    <row r="6613" spans="2:3" x14ac:dyDescent="0.25">
      <c r="B6613" s="463"/>
      <c r="C6613" s="463"/>
    </row>
    <row r="6614" spans="2:3" x14ac:dyDescent="0.25">
      <c r="B6614" s="463"/>
      <c r="C6614" s="463"/>
    </row>
    <row r="6615" spans="2:3" x14ac:dyDescent="0.25">
      <c r="B6615" s="463"/>
      <c r="C6615" s="463"/>
    </row>
    <row r="6616" spans="2:3" x14ac:dyDescent="0.25">
      <c r="B6616" s="463"/>
      <c r="C6616" s="463"/>
    </row>
    <row r="6617" spans="2:3" x14ac:dyDescent="0.25">
      <c r="B6617" s="463"/>
      <c r="C6617" s="463"/>
    </row>
    <row r="6618" spans="2:3" x14ac:dyDescent="0.25">
      <c r="B6618" s="463"/>
      <c r="C6618" s="463"/>
    </row>
    <row r="6619" spans="2:3" x14ac:dyDescent="0.25">
      <c r="B6619" s="463"/>
      <c r="C6619" s="463"/>
    </row>
    <row r="6620" spans="2:3" x14ac:dyDescent="0.25">
      <c r="B6620" s="463"/>
      <c r="C6620" s="463"/>
    </row>
    <row r="6621" spans="2:3" x14ac:dyDescent="0.25">
      <c r="B6621" s="463"/>
      <c r="C6621" s="463"/>
    </row>
    <row r="6622" spans="2:3" x14ac:dyDescent="0.25">
      <c r="B6622" s="463"/>
      <c r="C6622" s="463"/>
    </row>
    <row r="6623" spans="2:3" x14ac:dyDescent="0.25">
      <c r="B6623" s="463"/>
      <c r="C6623" s="463"/>
    </row>
    <row r="6624" spans="2:3" x14ac:dyDescent="0.25">
      <c r="B6624" s="463"/>
      <c r="C6624" s="463"/>
    </row>
    <row r="6625" spans="2:3" x14ac:dyDescent="0.25">
      <c r="B6625" s="463"/>
      <c r="C6625" s="463"/>
    </row>
    <row r="6626" spans="2:3" x14ac:dyDescent="0.25">
      <c r="B6626" s="463"/>
      <c r="C6626" s="463"/>
    </row>
    <row r="6627" spans="2:3" x14ac:dyDescent="0.25">
      <c r="B6627" s="463"/>
      <c r="C6627" s="463"/>
    </row>
    <row r="6628" spans="2:3" x14ac:dyDescent="0.25">
      <c r="B6628" s="463"/>
      <c r="C6628" s="463"/>
    </row>
    <row r="6629" spans="2:3" x14ac:dyDescent="0.25">
      <c r="B6629" s="463"/>
      <c r="C6629" s="463"/>
    </row>
    <row r="6630" spans="2:3" x14ac:dyDescent="0.25">
      <c r="B6630" s="463"/>
      <c r="C6630" s="463"/>
    </row>
    <row r="6631" spans="2:3" x14ac:dyDescent="0.25">
      <c r="B6631" s="463"/>
      <c r="C6631" s="463"/>
    </row>
    <row r="6632" spans="2:3" x14ac:dyDescent="0.25">
      <c r="B6632" s="463"/>
      <c r="C6632" s="463"/>
    </row>
    <row r="6633" spans="2:3" x14ac:dyDescent="0.25">
      <c r="B6633" s="463"/>
      <c r="C6633" s="463"/>
    </row>
    <row r="6634" spans="2:3" x14ac:dyDescent="0.25">
      <c r="B6634" s="463"/>
      <c r="C6634" s="463"/>
    </row>
    <row r="6635" spans="2:3" x14ac:dyDescent="0.25">
      <c r="B6635" s="463"/>
      <c r="C6635" s="463"/>
    </row>
    <row r="6636" spans="2:3" x14ac:dyDescent="0.25">
      <c r="B6636" s="463"/>
      <c r="C6636" s="463"/>
    </row>
    <row r="6637" spans="2:3" x14ac:dyDescent="0.25">
      <c r="B6637" s="463"/>
      <c r="C6637" s="463"/>
    </row>
    <row r="6638" spans="2:3" x14ac:dyDescent="0.25">
      <c r="B6638" s="463"/>
      <c r="C6638" s="463"/>
    </row>
    <row r="6639" spans="2:3" x14ac:dyDescent="0.25">
      <c r="B6639" s="463"/>
      <c r="C6639" s="463"/>
    </row>
    <row r="6640" spans="2:3" x14ac:dyDescent="0.25">
      <c r="B6640" s="463"/>
      <c r="C6640" s="463"/>
    </row>
    <row r="6641" spans="2:3" x14ac:dyDescent="0.25">
      <c r="B6641" s="463"/>
      <c r="C6641" s="463"/>
    </row>
    <row r="6642" spans="2:3" x14ac:dyDescent="0.25">
      <c r="B6642" s="463"/>
      <c r="C6642" s="463"/>
    </row>
    <row r="6643" spans="2:3" x14ac:dyDescent="0.25">
      <c r="B6643" s="463"/>
      <c r="C6643" s="463"/>
    </row>
    <row r="6644" spans="2:3" x14ac:dyDescent="0.25">
      <c r="B6644" s="463"/>
      <c r="C6644" s="463"/>
    </row>
    <row r="6645" spans="2:3" x14ac:dyDescent="0.25">
      <c r="B6645" s="463"/>
      <c r="C6645" s="463"/>
    </row>
    <row r="6646" spans="2:3" x14ac:dyDescent="0.25">
      <c r="B6646" s="463"/>
      <c r="C6646" s="463"/>
    </row>
    <row r="6647" spans="2:3" x14ac:dyDescent="0.25">
      <c r="B6647" s="463"/>
      <c r="C6647" s="463"/>
    </row>
    <row r="6648" spans="2:3" x14ac:dyDescent="0.25">
      <c r="B6648" s="463"/>
      <c r="C6648" s="463"/>
    </row>
    <row r="6649" spans="2:3" x14ac:dyDescent="0.25">
      <c r="B6649" s="463"/>
      <c r="C6649" s="463"/>
    </row>
    <row r="6650" spans="2:3" x14ac:dyDescent="0.25">
      <c r="B6650" s="463"/>
      <c r="C6650" s="463"/>
    </row>
    <row r="6651" spans="2:3" x14ac:dyDescent="0.25">
      <c r="B6651" s="463"/>
      <c r="C6651" s="463"/>
    </row>
    <row r="6652" spans="2:3" x14ac:dyDescent="0.25">
      <c r="B6652" s="463"/>
      <c r="C6652" s="463"/>
    </row>
    <row r="6653" spans="2:3" x14ac:dyDescent="0.25">
      <c r="B6653" s="463"/>
      <c r="C6653" s="463"/>
    </row>
    <row r="6654" spans="2:3" x14ac:dyDescent="0.25">
      <c r="B6654" s="463"/>
      <c r="C6654" s="463"/>
    </row>
    <row r="6655" spans="2:3" x14ac:dyDescent="0.25">
      <c r="B6655" s="463"/>
      <c r="C6655" s="463"/>
    </row>
    <row r="6656" spans="2:3" x14ac:dyDescent="0.25">
      <c r="B6656" s="463"/>
      <c r="C6656" s="463"/>
    </row>
    <row r="6657" spans="2:3" x14ac:dyDescent="0.25">
      <c r="B6657" s="463"/>
      <c r="C6657" s="463"/>
    </row>
    <row r="6658" spans="2:3" x14ac:dyDescent="0.25">
      <c r="B6658" s="463"/>
      <c r="C6658" s="463"/>
    </row>
    <row r="6659" spans="2:3" x14ac:dyDescent="0.25">
      <c r="B6659" s="463"/>
      <c r="C6659" s="463"/>
    </row>
    <row r="6660" spans="2:3" x14ac:dyDescent="0.25">
      <c r="B6660" s="463"/>
      <c r="C6660" s="463"/>
    </row>
    <row r="6661" spans="2:3" x14ac:dyDescent="0.25">
      <c r="B6661" s="463"/>
      <c r="C6661" s="463"/>
    </row>
    <row r="6662" spans="2:3" x14ac:dyDescent="0.25">
      <c r="B6662" s="463"/>
      <c r="C6662" s="463"/>
    </row>
    <row r="6663" spans="2:3" x14ac:dyDescent="0.25">
      <c r="B6663" s="463"/>
      <c r="C6663" s="463"/>
    </row>
    <row r="6664" spans="2:3" x14ac:dyDescent="0.25">
      <c r="B6664" s="463"/>
      <c r="C6664" s="463"/>
    </row>
    <row r="6665" spans="2:3" x14ac:dyDescent="0.25">
      <c r="B6665" s="463"/>
      <c r="C6665" s="463"/>
    </row>
    <row r="6666" spans="2:3" x14ac:dyDescent="0.25">
      <c r="B6666" s="463"/>
      <c r="C6666" s="463"/>
    </row>
    <row r="6667" spans="2:3" x14ac:dyDescent="0.25">
      <c r="B6667" s="463"/>
      <c r="C6667" s="463"/>
    </row>
    <row r="6668" spans="2:3" x14ac:dyDescent="0.25">
      <c r="B6668" s="463"/>
      <c r="C6668" s="463"/>
    </row>
    <row r="6669" spans="2:3" x14ac:dyDescent="0.25">
      <c r="B6669" s="463"/>
      <c r="C6669" s="463"/>
    </row>
    <row r="6670" spans="2:3" x14ac:dyDescent="0.25">
      <c r="B6670" s="463"/>
      <c r="C6670" s="463"/>
    </row>
    <row r="6671" spans="2:3" x14ac:dyDescent="0.25">
      <c r="B6671" s="463"/>
      <c r="C6671" s="463"/>
    </row>
    <row r="6672" spans="2:3" x14ac:dyDescent="0.25">
      <c r="B6672" s="463"/>
      <c r="C6672" s="463"/>
    </row>
    <row r="6673" spans="2:3" x14ac:dyDescent="0.25">
      <c r="B6673" s="463"/>
      <c r="C6673" s="463"/>
    </row>
    <row r="6674" spans="2:3" x14ac:dyDescent="0.25">
      <c r="B6674" s="463"/>
      <c r="C6674" s="463"/>
    </row>
    <row r="6675" spans="2:3" x14ac:dyDescent="0.25">
      <c r="B6675" s="463"/>
      <c r="C6675" s="463"/>
    </row>
    <row r="6676" spans="2:3" x14ac:dyDescent="0.25">
      <c r="B6676" s="463"/>
      <c r="C6676" s="463"/>
    </row>
    <row r="6677" spans="2:3" x14ac:dyDescent="0.25">
      <c r="B6677" s="463"/>
      <c r="C6677" s="463"/>
    </row>
    <row r="6678" spans="2:3" x14ac:dyDescent="0.25">
      <c r="B6678" s="463"/>
      <c r="C6678" s="463"/>
    </row>
    <row r="6679" spans="2:3" x14ac:dyDescent="0.25">
      <c r="B6679" s="463"/>
      <c r="C6679" s="463"/>
    </row>
    <row r="6680" spans="2:3" x14ac:dyDescent="0.25">
      <c r="B6680" s="463"/>
      <c r="C6680" s="463"/>
    </row>
    <row r="6681" spans="2:3" x14ac:dyDescent="0.25">
      <c r="B6681" s="463"/>
      <c r="C6681" s="463"/>
    </row>
    <row r="6682" spans="2:3" x14ac:dyDescent="0.25">
      <c r="B6682" s="463"/>
      <c r="C6682" s="463"/>
    </row>
    <row r="6683" spans="2:3" x14ac:dyDescent="0.25">
      <c r="B6683" s="463"/>
      <c r="C6683" s="463"/>
    </row>
    <row r="6684" spans="2:3" x14ac:dyDescent="0.25">
      <c r="B6684" s="463"/>
      <c r="C6684" s="463"/>
    </row>
    <row r="6685" spans="2:3" x14ac:dyDescent="0.25">
      <c r="B6685" s="463"/>
      <c r="C6685" s="463"/>
    </row>
    <row r="6686" spans="2:3" x14ac:dyDescent="0.25">
      <c r="B6686" s="463"/>
      <c r="C6686" s="463"/>
    </row>
    <row r="6687" spans="2:3" x14ac:dyDescent="0.25">
      <c r="B6687" s="463"/>
      <c r="C6687" s="463"/>
    </row>
    <row r="6688" spans="2:3" x14ac:dyDescent="0.25">
      <c r="B6688" s="463"/>
      <c r="C6688" s="463"/>
    </row>
    <row r="6689" spans="2:3" x14ac:dyDescent="0.25">
      <c r="B6689" s="463"/>
      <c r="C6689" s="463"/>
    </row>
    <row r="6690" spans="2:3" x14ac:dyDescent="0.25">
      <c r="B6690" s="463"/>
      <c r="C6690" s="463"/>
    </row>
    <row r="6691" spans="2:3" x14ac:dyDescent="0.25">
      <c r="B6691" s="463"/>
      <c r="C6691" s="463"/>
    </row>
    <row r="6692" spans="2:3" x14ac:dyDescent="0.25">
      <c r="B6692" s="463"/>
      <c r="C6692" s="463"/>
    </row>
    <row r="6693" spans="2:3" x14ac:dyDescent="0.25">
      <c r="B6693" s="463"/>
      <c r="C6693" s="463"/>
    </row>
    <row r="6694" spans="2:3" x14ac:dyDescent="0.25">
      <c r="B6694" s="463"/>
      <c r="C6694" s="463"/>
    </row>
    <row r="6695" spans="2:3" x14ac:dyDescent="0.25">
      <c r="B6695" s="463"/>
      <c r="C6695" s="463"/>
    </row>
    <row r="6696" spans="2:3" x14ac:dyDescent="0.25">
      <c r="B6696" s="463"/>
      <c r="C6696" s="463"/>
    </row>
    <row r="6697" spans="2:3" x14ac:dyDescent="0.25">
      <c r="B6697" s="463"/>
      <c r="C6697" s="463"/>
    </row>
    <row r="6698" spans="2:3" x14ac:dyDescent="0.25">
      <c r="B6698" s="463"/>
      <c r="C6698" s="463"/>
    </row>
    <row r="6699" spans="2:3" x14ac:dyDescent="0.25">
      <c r="B6699" s="463"/>
      <c r="C6699" s="463"/>
    </row>
    <row r="6700" spans="2:3" x14ac:dyDescent="0.25">
      <c r="B6700" s="463"/>
      <c r="C6700" s="463"/>
    </row>
    <row r="6701" spans="2:3" x14ac:dyDescent="0.25">
      <c r="B6701" s="463"/>
      <c r="C6701" s="463"/>
    </row>
    <row r="6702" spans="2:3" x14ac:dyDescent="0.25">
      <c r="B6702" s="463"/>
      <c r="C6702" s="463"/>
    </row>
    <row r="6703" spans="2:3" x14ac:dyDescent="0.25">
      <c r="B6703" s="463"/>
      <c r="C6703" s="463"/>
    </row>
    <row r="6704" spans="2:3" x14ac:dyDescent="0.25">
      <c r="B6704" s="463"/>
      <c r="C6704" s="463"/>
    </row>
    <row r="6705" spans="2:3" x14ac:dyDescent="0.25">
      <c r="B6705" s="463"/>
      <c r="C6705" s="463"/>
    </row>
    <row r="6706" spans="2:3" x14ac:dyDescent="0.25">
      <c r="B6706" s="463"/>
      <c r="C6706" s="463"/>
    </row>
    <row r="6707" spans="2:3" x14ac:dyDescent="0.25">
      <c r="B6707" s="463"/>
      <c r="C6707" s="463"/>
    </row>
    <row r="6708" spans="2:3" x14ac:dyDescent="0.25">
      <c r="B6708" s="463"/>
      <c r="C6708" s="463"/>
    </row>
    <row r="6709" spans="2:3" x14ac:dyDescent="0.25">
      <c r="B6709" s="463"/>
      <c r="C6709" s="463"/>
    </row>
    <row r="6710" spans="2:3" x14ac:dyDescent="0.25">
      <c r="B6710" s="463"/>
      <c r="C6710" s="463"/>
    </row>
    <row r="6711" spans="2:3" x14ac:dyDescent="0.25">
      <c r="B6711" s="463"/>
      <c r="C6711" s="463"/>
    </row>
    <row r="6712" spans="2:3" x14ac:dyDescent="0.25">
      <c r="B6712" s="463"/>
      <c r="C6712" s="463"/>
    </row>
    <row r="6713" spans="2:3" x14ac:dyDescent="0.25">
      <c r="B6713" s="463"/>
      <c r="C6713" s="463"/>
    </row>
    <row r="6714" spans="2:3" x14ac:dyDescent="0.25">
      <c r="B6714" s="463"/>
      <c r="C6714" s="463"/>
    </row>
    <row r="6715" spans="2:3" x14ac:dyDescent="0.25">
      <c r="B6715" s="463"/>
      <c r="C6715" s="463"/>
    </row>
    <row r="6716" spans="2:3" x14ac:dyDescent="0.25">
      <c r="B6716" s="463"/>
      <c r="C6716" s="463"/>
    </row>
    <row r="6717" spans="2:3" x14ac:dyDescent="0.25">
      <c r="B6717" s="463"/>
      <c r="C6717" s="463"/>
    </row>
    <row r="6718" spans="2:3" x14ac:dyDescent="0.25">
      <c r="B6718" s="463"/>
      <c r="C6718" s="463"/>
    </row>
    <row r="6719" spans="2:3" x14ac:dyDescent="0.25">
      <c r="B6719" s="463"/>
      <c r="C6719" s="463"/>
    </row>
    <row r="6720" spans="2:3" x14ac:dyDescent="0.25">
      <c r="B6720" s="463"/>
      <c r="C6720" s="463"/>
    </row>
    <row r="6721" spans="2:3" x14ac:dyDescent="0.25">
      <c r="B6721" s="463"/>
      <c r="C6721" s="463"/>
    </row>
    <row r="6722" spans="2:3" x14ac:dyDescent="0.25">
      <c r="B6722" s="463"/>
      <c r="C6722" s="463"/>
    </row>
    <row r="6723" spans="2:3" x14ac:dyDescent="0.25">
      <c r="B6723" s="463"/>
      <c r="C6723" s="463"/>
    </row>
    <row r="6724" spans="2:3" x14ac:dyDescent="0.25">
      <c r="B6724" s="463"/>
      <c r="C6724" s="463"/>
    </row>
    <row r="6725" spans="2:3" x14ac:dyDescent="0.25">
      <c r="B6725" s="463"/>
      <c r="C6725" s="463"/>
    </row>
    <row r="6726" spans="2:3" x14ac:dyDescent="0.25">
      <c r="B6726" s="463"/>
      <c r="C6726" s="463"/>
    </row>
    <row r="6727" spans="2:3" x14ac:dyDescent="0.25">
      <c r="B6727" s="463"/>
      <c r="C6727" s="463"/>
    </row>
    <row r="6728" spans="2:3" x14ac:dyDescent="0.25">
      <c r="B6728" s="463"/>
      <c r="C6728" s="463"/>
    </row>
    <row r="6729" spans="2:3" x14ac:dyDescent="0.25">
      <c r="B6729" s="463"/>
      <c r="C6729" s="463"/>
    </row>
    <row r="6730" spans="2:3" x14ac:dyDescent="0.25">
      <c r="B6730" s="463"/>
      <c r="C6730" s="463"/>
    </row>
    <row r="6731" spans="2:3" x14ac:dyDescent="0.25">
      <c r="B6731" s="463"/>
      <c r="C6731" s="463"/>
    </row>
    <row r="6732" spans="2:3" x14ac:dyDescent="0.25">
      <c r="B6732" s="463"/>
      <c r="C6732" s="463"/>
    </row>
    <row r="6733" spans="2:3" x14ac:dyDescent="0.25">
      <c r="B6733" s="463"/>
      <c r="C6733" s="463"/>
    </row>
    <row r="6734" spans="2:3" x14ac:dyDescent="0.25">
      <c r="B6734" s="463"/>
      <c r="C6734" s="463"/>
    </row>
    <row r="6735" spans="2:3" x14ac:dyDescent="0.25">
      <c r="B6735" s="463"/>
      <c r="C6735" s="463"/>
    </row>
    <row r="6736" spans="2:3" x14ac:dyDescent="0.25">
      <c r="B6736" s="463"/>
      <c r="C6736" s="463"/>
    </row>
    <row r="6737" spans="2:3" x14ac:dyDescent="0.25">
      <c r="B6737" s="463"/>
      <c r="C6737" s="463"/>
    </row>
    <row r="6738" spans="2:3" x14ac:dyDescent="0.25">
      <c r="B6738" s="463"/>
      <c r="C6738" s="463"/>
    </row>
    <row r="6739" spans="2:3" x14ac:dyDescent="0.25">
      <c r="B6739" s="463"/>
      <c r="C6739" s="463"/>
    </row>
    <row r="6740" spans="2:3" x14ac:dyDescent="0.25">
      <c r="B6740" s="463"/>
      <c r="C6740" s="463"/>
    </row>
    <row r="6741" spans="2:3" x14ac:dyDescent="0.25">
      <c r="B6741" s="463"/>
      <c r="C6741" s="463"/>
    </row>
    <row r="6742" spans="2:3" x14ac:dyDescent="0.25">
      <c r="B6742" s="463"/>
      <c r="C6742" s="463"/>
    </row>
    <row r="6743" spans="2:3" x14ac:dyDescent="0.25">
      <c r="B6743" s="463"/>
      <c r="C6743" s="463"/>
    </row>
    <row r="6744" spans="2:3" x14ac:dyDescent="0.25">
      <c r="B6744" s="463"/>
      <c r="C6744" s="463"/>
    </row>
    <row r="6745" spans="2:3" x14ac:dyDescent="0.25">
      <c r="B6745" s="463"/>
      <c r="C6745" s="463"/>
    </row>
    <row r="6746" spans="2:3" x14ac:dyDescent="0.25">
      <c r="B6746" s="463"/>
      <c r="C6746" s="463"/>
    </row>
    <row r="6747" spans="2:3" x14ac:dyDescent="0.25">
      <c r="B6747" s="463"/>
      <c r="C6747" s="463"/>
    </row>
    <row r="6748" spans="2:3" x14ac:dyDescent="0.25">
      <c r="B6748" s="463"/>
      <c r="C6748" s="463"/>
    </row>
    <row r="6749" spans="2:3" x14ac:dyDescent="0.25">
      <c r="B6749" s="463"/>
      <c r="C6749" s="463"/>
    </row>
    <row r="6750" spans="2:3" x14ac:dyDescent="0.25">
      <c r="B6750" s="463"/>
      <c r="C6750" s="463"/>
    </row>
    <row r="6751" spans="2:3" x14ac:dyDescent="0.25">
      <c r="B6751" s="463"/>
      <c r="C6751" s="463"/>
    </row>
    <row r="6752" spans="2:3" x14ac:dyDescent="0.25">
      <c r="B6752" s="463"/>
      <c r="C6752" s="463"/>
    </row>
    <row r="6753" spans="2:3" x14ac:dyDescent="0.25">
      <c r="B6753" s="463"/>
      <c r="C6753" s="463"/>
    </row>
    <row r="6754" spans="2:3" x14ac:dyDescent="0.25">
      <c r="B6754" s="463"/>
      <c r="C6754" s="463"/>
    </row>
    <row r="6755" spans="2:3" x14ac:dyDescent="0.25">
      <c r="B6755" s="463"/>
      <c r="C6755" s="463"/>
    </row>
    <row r="6756" spans="2:3" x14ac:dyDescent="0.25">
      <c r="B6756" s="463"/>
      <c r="C6756" s="463"/>
    </row>
    <row r="6757" spans="2:3" x14ac:dyDescent="0.25">
      <c r="B6757" s="463"/>
      <c r="C6757" s="463"/>
    </row>
    <row r="6758" spans="2:3" x14ac:dyDescent="0.25">
      <c r="B6758" s="463"/>
      <c r="C6758" s="463"/>
    </row>
    <row r="6759" spans="2:3" x14ac:dyDescent="0.25">
      <c r="B6759" s="463"/>
      <c r="C6759" s="463"/>
    </row>
    <row r="6760" spans="2:3" x14ac:dyDescent="0.25">
      <c r="B6760" s="463"/>
      <c r="C6760" s="463"/>
    </row>
    <row r="6761" spans="2:3" x14ac:dyDescent="0.25">
      <c r="B6761" s="463"/>
      <c r="C6761" s="463"/>
    </row>
    <row r="6762" spans="2:3" x14ac:dyDescent="0.25">
      <c r="B6762" s="463"/>
      <c r="C6762" s="463"/>
    </row>
    <row r="6763" spans="2:3" x14ac:dyDescent="0.25">
      <c r="B6763" s="463"/>
      <c r="C6763" s="463"/>
    </row>
    <row r="6764" spans="2:3" x14ac:dyDescent="0.25">
      <c r="B6764" s="463"/>
      <c r="C6764" s="463"/>
    </row>
    <row r="6765" spans="2:3" x14ac:dyDescent="0.25">
      <c r="B6765" s="463"/>
      <c r="C6765" s="463"/>
    </row>
    <row r="6766" spans="2:3" x14ac:dyDescent="0.25">
      <c r="B6766" s="463"/>
      <c r="C6766" s="463"/>
    </row>
    <row r="6767" spans="2:3" x14ac:dyDescent="0.25">
      <c r="B6767" s="463"/>
      <c r="C6767" s="463"/>
    </row>
    <row r="6768" spans="2:3" x14ac:dyDescent="0.25">
      <c r="B6768" s="463"/>
      <c r="C6768" s="463"/>
    </row>
    <row r="6769" spans="2:3" x14ac:dyDescent="0.25">
      <c r="B6769" s="463"/>
      <c r="C6769" s="463"/>
    </row>
    <row r="6770" spans="2:3" x14ac:dyDescent="0.25">
      <c r="B6770" s="463"/>
      <c r="C6770" s="463"/>
    </row>
    <row r="6771" spans="2:3" x14ac:dyDescent="0.25">
      <c r="B6771" s="463"/>
      <c r="C6771" s="463"/>
    </row>
    <row r="6772" spans="2:3" x14ac:dyDescent="0.25">
      <c r="B6772" s="463"/>
      <c r="C6772" s="463"/>
    </row>
    <row r="6773" spans="2:3" x14ac:dyDescent="0.25">
      <c r="B6773" s="463"/>
      <c r="C6773" s="463"/>
    </row>
    <row r="6774" spans="2:3" x14ac:dyDescent="0.25">
      <c r="B6774" s="463"/>
      <c r="C6774" s="463"/>
    </row>
    <row r="6775" spans="2:3" x14ac:dyDescent="0.25">
      <c r="B6775" s="463"/>
      <c r="C6775" s="463"/>
    </row>
    <row r="6776" spans="2:3" x14ac:dyDescent="0.25">
      <c r="B6776" s="463"/>
      <c r="C6776" s="463"/>
    </row>
    <row r="6777" spans="2:3" x14ac:dyDescent="0.25">
      <c r="B6777" s="463"/>
      <c r="C6777" s="463"/>
    </row>
    <row r="6778" spans="2:3" x14ac:dyDescent="0.25">
      <c r="B6778" s="463"/>
      <c r="C6778" s="463"/>
    </row>
    <row r="6779" spans="2:3" x14ac:dyDescent="0.25">
      <c r="B6779" s="463"/>
      <c r="C6779" s="463"/>
    </row>
    <row r="6780" spans="2:3" x14ac:dyDescent="0.25">
      <c r="B6780" s="463"/>
      <c r="C6780" s="463"/>
    </row>
    <row r="6781" spans="2:3" x14ac:dyDescent="0.25">
      <c r="B6781" s="463"/>
      <c r="C6781" s="463"/>
    </row>
    <row r="6782" spans="2:3" x14ac:dyDescent="0.25">
      <c r="B6782" s="463"/>
      <c r="C6782" s="463"/>
    </row>
    <row r="6783" spans="2:3" x14ac:dyDescent="0.25">
      <c r="B6783" s="463"/>
      <c r="C6783" s="463"/>
    </row>
    <row r="6784" spans="2:3" x14ac:dyDescent="0.25">
      <c r="B6784" s="463"/>
      <c r="C6784" s="463"/>
    </row>
    <row r="6785" spans="2:3" x14ac:dyDescent="0.25">
      <c r="B6785" s="463"/>
      <c r="C6785" s="463"/>
    </row>
    <row r="6786" spans="2:3" x14ac:dyDescent="0.25">
      <c r="B6786" s="463"/>
      <c r="C6786" s="463"/>
    </row>
    <row r="6787" spans="2:3" x14ac:dyDescent="0.25">
      <c r="B6787" s="463"/>
      <c r="C6787" s="463"/>
    </row>
    <row r="6788" spans="2:3" x14ac:dyDescent="0.25">
      <c r="B6788" s="463"/>
      <c r="C6788" s="463"/>
    </row>
    <row r="6789" spans="2:3" x14ac:dyDescent="0.25">
      <c r="B6789" s="463"/>
      <c r="C6789" s="463"/>
    </row>
    <row r="6790" spans="2:3" x14ac:dyDescent="0.25">
      <c r="B6790" s="463"/>
      <c r="C6790" s="463"/>
    </row>
    <row r="6791" spans="2:3" x14ac:dyDescent="0.25">
      <c r="B6791" s="463"/>
      <c r="C6791" s="463"/>
    </row>
    <row r="6792" spans="2:3" x14ac:dyDescent="0.25">
      <c r="B6792" s="463"/>
      <c r="C6792" s="463"/>
    </row>
    <row r="6793" spans="2:3" x14ac:dyDescent="0.25">
      <c r="B6793" s="463"/>
      <c r="C6793" s="463"/>
    </row>
    <row r="6794" spans="2:3" x14ac:dyDescent="0.25">
      <c r="B6794" s="463"/>
      <c r="C6794" s="463"/>
    </row>
    <row r="6795" spans="2:3" x14ac:dyDescent="0.25">
      <c r="B6795" s="463"/>
      <c r="C6795" s="463"/>
    </row>
    <row r="6796" spans="2:3" x14ac:dyDescent="0.25">
      <c r="B6796" s="463"/>
      <c r="C6796" s="463"/>
    </row>
    <row r="6797" spans="2:3" x14ac:dyDescent="0.25">
      <c r="B6797" s="463"/>
      <c r="C6797" s="463"/>
    </row>
    <row r="6798" spans="2:3" x14ac:dyDescent="0.25">
      <c r="B6798" s="463"/>
      <c r="C6798" s="463"/>
    </row>
    <row r="6799" spans="2:3" x14ac:dyDescent="0.25">
      <c r="B6799" s="463"/>
      <c r="C6799" s="463"/>
    </row>
    <row r="6800" spans="2:3" x14ac:dyDescent="0.25">
      <c r="B6800" s="463"/>
      <c r="C6800" s="463"/>
    </row>
    <row r="6801" spans="2:3" x14ac:dyDescent="0.25">
      <c r="B6801" s="463"/>
      <c r="C6801" s="463"/>
    </row>
    <row r="6802" spans="2:3" x14ac:dyDescent="0.25">
      <c r="B6802" s="463"/>
      <c r="C6802" s="463"/>
    </row>
    <row r="6803" spans="2:3" x14ac:dyDescent="0.25">
      <c r="B6803" s="463"/>
      <c r="C6803" s="463"/>
    </row>
    <row r="6804" spans="2:3" x14ac:dyDescent="0.25">
      <c r="B6804" s="463"/>
      <c r="C6804" s="463"/>
    </row>
    <row r="6805" spans="2:3" x14ac:dyDescent="0.25">
      <c r="B6805" s="463"/>
      <c r="C6805" s="463"/>
    </row>
    <row r="6806" spans="2:3" x14ac:dyDescent="0.25">
      <c r="B6806" s="463"/>
      <c r="C6806" s="463"/>
    </row>
    <row r="6807" spans="2:3" x14ac:dyDescent="0.25">
      <c r="B6807" s="463"/>
      <c r="C6807" s="463"/>
    </row>
    <row r="6808" spans="2:3" x14ac:dyDescent="0.25">
      <c r="B6808" s="463"/>
      <c r="C6808" s="463"/>
    </row>
    <row r="6809" spans="2:3" x14ac:dyDescent="0.25">
      <c r="B6809" s="463"/>
      <c r="C6809" s="463"/>
    </row>
    <row r="6810" spans="2:3" x14ac:dyDescent="0.25">
      <c r="B6810" s="463"/>
      <c r="C6810" s="463"/>
    </row>
    <row r="6811" spans="2:3" x14ac:dyDescent="0.25">
      <c r="B6811" s="463"/>
      <c r="C6811" s="463"/>
    </row>
    <row r="6812" spans="2:3" x14ac:dyDescent="0.25">
      <c r="B6812" s="463"/>
      <c r="C6812" s="463"/>
    </row>
    <row r="6813" spans="2:3" x14ac:dyDescent="0.25">
      <c r="B6813" s="463"/>
      <c r="C6813" s="463"/>
    </row>
    <row r="6814" spans="2:3" x14ac:dyDescent="0.25">
      <c r="B6814" s="463"/>
      <c r="C6814" s="463"/>
    </row>
    <row r="6815" spans="2:3" x14ac:dyDescent="0.25">
      <c r="B6815" s="463"/>
      <c r="C6815" s="463"/>
    </row>
    <row r="6816" spans="2:3" x14ac:dyDescent="0.25">
      <c r="B6816" s="463"/>
      <c r="C6816" s="463"/>
    </row>
    <row r="6817" spans="2:3" x14ac:dyDescent="0.25">
      <c r="B6817" s="463"/>
      <c r="C6817" s="463"/>
    </row>
    <row r="6818" spans="2:3" x14ac:dyDescent="0.25">
      <c r="B6818" s="463"/>
      <c r="C6818" s="463"/>
    </row>
    <row r="6819" spans="2:3" x14ac:dyDescent="0.25">
      <c r="B6819" s="463"/>
      <c r="C6819" s="463"/>
    </row>
    <row r="6820" spans="2:3" x14ac:dyDescent="0.25">
      <c r="B6820" s="463"/>
      <c r="C6820" s="463"/>
    </row>
    <row r="6821" spans="2:3" x14ac:dyDescent="0.25">
      <c r="B6821" s="463"/>
      <c r="C6821" s="463"/>
    </row>
    <row r="6822" spans="2:3" x14ac:dyDescent="0.25">
      <c r="B6822" s="463"/>
      <c r="C6822" s="463"/>
    </row>
    <row r="6823" spans="2:3" x14ac:dyDescent="0.25">
      <c r="B6823" s="463"/>
      <c r="C6823" s="463"/>
    </row>
    <row r="6824" spans="2:3" x14ac:dyDescent="0.25">
      <c r="B6824" s="463"/>
      <c r="C6824" s="463"/>
    </row>
    <row r="6825" spans="2:3" x14ac:dyDescent="0.25">
      <c r="B6825" s="463"/>
      <c r="C6825" s="463"/>
    </row>
    <row r="6826" spans="2:3" x14ac:dyDescent="0.25">
      <c r="B6826" s="463"/>
      <c r="C6826" s="463"/>
    </row>
    <row r="6827" spans="2:3" x14ac:dyDescent="0.25">
      <c r="B6827" s="463"/>
      <c r="C6827" s="463"/>
    </row>
    <row r="6828" spans="2:3" x14ac:dyDescent="0.25">
      <c r="B6828" s="463"/>
      <c r="C6828" s="463"/>
    </row>
    <row r="6829" spans="2:3" x14ac:dyDescent="0.25">
      <c r="B6829" s="463"/>
      <c r="C6829" s="463"/>
    </row>
    <row r="6830" spans="2:3" x14ac:dyDescent="0.25">
      <c r="B6830" s="463"/>
      <c r="C6830" s="463"/>
    </row>
    <row r="6831" spans="2:3" x14ac:dyDescent="0.25">
      <c r="B6831" s="463"/>
      <c r="C6831" s="463"/>
    </row>
    <row r="6832" spans="2:3" x14ac:dyDescent="0.25">
      <c r="B6832" s="463"/>
      <c r="C6832" s="463"/>
    </row>
    <row r="6833" spans="2:3" x14ac:dyDescent="0.25">
      <c r="B6833" s="463"/>
      <c r="C6833" s="463"/>
    </row>
    <row r="6834" spans="2:3" x14ac:dyDescent="0.25">
      <c r="B6834" s="463"/>
      <c r="C6834" s="463"/>
    </row>
    <row r="6835" spans="2:3" x14ac:dyDescent="0.25">
      <c r="B6835" s="463"/>
      <c r="C6835" s="463"/>
    </row>
    <row r="6836" spans="2:3" x14ac:dyDescent="0.25">
      <c r="B6836" s="463"/>
      <c r="C6836" s="463"/>
    </row>
    <row r="6837" spans="2:3" x14ac:dyDescent="0.25">
      <c r="B6837" s="463"/>
      <c r="C6837" s="463"/>
    </row>
    <row r="6838" spans="2:3" x14ac:dyDescent="0.25">
      <c r="B6838" s="463"/>
      <c r="C6838" s="463"/>
    </row>
    <row r="6839" spans="2:3" x14ac:dyDescent="0.25">
      <c r="B6839" s="463"/>
      <c r="C6839" s="463"/>
    </row>
    <row r="6840" spans="2:3" x14ac:dyDescent="0.25">
      <c r="B6840" s="463"/>
      <c r="C6840" s="463"/>
    </row>
    <row r="6841" spans="2:3" x14ac:dyDescent="0.25">
      <c r="B6841" s="463"/>
      <c r="C6841" s="463"/>
    </row>
    <row r="6842" spans="2:3" x14ac:dyDescent="0.25">
      <c r="B6842" s="463"/>
      <c r="C6842" s="463"/>
    </row>
    <row r="6843" spans="2:3" x14ac:dyDescent="0.25">
      <c r="B6843" s="463"/>
      <c r="C6843" s="463"/>
    </row>
    <row r="6844" spans="2:3" x14ac:dyDescent="0.25">
      <c r="B6844" s="463"/>
      <c r="C6844" s="463"/>
    </row>
    <row r="6845" spans="2:3" x14ac:dyDescent="0.25">
      <c r="B6845" s="463"/>
      <c r="C6845" s="463"/>
    </row>
    <row r="6846" spans="2:3" x14ac:dyDescent="0.25">
      <c r="B6846" s="463"/>
      <c r="C6846" s="463"/>
    </row>
    <row r="6847" spans="2:3" x14ac:dyDescent="0.25">
      <c r="B6847" s="463"/>
      <c r="C6847" s="463"/>
    </row>
    <row r="6848" spans="2:3" x14ac:dyDescent="0.25">
      <c r="B6848" s="463"/>
      <c r="C6848" s="463"/>
    </row>
    <row r="6849" spans="2:3" x14ac:dyDescent="0.25">
      <c r="B6849" s="463"/>
      <c r="C6849" s="463"/>
    </row>
    <row r="6850" spans="2:3" x14ac:dyDescent="0.25">
      <c r="B6850" s="463"/>
      <c r="C6850" s="463"/>
    </row>
    <row r="6851" spans="2:3" x14ac:dyDescent="0.25">
      <c r="B6851" s="463"/>
      <c r="C6851" s="463"/>
    </row>
    <row r="6852" spans="2:3" x14ac:dyDescent="0.25">
      <c r="B6852" s="463"/>
      <c r="C6852" s="463"/>
    </row>
    <row r="6853" spans="2:3" x14ac:dyDescent="0.25">
      <c r="B6853" s="463"/>
      <c r="C6853" s="463"/>
    </row>
    <row r="6854" spans="2:3" x14ac:dyDescent="0.25">
      <c r="B6854" s="463"/>
      <c r="C6854" s="463"/>
    </row>
    <row r="6855" spans="2:3" x14ac:dyDescent="0.25">
      <c r="B6855" s="463"/>
      <c r="C6855" s="463"/>
    </row>
    <row r="6856" spans="2:3" x14ac:dyDescent="0.25">
      <c r="B6856" s="463"/>
      <c r="C6856" s="463"/>
    </row>
    <row r="6857" spans="2:3" x14ac:dyDescent="0.25">
      <c r="B6857" s="463"/>
      <c r="C6857" s="463"/>
    </row>
    <row r="6858" spans="2:3" x14ac:dyDescent="0.25">
      <c r="B6858" s="463"/>
      <c r="C6858" s="463"/>
    </row>
    <row r="6859" spans="2:3" x14ac:dyDescent="0.25">
      <c r="B6859" s="463"/>
      <c r="C6859" s="463"/>
    </row>
    <row r="6860" spans="2:3" x14ac:dyDescent="0.25">
      <c r="B6860" s="463"/>
      <c r="C6860" s="463"/>
    </row>
    <row r="6861" spans="2:3" x14ac:dyDescent="0.25">
      <c r="B6861" s="463"/>
      <c r="C6861" s="463"/>
    </row>
    <row r="6862" spans="2:3" x14ac:dyDescent="0.25">
      <c r="B6862" s="463"/>
      <c r="C6862" s="463"/>
    </row>
    <row r="6863" spans="2:3" x14ac:dyDescent="0.25">
      <c r="B6863" s="463"/>
      <c r="C6863" s="463"/>
    </row>
    <row r="6864" spans="2:3" x14ac:dyDescent="0.25">
      <c r="B6864" s="463"/>
      <c r="C6864" s="463"/>
    </row>
    <row r="6865" spans="2:3" x14ac:dyDescent="0.25">
      <c r="B6865" s="463"/>
      <c r="C6865" s="463"/>
    </row>
    <row r="6866" spans="2:3" x14ac:dyDescent="0.25">
      <c r="B6866" s="463"/>
      <c r="C6866" s="463"/>
    </row>
    <row r="6867" spans="2:3" x14ac:dyDescent="0.25">
      <c r="B6867" s="463"/>
      <c r="C6867" s="463"/>
    </row>
    <row r="6868" spans="2:3" x14ac:dyDescent="0.25">
      <c r="B6868" s="463"/>
      <c r="C6868" s="463"/>
    </row>
    <row r="6869" spans="2:3" x14ac:dyDescent="0.25">
      <c r="B6869" s="463"/>
      <c r="C6869" s="463"/>
    </row>
    <row r="6870" spans="2:3" x14ac:dyDescent="0.25">
      <c r="B6870" s="463"/>
      <c r="C6870" s="463"/>
    </row>
    <row r="6871" spans="2:3" x14ac:dyDescent="0.25">
      <c r="B6871" s="463"/>
      <c r="C6871" s="463"/>
    </row>
    <row r="6872" spans="2:3" x14ac:dyDescent="0.25">
      <c r="B6872" s="463"/>
      <c r="C6872" s="463"/>
    </row>
    <row r="6873" spans="2:3" x14ac:dyDescent="0.25">
      <c r="B6873" s="463"/>
      <c r="C6873" s="463"/>
    </row>
    <row r="6874" spans="2:3" x14ac:dyDescent="0.25">
      <c r="B6874" s="463"/>
      <c r="C6874" s="463"/>
    </row>
    <row r="6875" spans="2:3" x14ac:dyDescent="0.25">
      <c r="B6875" s="463"/>
      <c r="C6875" s="463"/>
    </row>
    <row r="6876" spans="2:3" x14ac:dyDescent="0.25">
      <c r="B6876" s="463"/>
      <c r="C6876" s="463"/>
    </row>
    <row r="6877" spans="2:3" x14ac:dyDescent="0.25">
      <c r="B6877" s="463"/>
      <c r="C6877" s="463"/>
    </row>
    <row r="6878" spans="2:3" x14ac:dyDescent="0.25">
      <c r="B6878" s="463"/>
      <c r="C6878" s="463"/>
    </row>
    <row r="6879" spans="2:3" x14ac:dyDescent="0.25">
      <c r="B6879" s="463"/>
      <c r="C6879" s="463"/>
    </row>
    <row r="6880" spans="2:3" x14ac:dyDescent="0.25">
      <c r="B6880" s="463"/>
      <c r="C6880" s="463"/>
    </row>
    <row r="6881" spans="2:3" x14ac:dyDescent="0.25">
      <c r="B6881" s="463"/>
      <c r="C6881" s="463"/>
    </row>
    <row r="6882" spans="2:3" x14ac:dyDescent="0.25">
      <c r="B6882" s="463"/>
      <c r="C6882" s="463"/>
    </row>
    <row r="6883" spans="2:3" x14ac:dyDescent="0.25">
      <c r="B6883" s="463"/>
      <c r="C6883" s="463"/>
    </row>
    <row r="6884" spans="2:3" x14ac:dyDescent="0.25">
      <c r="B6884" s="463"/>
      <c r="C6884" s="463"/>
    </row>
    <row r="6885" spans="2:3" x14ac:dyDescent="0.25">
      <c r="B6885" s="463"/>
      <c r="C6885" s="463"/>
    </row>
    <row r="6886" spans="2:3" x14ac:dyDescent="0.25">
      <c r="B6886" s="463"/>
      <c r="C6886" s="463"/>
    </row>
    <row r="6887" spans="2:3" x14ac:dyDescent="0.25">
      <c r="B6887" s="463"/>
      <c r="C6887" s="463"/>
    </row>
    <row r="6888" spans="2:3" x14ac:dyDescent="0.25">
      <c r="B6888" s="463"/>
      <c r="C6888" s="463"/>
    </row>
    <row r="6889" spans="2:3" x14ac:dyDescent="0.25">
      <c r="B6889" s="463"/>
      <c r="C6889" s="463"/>
    </row>
    <row r="6890" spans="2:3" x14ac:dyDescent="0.25">
      <c r="B6890" s="463"/>
      <c r="C6890" s="463"/>
    </row>
    <row r="6891" spans="2:3" x14ac:dyDescent="0.25">
      <c r="B6891" s="463"/>
      <c r="C6891" s="463"/>
    </row>
    <row r="6892" spans="2:3" x14ac:dyDescent="0.25">
      <c r="B6892" s="463"/>
      <c r="C6892" s="463"/>
    </row>
    <row r="6893" spans="2:3" x14ac:dyDescent="0.25">
      <c r="B6893" s="463"/>
      <c r="C6893" s="463"/>
    </row>
    <row r="6894" spans="2:3" x14ac:dyDescent="0.25">
      <c r="B6894" s="463"/>
      <c r="C6894" s="463"/>
    </row>
    <row r="6895" spans="2:3" x14ac:dyDescent="0.25">
      <c r="B6895" s="463"/>
      <c r="C6895" s="463"/>
    </row>
    <row r="6896" spans="2:3" x14ac:dyDescent="0.25">
      <c r="B6896" s="463"/>
      <c r="C6896" s="463"/>
    </row>
    <row r="6897" spans="2:3" x14ac:dyDescent="0.25">
      <c r="B6897" s="463"/>
      <c r="C6897" s="463"/>
    </row>
    <row r="6898" spans="2:3" x14ac:dyDescent="0.25">
      <c r="B6898" s="463"/>
      <c r="C6898" s="463"/>
    </row>
    <row r="6899" spans="2:3" x14ac:dyDescent="0.25">
      <c r="B6899" s="463"/>
      <c r="C6899" s="463"/>
    </row>
    <row r="6900" spans="2:3" x14ac:dyDescent="0.25">
      <c r="B6900" s="463"/>
      <c r="C6900" s="463"/>
    </row>
    <row r="6901" spans="2:3" x14ac:dyDescent="0.25">
      <c r="B6901" s="463"/>
      <c r="C6901" s="463"/>
    </row>
    <row r="6902" spans="2:3" x14ac:dyDescent="0.25">
      <c r="B6902" s="463"/>
      <c r="C6902" s="463"/>
    </row>
    <row r="6903" spans="2:3" x14ac:dyDescent="0.25">
      <c r="B6903" s="463"/>
      <c r="C6903" s="463"/>
    </row>
    <row r="6904" spans="2:3" x14ac:dyDescent="0.25">
      <c r="B6904" s="463"/>
      <c r="C6904" s="463"/>
    </row>
    <row r="6905" spans="2:3" x14ac:dyDescent="0.25">
      <c r="B6905" s="463"/>
      <c r="C6905" s="463"/>
    </row>
    <row r="6906" spans="2:3" x14ac:dyDescent="0.25">
      <c r="B6906" s="463"/>
      <c r="C6906" s="463"/>
    </row>
    <row r="6907" spans="2:3" x14ac:dyDescent="0.25">
      <c r="B6907" s="463"/>
      <c r="C6907" s="463"/>
    </row>
    <row r="6908" spans="2:3" x14ac:dyDescent="0.25">
      <c r="B6908" s="463"/>
      <c r="C6908" s="463"/>
    </row>
    <row r="6909" spans="2:3" x14ac:dyDescent="0.25">
      <c r="B6909" s="463"/>
      <c r="C6909" s="463"/>
    </row>
    <row r="6910" spans="2:3" x14ac:dyDescent="0.25">
      <c r="B6910" s="463"/>
      <c r="C6910" s="463"/>
    </row>
    <row r="6911" spans="2:3" x14ac:dyDescent="0.25">
      <c r="B6911" s="463"/>
      <c r="C6911" s="463"/>
    </row>
    <row r="6912" spans="2:3" x14ac:dyDescent="0.25">
      <c r="B6912" s="463"/>
      <c r="C6912" s="463"/>
    </row>
    <row r="6913" spans="2:3" x14ac:dyDescent="0.25">
      <c r="B6913" s="463"/>
      <c r="C6913" s="463"/>
    </row>
    <row r="6914" spans="2:3" x14ac:dyDescent="0.25">
      <c r="B6914" s="463"/>
      <c r="C6914" s="463"/>
    </row>
    <row r="6915" spans="2:3" x14ac:dyDescent="0.25">
      <c r="B6915" s="463"/>
      <c r="C6915" s="463"/>
    </row>
    <row r="6916" spans="2:3" x14ac:dyDescent="0.25">
      <c r="B6916" s="463"/>
      <c r="C6916" s="463"/>
    </row>
    <row r="6917" spans="2:3" x14ac:dyDescent="0.25">
      <c r="B6917" s="463"/>
      <c r="C6917" s="463"/>
    </row>
    <row r="6918" spans="2:3" x14ac:dyDescent="0.25">
      <c r="B6918" s="463"/>
      <c r="C6918" s="463"/>
    </row>
    <row r="6919" spans="2:3" x14ac:dyDescent="0.25">
      <c r="B6919" s="463"/>
      <c r="C6919" s="463"/>
    </row>
    <row r="6920" spans="2:3" x14ac:dyDescent="0.25">
      <c r="B6920" s="463"/>
      <c r="C6920" s="463"/>
    </row>
    <row r="6921" spans="2:3" x14ac:dyDescent="0.25">
      <c r="B6921" s="463"/>
      <c r="C6921" s="463"/>
    </row>
    <row r="6922" spans="2:3" x14ac:dyDescent="0.25">
      <c r="B6922" s="463"/>
      <c r="C6922" s="463"/>
    </row>
    <row r="6923" spans="2:3" x14ac:dyDescent="0.25">
      <c r="B6923" s="463"/>
      <c r="C6923" s="463"/>
    </row>
    <row r="6924" spans="2:3" x14ac:dyDescent="0.25">
      <c r="B6924" s="463"/>
      <c r="C6924" s="463"/>
    </row>
    <row r="6925" spans="2:3" x14ac:dyDescent="0.25">
      <c r="B6925" s="463"/>
      <c r="C6925" s="463"/>
    </row>
    <row r="6926" spans="2:3" x14ac:dyDescent="0.25">
      <c r="B6926" s="463"/>
      <c r="C6926" s="463"/>
    </row>
    <row r="6927" spans="2:3" x14ac:dyDescent="0.25">
      <c r="B6927" s="463"/>
      <c r="C6927" s="463"/>
    </row>
    <row r="6928" spans="2:3" x14ac:dyDescent="0.25">
      <c r="B6928" s="463"/>
      <c r="C6928" s="463"/>
    </row>
    <row r="6929" spans="2:3" x14ac:dyDescent="0.25">
      <c r="B6929" s="463"/>
      <c r="C6929" s="463"/>
    </row>
    <row r="6930" spans="2:3" x14ac:dyDescent="0.25">
      <c r="B6930" s="463"/>
      <c r="C6930" s="463"/>
    </row>
    <row r="6931" spans="2:3" x14ac:dyDescent="0.25">
      <c r="B6931" s="463"/>
      <c r="C6931" s="463"/>
    </row>
    <row r="6932" spans="2:3" x14ac:dyDescent="0.25">
      <c r="B6932" s="463"/>
      <c r="C6932" s="463"/>
    </row>
    <row r="6933" spans="2:3" x14ac:dyDescent="0.25">
      <c r="B6933" s="463"/>
      <c r="C6933" s="463"/>
    </row>
    <row r="6934" spans="2:3" x14ac:dyDescent="0.25">
      <c r="B6934" s="463"/>
      <c r="C6934" s="463"/>
    </row>
    <row r="6935" spans="2:3" x14ac:dyDescent="0.25">
      <c r="B6935" s="463"/>
      <c r="C6935" s="463"/>
    </row>
    <row r="6936" spans="2:3" x14ac:dyDescent="0.25">
      <c r="B6936" s="463"/>
      <c r="C6936" s="463"/>
    </row>
    <row r="6937" spans="2:3" x14ac:dyDescent="0.25">
      <c r="B6937" s="463"/>
      <c r="C6937" s="463"/>
    </row>
    <row r="6938" spans="2:3" x14ac:dyDescent="0.25">
      <c r="B6938" s="463"/>
      <c r="C6938" s="463"/>
    </row>
    <row r="6939" spans="2:3" x14ac:dyDescent="0.25">
      <c r="B6939" s="463"/>
      <c r="C6939" s="463"/>
    </row>
    <row r="6940" spans="2:3" x14ac:dyDescent="0.25">
      <c r="B6940" s="463"/>
      <c r="C6940" s="463"/>
    </row>
    <row r="6941" spans="2:3" x14ac:dyDescent="0.25">
      <c r="B6941" s="463"/>
      <c r="C6941" s="463"/>
    </row>
    <row r="6942" spans="2:3" x14ac:dyDescent="0.25">
      <c r="B6942" s="463"/>
      <c r="C6942" s="463"/>
    </row>
    <row r="6943" spans="2:3" x14ac:dyDescent="0.25">
      <c r="B6943" s="463"/>
      <c r="C6943" s="463"/>
    </row>
    <row r="6944" spans="2:3" x14ac:dyDescent="0.25">
      <c r="B6944" s="463"/>
      <c r="C6944" s="463"/>
    </row>
    <row r="6945" spans="2:3" x14ac:dyDescent="0.25">
      <c r="B6945" s="463"/>
      <c r="C6945" s="463"/>
    </row>
    <row r="6946" spans="2:3" x14ac:dyDescent="0.25">
      <c r="B6946" s="463"/>
      <c r="C6946" s="463"/>
    </row>
    <row r="6947" spans="2:3" x14ac:dyDescent="0.25">
      <c r="B6947" s="463"/>
      <c r="C6947" s="463"/>
    </row>
    <row r="6948" spans="2:3" x14ac:dyDescent="0.25">
      <c r="B6948" s="463"/>
      <c r="C6948" s="463"/>
    </row>
    <row r="6949" spans="2:3" x14ac:dyDescent="0.25">
      <c r="B6949" s="463"/>
      <c r="C6949" s="463"/>
    </row>
    <row r="6950" spans="2:3" x14ac:dyDescent="0.25">
      <c r="B6950" s="463"/>
      <c r="C6950" s="463"/>
    </row>
    <row r="6951" spans="2:3" x14ac:dyDescent="0.25">
      <c r="B6951" s="463"/>
      <c r="C6951" s="463"/>
    </row>
    <row r="6952" spans="2:3" x14ac:dyDescent="0.25">
      <c r="B6952" s="463"/>
      <c r="C6952" s="463"/>
    </row>
    <row r="6953" spans="2:3" x14ac:dyDescent="0.25">
      <c r="B6953" s="463"/>
      <c r="C6953" s="463"/>
    </row>
    <row r="6954" spans="2:3" x14ac:dyDescent="0.25">
      <c r="B6954" s="463"/>
      <c r="C6954" s="463"/>
    </row>
    <row r="6955" spans="2:3" x14ac:dyDescent="0.25">
      <c r="B6955" s="463"/>
      <c r="C6955" s="463"/>
    </row>
    <row r="6956" spans="2:3" x14ac:dyDescent="0.25">
      <c r="B6956" s="463"/>
      <c r="C6956" s="463"/>
    </row>
    <row r="6957" spans="2:3" x14ac:dyDescent="0.25">
      <c r="B6957" s="463"/>
      <c r="C6957" s="463"/>
    </row>
    <row r="6958" spans="2:3" x14ac:dyDescent="0.25">
      <c r="B6958" s="463"/>
      <c r="C6958" s="463"/>
    </row>
    <row r="6959" spans="2:3" x14ac:dyDescent="0.25">
      <c r="B6959" s="463"/>
      <c r="C6959" s="463"/>
    </row>
    <row r="6960" spans="2:3" x14ac:dyDescent="0.25">
      <c r="B6960" s="463"/>
      <c r="C6960" s="463"/>
    </row>
    <row r="6961" spans="2:3" x14ac:dyDescent="0.25">
      <c r="B6961" s="463"/>
      <c r="C6961" s="463"/>
    </row>
    <row r="6962" spans="2:3" x14ac:dyDescent="0.25">
      <c r="B6962" s="463"/>
      <c r="C6962" s="463"/>
    </row>
    <row r="6963" spans="2:3" x14ac:dyDescent="0.25">
      <c r="B6963" s="463"/>
      <c r="C6963" s="463"/>
    </row>
    <row r="6964" spans="2:3" x14ac:dyDescent="0.25">
      <c r="B6964" s="463"/>
      <c r="C6964" s="463"/>
    </row>
    <row r="6965" spans="2:3" x14ac:dyDescent="0.25">
      <c r="B6965" s="463"/>
      <c r="C6965" s="463"/>
    </row>
    <row r="6966" spans="2:3" x14ac:dyDescent="0.25">
      <c r="B6966" s="463"/>
      <c r="C6966" s="463"/>
    </row>
    <row r="6967" spans="2:3" x14ac:dyDescent="0.25">
      <c r="B6967" s="463"/>
      <c r="C6967" s="463"/>
    </row>
    <row r="6968" spans="2:3" x14ac:dyDescent="0.25">
      <c r="B6968" s="463"/>
      <c r="C6968" s="463"/>
    </row>
    <row r="6969" spans="2:3" x14ac:dyDescent="0.25">
      <c r="B6969" s="463"/>
      <c r="C6969" s="463"/>
    </row>
    <row r="6970" spans="2:3" x14ac:dyDescent="0.25">
      <c r="B6970" s="463"/>
      <c r="C6970" s="463"/>
    </row>
    <row r="6971" spans="2:3" x14ac:dyDescent="0.25">
      <c r="B6971" s="463"/>
      <c r="C6971" s="463"/>
    </row>
    <row r="6972" spans="2:3" x14ac:dyDescent="0.25">
      <c r="B6972" s="463"/>
      <c r="C6972" s="463"/>
    </row>
    <row r="6973" spans="2:3" x14ac:dyDescent="0.25">
      <c r="B6973" s="463"/>
      <c r="C6973" s="463"/>
    </row>
    <row r="6974" spans="2:3" x14ac:dyDescent="0.25">
      <c r="B6974" s="463"/>
      <c r="C6974" s="463"/>
    </row>
    <row r="6975" spans="2:3" x14ac:dyDescent="0.25">
      <c r="B6975" s="463"/>
      <c r="C6975" s="463"/>
    </row>
    <row r="6976" spans="2:3" x14ac:dyDescent="0.25">
      <c r="B6976" s="463"/>
      <c r="C6976" s="463"/>
    </row>
    <row r="6977" spans="2:3" x14ac:dyDescent="0.25">
      <c r="B6977" s="463"/>
      <c r="C6977" s="463"/>
    </row>
    <row r="6978" spans="2:3" x14ac:dyDescent="0.25">
      <c r="B6978" s="463"/>
      <c r="C6978" s="463"/>
    </row>
    <row r="6979" spans="2:3" x14ac:dyDescent="0.25">
      <c r="B6979" s="463"/>
      <c r="C6979" s="463"/>
    </row>
    <row r="6980" spans="2:3" x14ac:dyDescent="0.25">
      <c r="B6980" s="463"/>
      <c r="C6980" s="463"/>
    </row>
    <row r="6981" spans="2:3" x14ac:dyDescent="0.25">
      <c r="B6981" s="463"/>
      <c r="C6981" s="463"/>
    </row>
    <row r="6982" spans="2:3" x14ac:dyDescent="0.25">
      <c r="B6982" s="463"/>
      <c r="C6982" s="463"/>
    </row>
    <row r="6983" spans="2:3" x14ac:dyDescent="0.25">
      <c r="B6983" s="463"/>
      <c r="C6983" s="463"/>
    </row>
    <row r="6984" spans="2:3" x14ac:dyDescent="0.25">
      <c r="B6984" s="463"/>
      <c r="C6984" s="463"/>
    </row>
    <row r="6985" spans="2:3" x14ac:dyDescent="0.25">
      <c r="B6985" s="463"/>
      <c r="C6985" s="463"/>
    </row>
    <row r="6986" spans="2:3" x14ac:dyDescent="0.25">
      <c r="B6986" s="463"/>
      <c r="C6986" s="463"/>
    </row>
    <row r="6987" spans="2:3" x14ac:dyDescent="0.25">
      <c r="B6987" s="463"/>
      <c r="C6987" s="463"/>
    </row>
    <row r="6988" spans="2:3" x14ac:dyDescent="0.25">
      <c r="B6988" s="463"/>
      <c r="C6988" s="463"/>
    </row>
    <row r="6989" spans="2:3" x14ac:dyDescent="0.25">
      <c r="B6989" s="463"/>
      <c r="C6989" s="463"/>
    </row>
    <row r="6990" spans="2:3" x14ac:dyDescent="0.25">
      <c r="B6990" s="463"/>
      <c r="C6990" s="463"/>
    </row>
    <row r="6991" spans="2:3" x14ac:dyDescent="0.25">
      <c r="B6991" s="463"/>
      <c r="C6991" s="463"/>
    </row>
    <row r="6992" spans="2:3" x14ac:dyDescent="0.25">
      <c r="B6992" s="463"/>
      <c r="C6992" s="463"/>
    </row>
    <row r="6993" spans="2:3" x14ac:dyDescent="0.25">
      <c r="B6993" s="463"/>
      <c r="C6993" s="463"/>
    </row>
    <row r="6994" spans="2:3" x14ac:dyDescent="0.25">
      <c r="B6994" s="463"/>
      <c r="C6994" s="463"/>
    </row>
    <row r="6995" spans="2:3" x14ac:dyDescent="0.25">
      <c r="B6995" s="463"/>
      <c r="C6995" s="463"/>
    </row>
    <row r="6996" spans="2:3" x14ac:dyDescent="0.25">
      <c r="B6996" s="463"/>
      <c r="C6996" s="463"/>
    </row>
    <row r="6997" spans="2:3" x14ac:dyDescent="0.25">
      <c r="B6997" s="463"/>
      <c r="C6997" s="463"/>
    </row>
    <row r="6998" spans="2:3" x14ac:dyDescent="0.25">
      <c r="B6998" s="463"/>
      <c r="C6998" s="463"/>
    </row>
    <row r="6999" spans="2:3" x14ac:dyDescent="0.25">
      <c r="B6999" s="463"/>
      <c r="C6999" s="463"/>
    </row>
    <row r="7000" spans="2:3" x14ac:dyDescent="0.25">
      <c r="B7000" s="463"/>
      <c r="C7000" s="463"/>
    </row>
    <row r="7001" spans="2:3" x14ac:dyDescent="0.25">
      <c r="B7001" s="463"/>
      <c r="C7001" s="463"/>
    </row>
    <row r="7002" spans="2:3" x14ac:dyDescent="0.25">
      <c r="B7002" s="463"/>
      <c r="C7002" s="463"/>
    </row>
    <row r="7003" spans="2:3" x14ac:dyDescent="0.25">
      <c r="B7003" s="463"/>
      <c r="C7003" s="463"/>
    </row>
    <row r="7004" spans="2:3" x14ac:dyDescent="0.25">
      <c r="B7004" s="463"/>
      <c r="C7004" s="463"/>
    </row>
    <row r="7005" spans="2:3" x14ac:dyDescent="0.25">
      <c r="B7005" s="463"/>
      <c r="C7005" s="463"/>
    </row>
    <row r="7006" spans="2:3" x14ac:dyDescent="0.25">
      <c r="B7006" s="463"/>
      <c r="C7006" s="463"/>
    </row>
    <row r="7007" spans="2:3" x14ac:dyDescent="0.25">
      <c r="B7007" s="463"/>
      <c r="C7007" s="463"/>
    </row>
    <row r="7008" spans="2:3" x14ac:dyDescent="0.25">
      <c r="B7008" s="463"/>
      <c r="C7008" s="463"/>
    </row>
    <row r="7009" spans="2:3" x14ac:dyDescent="0.25">
      <c r="B7009" s="463"/>
      <c r="C7009" s="463"/>
    </row>
    <row r="7010" spans="2:3" x14ac:dyDescent="0.25">
      <c r="B7010" s="463"/>
      <c r="C7010" s="463"/>
    </row>
    <row r="7011" spans="2:3" x14ac:dyDescent="0.25">
      <c r="B7011" s="463"/>
      <c r="C7011" s="463"/>
    </row>
    <row r="7012" spans="2:3" x14ac:dyDescent="0.25">
      <c r="B7012" s="463"/>
      <c r="C7012" s="463"/>
    </row>
    <row r="7013" spans="2:3" x14ac:dyDescent="0.25">
      <c r="B7013" s="463"/>
      <c r="C7013" s="463"/>
    </row>
    <row r="7014" spans="2:3" x14ac:dyDescent="0.25">
      <c r="B7014" s="463"/>
      <c r="C7014" s="463"/>
    </row>
    <row r="7015" spans="2:3" x14ac:dyDescent="0.25">
      <c r="B7015" s="463"/>
      <c r="C7015" s="463"/>
    </row>
    <row r="7016" spans="2:3" x14ac:dyDescent="0.25">
      <c r="B7016" s="463"/>
      <c r="C7016" s="463"/>
    </row>
    <row r="7017" spans="2:3" x14ac:dyDescent="0.25">
      <c r="B7017" s="463"/>
      <c r="C7017" s="463"/>
    </row>
    <row r="7018" spans="2:3" x14ac:dyDescent="0.25">
      <c r="B7018" s="463"/>
      <c r="C7018" s="463"/>
    </row>
    <row r="7019" spans="2:3" x14ac:dyDescent="0.25">
      <c r="B7019" s="463"/>
      <c r="C7019" s="463"/>
    </row>
    <row r="7020" spans="2:3" x14ac:dyDescent="0.25">
      <c r="B7020" s="463"/>
      <c r="C7020" s="463"/>
    </row>
    <row r="7021" spans="2:3" x14ac:dyDescent="0.25">
      <c r="B7021" s="463"/>
      <c r="C7021" s="463"/>
    </row>
    <row r="7022" spans="2:3" x14ac:dyDescent="0.25">
      <c r="B7022" s="463"/>
      <c r="C7022" s="463"/>
    </row>
    <row r="7023" spans="2:3" x14ac:dyDescent="0.25">
      <c r="B7023" s="463"/>
      <c r="C7023" s="463"/>
    </row>
    <row r="7024" spans="2:3" x14ac:dyDescent="0.25">
      <c r="B7024" s="463"/>
      <c r="C7024" s="463"/>
    </row>
    <row r="7025" spans="2:3" x14ac:dyDescent="0.25">
      <c r="B7025" s="463"/>
      <c r="C7025" s="463"/>
    </row>
    <row r="7026" spans="2:3" x14ac:dyDescent="0.25">
      <c r="B7026" s="463"/>
      <c r="C7026" s="463"/>
    </row>
    <row r="7027" spans="2:3" x14ac:dyDescent="0.25">
      <c r="B7027" s="463"/>
      <c r="C7027" s="463"/>
    </row>
    <row r="7028" spans="2:3" x14ac:dyDescent="0.25">
      <c r="B7028" s="463"/>
      <c r="C7028" s="463"/>
    </row>
    <row r="7029" spans="2:3" x14ac:dyDescent="0.25">
      <c r="B7029" s="463"/>
      <c r="C7029" s="463"/>
    </row>
    <row r="7030" spans="2:3" x14ac:dyDescent="0.25">
      <c r="B7030" s="463"/>
      <c r="C7030" s="463"/>
    </row>
    <row r="7031" spans="2:3" x14ac:dyDescent="0.25">
      <c r="B7031" s="463"/>
      <c r="C7031" s="463"/>
    </row>
    <row r="7032" spans="2:3" x14ac:dyDescent="0.25">
      <c r="B7032" s="463"/>
      <c r="C7032" s="463"/>
    </row>
    <row r="7033" spans="2:3" x14ac:dyDescent="0.25">
      <c r="B7033" s="463"/>
      <c r="C7033" s="463"/>
    </row>
    <row r="7034" spans="2:3" x14ac:dyDescent="0.25">
      <c r="B7034" s="463"/>
      <c r="C7034" s="463"/>
    </row>
    <row r="7035" spans="2:3" x14ac:dyDescent="0.25">
      <c r="B7035" s="463"/>
      <c r="C7035" s="463"/>
    </row>
    <row r="7036" spans="2:3" x14ac:dyDescent="0.25">
      <c r="B7036" s="463"/>
      <c r="C7036" s="463"/>
    </row>
    <row r="7037" spans="2:3" x14ac:dyDescent="0.25">
      <c r="B7037" s="463"/>
      <c r="C7037" s="463"/>
    </row>
    <row r="7038" spans="2:3" x14ac:dyDescent="0.25">
      <c r="B7038" s="463"/>
      <c r="C7038" s="463"/>
    </row>
    <row r="7039" spans="2:3" x14ac:dyDescent="0.25">
      <c r="B7039" s="463"/>
      <c r="C7039" s="463"/>
    </row>
    <row r="7040" spans="2:3" x14ac:dyDescent="0.25">
      <c r="B7040" s="463"/>
      <c r="C7040" s="463"/>
    </row>
    <row r="7041" spans="2:3" x14ac:dyDescent="0.25">
      <c r="B7041" s="463"/>
      <c r="C7041" s="463"/>
    </row>
    <row r="7042" spans="2:3" x14ac:dyDescent="0.25">
      <c r="B7042" s="463"/>
      <c r="C7042" s="463"/>
    </row>
    <row r="7043" spans="2:3" x14ac:dyDescent="0.25">
      <c r="B7043" s="463"/>
      <c r="C7043" s="463"/>
    </row>
    <row r="7044" spans="2:3" x14ac:dyDescent="0.25">
      <c r="B7044" s="463"/>
      <c r="C7044" s="463"/>
    </row>
    <row r="7045" spans="2:3" x14ac:dyDescent="0.25">
      <c r="B7045" s="463"/>
      <c r="C7045" s="463"/>
    </row>
    <row r="7046" spans="2:3" x14ac:dyDescent="0.25">
      <c r="B7046" s="463"/>
      <c r="C7046" s="463"/>
    </row>
    <row r="7047" spans="2:3" x14ac:dyDescent="0.25">
      <c r="B7047" s="463"/>
      <c r="C7047" s="463"/>
    </row>
    <row r="7048" spans="2:3" x14ac:dyDescent="0.25">
      <c r="B7048" s="463"/>
      <c r="C7048" s="463"/>
    </row>
    <row r="7049" spans="2:3" x14ac:dyDescent="0.25">
      <c r="B7049" s="463"/>
      <c r="C7049" s="463"/>
    </row>
    <row r="7050" spans="2:3" x14ac:dyDescent="0.25">
      <c r="B7050" s="463"/>
      <c r="C7050" s="463"/>
    </row>
    <row r="7051" spans="2:3" x14ac:dyDescent="0.25">
      <c r="B7051" s="463"/>
      <c r="C7051" s="463"/>
    </row>
    <row r="7052" spans="2:3" x14ac:dyDescent="0.25">
      <c r="B7052" s="463"/>
      <c r="C7052" s="463"/>
    </row>
    <row r="7053" spans="2:3" x14ac:dyDescent="0.25">
      <c r="B7053" s="463"/>
      <c r="C7053" s="463"/>
    </row>
    <row r="7054" spans="2:3" x14ac:dyDescent="0.25">
      <c r="B7054" s="463"/>
      <c r="C7054" s="463"/>
    </row>
    <row r="7055" spans="2:3" x14ac:dyDescent="0.25">
      <c r="B7055" s="463"/>
      <c r="C7055" s="463"/>
    </row>
    <row r="7056" spans="2:3" x14ac:dyDescent="0.25">
      <c r="B7056" s="463"/>
      <c r="C7056" s="463"/>
    </row>
    <row r="7057" spans="2:3" x14ac:dyDescent="0.25">
      <c r="B7057" s="463"/>
      <c r="C7057" s="463"/>
    </row>
    <row r="7058" spans="2:3" x14ac:dyDescent="0.25">
      <c r="B7058" s="463"/>
      <c r="C7058" s="463"/>
    </row>
    <row r="7059" spans="2:3" x14ac:dyDescent="0.25">
      <c r="B7059" s="463"/>
      <c r="C7059" s="463"/>
    </row>
    <row r="7060" spans="2:3" x14ac:dyDescent="0.25">
      <c r="B7060" s="463"/>
      <c r="C7060" s="463"/>
    </row>
    <row r="7061" spans="2:3" x14ac:dyDescent="0.25">
      <c r="B7061" s="463"/>
      <c r="C7061" s="463"/>
    </row>
    <row r="7062" spans="2:3" x14ac:dyDescent="0.25">
      <c r="B7062" s="463"/>
      <c r="C7062" s="463"/>
    </row>
    <row r="7063" spans="2:3" x14ac:dyDescent="0.25">
      <c r="B7063" s="463"/>
      <c r="C7063" s="463"/>
    </row>
    <row r="7064" spans="2:3" x14ac:dyDescent="0.25">
      <c r="B7064" s="463"/>
      <c r="C7064" s="463"/>
    </row>
    <row r="7065" spans="2:3" x14ac:dyDescent="0.25">
      <c r="B7065" s="463"/>
      <c r="C7065" s="463"/>
    </row>
    <row r="7066" spans="2:3" x14ac:dyDescent="0.25">
      <c r="B7066" s="463"/>
      <c r="C7066" s="463"/>
    </row>
    <row r="7067" spans="2:3" x14ac:dyDescent="0.25">
      <c r="B7067" s="463"/>
      <c r="C7067" s="463"/>
    </row>
    <row r="7068" spans="2:3" x14ac:dyDescent="0.25">
      <c r="B7068" s="463"/>
      <c r="C7068" s="463"/>
    </row>
    <row r="7069" spans="2:3" x14ac:dyDescent="0.25">
      <c r="B7069" s="463"/>
      <c r="C7069" s="463"/>
    </row>
    <row r="7070" spans="2:3" x14ac:dyDescent="0.25">
      <c r="B7070" s="463"/>
      <c r="C7070" s="463"/>
    </row>
    <row r="7071" spans="2:3" x14ac:dyDescent="0.25">
      <c r="B7071" s="463"/>
      <c r="C7071" s="463"/>
    </row>
    <row r="7072" spans="2:3" x14ac:dyDescent="0.25">
      <c r="B7072" s="463"/>
      <c r="C7072" s="463"/>
    </row>
    <row r="7073" spans="2:3" x14ac:dyDescent="0.25">
      <c r="B7073" s="463"/>
      <c r="C7073" s="463"/>
    </row>
    <row r="7074" spans="2:3" x14ac:dyDescent="0.25">
      <c r="B7074" s="463"/>
      <c r="C7074" s="463"/>
    </row>
    <row r="7075" spans="2:3" x14ac:dyDescent="0.25">
      <c r="B7075" s="463"/>
      <c r="C7075" s="463"/>
    </row>
    <row r="7076" spans="2:3" x14ac:dyDescent="0.25">
      <c r="B7076" s="463"/>
      <c r="C7076" s="463"/>
    </row>
    <row r="7077" spans="2:3" x14ac:dyDescent="0.25">
      <c r="B7077" s="463"/>
      <c r="C7077" s="463"/>
    </row>
    <row r="7078" spans="2:3" x14ac:dyDescent="0.25">
      <c r="B7078" s="463"/>
      <c r="C7078" s="463"/>
    </row>
    <row r="7079" spans="2:3" x14ac:dyDescent="0.25">
      <c r="B7079" s="463"/>
      <c r="C7079" s="463"/>
    </row>
    <row r="7080" spans="2:3" x14ac:dyDescent="0.25">
      <c r="B7080" s="463"/>
      <c r="C7080" s="463"/>
    </row>
    <row r="7081" spans="2:3" x14ac:dyDescent="0.25">
      <c r="B7081" s="463"/>
      <c r="C7081" s="463"/>
    </row>
    <row r="7082" spans="2:3" x14ac:dyDescent="0.25">
      <c r="B7082" s="463"/>
      <c r="C7082" s="463"/>
    </row>
    <row r="7083" spans="2:3" x14ac:dyDescent="0.25">
      <c r="B7083" s="463"/>
      <c r="C7083" s="463"/>
    </row>
    <row r="7084" spans="2:3" x14ac:dyDescent="0.25">
      <c r="B7084" s="463"/>
      <c r="C7084" s="463"/>
    </row>
    <row r="7085" spans="2:3" x14ac:dyDescent="0.25">
      <c r="B7085" s="463"/>
      <c r="C7085" s="463"/>
    </row>
    <row r="7086" spans="2:3" x14ac:dyDescent="0.25">
      <c r="B7086" s="463"/>
      <c r="C7086" s="463"/>
    </row>
    <row r="7087" spans="2:3" x14ac:dyDescent="0.25">
      <c r="B7087" s="463"/>
      <c r="C7087" s="463"/>
    </row>
    <row r="7088" spans="2:3" x14ac:dyDescent="0.25">
      <c r="B7088" s="463"/>
      <c r="C7088" s="463"/>
    </row>
    <row r="7089" spans="2:3" x14ac:dyDescent="0.25">
      <c r="B7089" s="463"/>
      <c r="C7089" s="463"/>
    </row>
    <row r="7090" spans="2:3" x14ac:dyDescent="0.25">
      <c r="B7090" s="463"/>
      <c r="C7090" s="463"/>
    </row>
    <row r="7091" spans="2:3" x14ac:dyDescent="0.25">
      <c r="B7091" s="463"/>
      <c r="C7091" s="463"/>
    </row>
    <row r="7092" spans="2:3" x14ac:dyDescent="0.25">
      <c r="B7092" s="463"/>
      <c r="C7092" s="463"/>
    </row>
    <row r="7093" spans="2:3" x14ac:dyDescent="0.25">
      <c r="B7093" s="463"/>
      <c r="C7093" s="463"/>
    </row>
    <row r="7094" spans="2:3" x14ac:dyDescent="0.25">
      <c r="B7094" s="463"/>
      <c r="C7094" s="463"/>
    </row>
    <row r="7095" spans="2:3" x14ac:dyDescent="0.25">
      <c r="B7095" s="463"/>
      <c r="C7095" s="463"/>
    </row>
    <row r="7096" spans="2:3" x14ac:dyDescent="0.25">
      <c r="B7096" s="463"/>
      <c r="C7096" s="463"/>
    </row>
    <row r="7097" spans="2:3" x14ac:dyDescent="0.25">
      <c r="B7097" s="463"/>
      <c r="C7097" s="463"/>
    </row>
    <row r="7098" spans="2:3" x14ac:dyDescent="0.25">
      <c r="B7098" s="463"/>
      <c r="C7098" s="463"/>
    </row>
    <row r="7099" spans="2:3" x14ac:dyDescent="0.25">
      <c r="B7099" s="463"/>
      <c r="C7099" s="463"/>
    </row>
    <row r="7100" spans="2:3" x14ac:dyDescent="0.25">
      <c r="B7100" s="463"/>
      <c r="C7100" s="463"/>
    </row>
    <row r="7101" spans="2:3" x14ac:dyDescent="0.25">
      <c r="B7101" s="463"/>
      <c r="C7101" s="463"/>
    </row>
    <row r="7102" spans="2:3" x14ac:dyDescent="0.25">
      <c r="B7102" s="463"/>
      <c r="C7102" s="463"/>
    </row>
    <row r="7103" spans="2:3" x14ac:dyDescent="0.25">
      <c r="B7103" s="463"/>
      <c r="C7103" s="463"/>
    </row>
    <row r="7104" spans="2:3" x14ac:dyDescent="0.25">
      <c r="B7104" s="463"/>
      <c r="C7104" s="463"/>
    </row>
    <row r="7105" spans="2:3" x14ac:dyDescent="0.25">
      <c r="B7105" s="463"/>
      <c r="C7105" s="463"/>
    </row>
    <row r="7106" spans="2:3" x14ac:dyDescent="0.25">
      <c r="B7106" s="463"/>
      <c r="C7106" s="463"/>
    </row>
    <row r="7107" spans="2:3" x14ac:dyDescent="0.25">
      <c r="B7107" s="463"/>
      <c r="C7107" s="463"/>
    </row>
    <row r="7108" spans="2:3" x14ac:dyDescent="0.25">
      <c r="B7108" s="463"/>
      <c r="C7108" s="463"/>
    </row>
    <row r="7109" spans="2:3" x14ac:dyDescent="0.25">
      <c r="B7109" s="463"/>
      <c r="C7109" s="463"/>
    </row>
    <row r="7110" spans="2:3" x14ac:dyDescent="0.25">
      <c r="B7110" s="463"/>
      <c r="C7110" s="463"/>
    </row>
    <row r="7111" spans="2:3" x14ac:dyDescent="0.25">
      <c r="B7111" s="463"/>
      <c r="C7111" s="463"/>
    </row>
    <row r="7112" spans="2:3" x14ac:dyDescent="0.25">
      <c r="B7112" s="463"/>
      <c r="C7112" s="463"/>
    </row>
    <row r="7113" spans="2:3" x14ac:dyDescent="0.25">
      <c r="B7113" s="463"/>
      <c r="C7113" s="463"/>
    </row>
    <row r="7114" spans="2:3" x14ac:dyDescent="0.25">
      <c r="B7114" s="463"/>
      <c r="C7114" s="463"/>
    </row>
    <row r="7115" spans="2:3" x14ac:dyDescent="0.25">
      <c r="B7115" s="463"/>
      <c r="C7115" s="463"/>
    </row>
    <row r="7116" spans="2:3" x14ac:dyDescent="0.25">
      <c r="B7116" s="463"/>
      <c r="C7116" s="463"/>
    </row>
    <row r="7117" spans="2:3" x14ac:dyDescent="0.25">
      <c r="B7117" s="463"/>
      <c r="C7117" s="463"/>
    </row>
    <row r="7118" spans="2:3" x14ac:dyDescent="0.25">
      <c r="B7118" s="463"/>
      <c r="C7118" s="463"/>
    </row>
    <row r="7119" spans="2:3" x14ac:dyDescent="0.25">
      <c r="B7119" s="463"/>
      <c r="C7119" s="463"/>
    </row>
    <row r="7120" spans="2:3" x14ac:dyDescent="0.25">
      <c r="B7120" s="463"/>
      <c r="C7120" s="463"/>
    </row>
    <row r="7121" spans="2:3" x14ac:dyDescent="0.25">
      <c r="B7121" s="463"/>
      <c r="C7121" s="463"/>
    </row>
    <row r="7122" spans="2:3" x14ac:dyDescent="0.25">
      <c r="B7122" s="463"/>
      <c r="C7122" s="463"/>
    </row>
    <row r="7123" spans="2:3" x14ac:dyDescent="0.25">
      <c r="B7123" s="463"/>
      <c r="C7123" s="463"/>
    </row>
    <row r="7124" spans="2:3" x14ac:dyDescent="0.25">
      <c r="B7124" s="463"/>
      <c r="C7124" s="463"/>
    </row>
    <row r="7125" spans="2:3" x14ac:dyDescent="0.25">
      <c r="B7125" s="463"/>
      <c r="C7125" s="463"/>
    </row>
    <row r="7126" spans="2:3" x14ac:dyDescent="0.25">
      <c r="B7126" s="463"/>
      <c r="C7126" s="463"/>
    </row>
    <row r="7127" spans="2:3" x14ac:dyDescent="0.25">
      <c r="B7127" s="463"/>
      <c r="C7127" s="463"/>
    </row>
    <row r="7128" spans="2:3" x14ac:dyDescent="0.25">
      <c r="B7128" s="463"/>
      <c r="C7128" s="463"/>
    </row>
    <row r="7129" spans="2:3" x14ac:dyDescent="0.25">
      <c r="B7129" s="463"/>
      <c r="C7129" s="463"/>
    </row>
    <row r="7130" spans="2:3" x14ac:dyDescent="0.25">
      <c r="B7130" s="463"/>
      <c r="C7130" s="463"/>
    </row>
    <row r="7131" spans="2:3" x14ac:dyDescent="0.25">
      <c r="B7131" s="463"/>
      <c r="C7131" s="463"/>
    </row>
    <row r="7132" spans="2:3" x14ac:dyDescent="0.25">
      <c r="B7132" s="463"/>
      <c r="C7132" s="463"/>
    </row>
    <row r="7133" spans="2:3" x14ac:dyDescent="0.25">
      <c r="B7133" s="463"/>
      <c r="C7133" s="463"/>
    </row>
    <row r="7134" spans="2:3" x14ac:dyDescent="0.25">
      <c r="B7134" s="463"/>
      <c r="C7134" s="463"/>
    </row>
    <row r="7135" spans="2:3" x14ac:dyDescent="0.25">
      <c r="B7135" s="463"/>
      <c r="C7135" s="463"/>
    </row>
    <row r="7136" spans="2:3" x14ac:dyDescent="0.25">
      <c r="B7136" s="463"/>
      <c r="C7136" s="463"/>
    </row>
    <row r="7137" spans="2:3" x14ac:dyDescent="0.25">
      <c r="B7137" s="463"/>
      <c r="C7137" s="463"/>
    </row>
    <row r="7138" spans="2:3" x14ac:dyDescent="0.25">
      <c r="B7138" s="463"/>
      <c r="C7138" s="463"/>
    </row>
    <row r="7139" spans="2:3" x14ac:dyDescent="0.25">
      <c r="B7139" s="463"/>
      <c r="C7139" s="463"/>
    </row>
    <row r="7140" spans="2:3" x14ac:dyDescent="0.25">
      <c r="B7140" s="463"/>
      <c r="C7140" s="463"/>
    </row>
    <row r="7141" spans="2:3" x14ac:dyDescent="0.25">
      <c r="B7141" s="463"/>
      <c r="C7141" s="463"/>
    </row>
    <row r="7142" spans="2:3" x14ac:dyDescent="0.25">
      <c r="B7142" s="463"/>
      <c r="C7142" s="463"/>
    </row>
    <row r="7143" spans="2:3" x14ac:dyDescent="0.25">
      <c r="B7143" s="463"/>
      <c r="C7143" s="463"/>
    </row>
    <row r="7144" spans="2:3" x14ac:dyDescent="0.25">
      <c r="B7144" s="463"/>
      <c r="C7144" s="463"/>
    </row>
    <row r="7145" spans="2:3" x14ac:dyDescent="0.25">
      <c r="B7145" s="463"/>
      <c r="C7145" s="463"/>
    </row>
    <row r="7146" spans="2:3" x14ac:dyDescent="0.25">
      <c r="B7146" s="463"/>
      <c r="C7146" s="463"/>
    </row>
    <row r="7147" spans="2:3" x14ac:dyDescent="0.25">
      <c r="B7147" s="463"/>
      <c r="C7147" s="463"/>
    </row>
    <row r="7148" spans="2:3" x14ac:dyDescent="0.25">
      <c r="B7148" s="463"/>
      <c r="C7148" s="463"/>
    </row>
    <row r="7149" spans="2:3" x14ac:dyDescent="0.25">
      <c r="B7149" s="463"/>
      <c r="C7149" s="463"/>
    </row>
    <row r="7150" spans="2:3" x14ac:dyDescent="0.25">
      <c r="B7150" s="463"/>
      <c r="C7150" s="463"/>
    </row>
    <row r="7151" spans="2:3" x14ac:dyDescent="0.25">
      <c r="B7151" s="463"/>
      <c r="C7151" s="463"/>
    </row>
    <row r="7152" spans="2:3" x14ac:dyDescent="0.25">
      <c r="B7152" s="463"/>
      <c r="C7152" s="463"/>
    </row>
    <row r="7153" spans="2:3" x14ac:dyDescent="0.25">
      <c r="B7153" s="463"/>
      <c r="C7153" s="463"/>
    </row>
    <row r="7154" spans="2:3" x14ac:dyDescent="0.25">
      <c r="B7154" s="463"/>
      <c r="C7154" s="463"/>
    </row>
    <row r="7155" spans="2:3" x14ac:dyDescent="0.25">
      <c r="B7155" s="463"/>
      <c r="C7155" s="463"/>
    </row>
    <row r="7156" spans="2:3" x14ac:dyDescent="0.25">
      <c r="B7156" s="463"/>
      <c r="C7156" s="463"/>
    </row>
    <row r="7157" spans="2:3" x14ac:dyDescent="0.25">
      <c r="B7157" s="463"/>
      <c r="C7157" s="463"/>
    </row>
    <row r="7158" spans="2:3" x14ac:dyDescent="0.25">
      <c r="B7158" s="463"/>
      <c r="C7158" s="463"/>
    </row>
    <row r="7159" spans="2:3" x14ac:dyDescent="0.25">
      <c r="B7159" s="463"/>
      <c r="C7159" s="463"/>
    </row>
    <row r="7160" spans="2:3" x14ac:dyDescent="0.25">
      <c r="B7160" s="463"/>
      <c r="C7160" s="463"/>
    </row>
    <row r="7161" spans="2:3" x14ac:dyDescent="0.25">
      <c r="B7161" s="463"/>
      <c r="C7161" s="463"/>
    </row>
    <row r="7162" spans="2:3" x14ac:dyDescent="0.25">
      <c r="B7162" s="463"/>
      <c r="C7162" s="463"/>
    </row>
    <row r="7163" spans="2:3" x14ac:dyDescent="0.25">
      <c r="B7163" s="463"/>
      <c r="C7163" s="463"/>
    </row>
    <row r="7164" spans="2:3" x14ac:dyDescent="0.25">
      <c r="B7164" s="463"/>
      <c r="C7164" s="463"/>
    </row>
    <row r="7165" spans="2:3" x14ac:dyDescent="0.25">
      <c r="B7165" s="463"/>
      <c r="C7165" s="463"/>
    </row>
    <row r="7166" spans="2:3" x14ac:dyDescent="0.25">
      <c r="B7166" s="463"/>
      <c r="C7166" s="463"/>
    </row>
    <row r="7167" spans="2:3" x14ac:dyDescent="0.25">
      <c r="B7167" s="463"/>
      <c r="C7167" s="463"/>
    </row>
    <row r="7168" spans="2:3" x14ac:dyDescent="0.25">
      <c r="B7168" s="463"/>
      <c r="C7168" s="463"/>
    </row>
    <row r="7169" spans="2:3" x14ac:dyDescent="0.25">
      <c r="B7169" s="463"/>
      <c r="C7169" s="463"/>
    </row>
    <row r="7170" spans="2:3" x14ac:dyDescent="0.25">
      <c r="B7170" s="463"/>
      <c r="C7170" s="463"/>
    </row>
    <row r="7171" spans="2:3" x14ac:dyDescent="0.25">
      <c r="B7171" s="463"/>
      <c r="C7171" s="463"/>
    </row>
    <row r="7172" spans="2:3" x14ac:dyDescent="0.25">
      <c r="B7172" s="463"/>
      <c r="C7172" s="463"/>
    </row>
    <row r="7173" spans="2:3" x14ac:dyDescent="0.25">
      <c r="B7173" s="463"/>
      <c r="C7173" s="463"/>
    </row>
    <row r="7174" spans="2:3" x14ac:dyDescent="0.25">
      <c r="B7174" s="463"/>
      <c r="C7174" s="463"/>
    </row>
    <row r="7175" spans="2:3" x14ac:dyDescent="0.25">
      <c r="B7175" s="463"/>
      <c r="C7175" s="463"/>
    </row>
    <row r="7176" spans="2:3" x14ac:dyDescent="0.25">
      <c r="B7176" s="463"/>
      <c r="C7176" s="463"/>
    </row>
    <row r="7177" spans="2:3" x14ac:dyDescent="0.25">
      <c r="B7177" s="463"/>
      <c r="C7177" s="463"/>
    </row>
    <row r="7178" spans="2:3" x14ac:dyDescent="0.25">
      <c r="B7178" s="463"/>
      <c r="C7178" s="463"/>
    </row>
    <row r="7179" spans="2:3" x14ac:dyDescent="0.25">
      <c r="B7179" s="463"/>
      <c r="C7179" s="463"/>
    </row>
    <row r="7180" spans="2:3" x14ac:dyDescent="0.25">
      <c r="B7180" s="463"/>
      <c r="C7180" s="463"/>
    </row>
    <row r="7181" spans="2:3" x14ac:dyDescent="0.25">
      <c r="B7181" s="463"/>
      <c r="C7181" s="463"/>
    </row>
    <row r="7182" spans="2:3" x14ac:dyDescent="0.25">
      <c r="B7182" s="463"/>
      <c r="C7182" s="463"/>
    </row>
    <row r="7183" spans="2:3" x14ac:dyDescent="0.25">
      <c r="B7183" s="463"/>
      <c r="C7183" s="463"/>
    </row>
    <row r="7184" spans="2:3" x14ac:dyDescent="0.25">
      <c r="B7184" s="463"/>
      <c r="C7184" s="463"/>
    </row>
    <row r="7185" spans="2:3" x14ac:dyDescent="0.25">
      <c r="B7185" s="463"/>
      <c r="C7185" s="463"/>
    </row>
    <row r="7186" spans="2:3" x14ac:dyDescent="0.25">
      <c r="B7186" s="463"/>
      <c r="C7186" s="463"/>
    </row>
    <row r="7187" spans="2:3" x14ac:dyDescent="0.25">
      <c r="B7187" s="463"/>
      <c r="C7187" s="463"/>
    </row>
    <row r="7188" spans="2:3" x14ac:dyDescent="0.25">
      <c r="B7188" s="463"/>
      <c r="C7188" s="463"/>
    </row>
    <row r="7189" spans="2:3" x14ac:dyDescent="0.25">
      <c r="B7189" s="463"/>
      <c r="C7189" s="463"/>
    </row>
    <row r="7190" spans="2:3" x14ac:dyDescent="0.25">
      <c r="B7190" s="463"/>
      <c r="C7190" s="463"/>
    </row>
    <row r="7191" spans="2:3" x14ac:dyDescent="0.25">
      <c r="B7191" s="463"/>
      <c r="C7191" s="463"/>
    </row>
    <row r="7192" spans="2:3" x14ac:dyDescent="0.25">
      <c r="B7192" s="463"/>
      <c r="C7192" s="463"/>
    </row>
    <row r="7193" spans="2:3" x14ac:dyDescent="0.25">
      <c r="B7193" s="463"/>
      <c r="C7193" s="463"/>
    </row>
    <row r="7194" spans="2:3" x14ac:dyDescent="0.25">
      <c r="B7194" s="463"/>
      <c r="C7194" s="463"/>
    </row>
    <row r="7195" spans="2:3" x14ac:dyDescent="0.25">
      <c r="B7195" s="463"/>
      <c r="C7195" s="463"/>
    </row>
    <row r="7196" spans="2:3" x14ac:dyDescent="0.25">
      <c r="B7196" s="463"/>
      <c r="C7196" s="463"/>
    </row>
    <row r="7197" spans="2:3" x14ac:dyDescent="0.25">
      <c r="B7197" s="463"/>
      <c r="C7197" s="463"/>
    </row>
    <row r="7198" spans="2:3" x14ac:dyDescent="0.25">
      <c r="B7198" s="463"/>
      <c r="C7198" s="463"/>
    </row>
    <row r="7199" spans="2:3" x14ac:dyDescent="0.25">
      <c r="B7199" s="463"/>
      <c r="C7199" s="463"/>
    </row>
    <row r="7200" spans="2:3" x14ac:dyDescent="0.25">
      <c r="B7200" s="463"/>
      <c r="C7200" s="463"/>
    </row>
    <row r="7201" spans="2:3" x14ac:dyDescent="0.25">
      <c r="B7201" s="463"/>
      <c r="C7201" s="463"/>
    </row>
    <row r="7202" spans="2:3" x14ac:dyDescent="0.25">
      <c r="B7202" s="463"/>
      <c r="C7202" s="463"/>
    </row>
    <row r="7203" spans="2:3" x14ac:dyDescent="0.25">
      <c r="B7203" s="463"/>
      <c r="C7203" s="463"/>
    </row>
    <row r="7204" spans="2:3" x14ac:dyDescent="0.25">
      <c r="B7204" s="463"/>
      <c r="C7204" s="463"/>
    </row>
    <row r="7205" spans="2:3" x14ac:dyDescent="0.25">
      <c r="B7205" s="463"/>
      <c r="C7205" s="463"/>
    </row>
    <row r="7206" spans="2:3" x14ac:dyDescent="0.25">
      <c r="B7206" s="463"/>
      <c r="C7206" s="463"/>
    </row>
    <row r="7207" spans="2:3" x14ac:dyDescent="0.25">
      <c r="B7207" s="463"/>
      <c r="C7207" s="463"/>
    </row>
    <row r="7208" spans="2:3" x14ac:dyDescent="0.25">
      <c r="B7208" s="463"/>
      <c r="C7208" s="463"/>
    </row>
    <row r="7209" spans="2:3" x14ac:dyDescent="0.25">
      <c r="B7209" s="463"/>
      <c r="C7209" s="463"/>
    </row>
    <row r="7210" spans="2:3" x14ac:dyDescent="0.25">
      <c r="B7210" s="463"/>
      <c r="C7210" s="463"/>
    </row>
    <row r="7211" spans="2:3" x14ac:dyDescent="0.25">
      <c r="B7211" s="463"/>
      <c r="C7211" s="463"/>
    </row>
    <row r="7212" spans="2:3" x14ac:dyDescent="0.25">
      <c r="B7212" s="463"/>
      <c r="C7212" s="463"/>
    </row>
    <row r="7213" spans="2:3" x14ac:dyDescent="0.25">
      <c r="B7213" s="463"/>
      <c r="C7213" s="463"/>
    </row>
    <row r="7214" spans="2:3" x14ac:dyDescent="0.25">
      <c r="B7214" s="463"/>
      <c r="C7214" s="463"/>
    </row>
    <row r="7215" spans="2:3" x14ac:dyDescent="0.25">
      <c r="B7215" s="463"/>
      <c r="C7215" s="463"/>
    </row>
    <row r="7216" spans="2:3" x14ac:dyDescent="0.25">
      <c r="B7216" s="463"/>
      <c r="C7216" s="463"/>
    </row>
    <row r="7217" spans="2:3" x14ac:dyDescent="0.25">
      <c r="B7217" s="463"/>
      <c r="C7217" s="463"/>
    </row>
    <row r="7218" spans="2:3" x14ac:dyDescent="0.25">
      <c r="B7218" s="463"/>
      <c r="C7218" s="463"/>
    </row>
    <row r="7219" spans="2:3" x14ac:dyDescent="0.25">
      <c r="B7219" s="463"/>
      <c r="C7219" s="463"/>
    </row>
    <row r="7220" spans="2:3" x14ac:dyDescent="0.25">
      <c r="B7220" s="463"/>
      <c r="C7220" s="463"/>
    </row>
    <row r="7221" spans="2:3" x14ac:dyDescent="0.25">
      <c r="B7221" s="463"/>
      <c r="C7221" s="463"/>
    </row>
    <row r="7222" spans="2:3" x14ac:dyDescent="0.25">
      <c r="B7222" s="463"/>
      <c r="C7222" s="463"/>
    </row>
    <row r="7223" spans="2:3" x14ac:dyDescent="0.25">
      <c r="B7223" s="463"/>
      <c r="C7223" s="463"/>
    </row>
    <row r="7224" spans="2:3" x14ac:dyDescent="0.25">
      <c r="B7224" s="463"/>
      <c r="C7224" s="463"/>
    </row>
    <row r="7225" spans="2:3" x14ac:dyDescent="0.25">
      <c r="B7225" s="463"/>
      <c r="C7225" s="463"/>
    </row>
    <row r="7226" spans="2:3" x14ac:dyDescent="0.25">
      <c r="B7226" s="463"/>
      <c r="C7226" s="463"/>
    </row>
    <row r="7227" spans="2:3" x14ac:dyDescent="0.25">
      <c r="B7227" s="463"/>
      <c r="C7227" s="463"/>
    </row>
    <row r="7228" spans="2:3" x14ac:dyDescent="0.25">
      <c r="B7228" s="463"/>
      <c r="C7228" s="463"/>
    </row>
    <row r="7229" spans="2:3" x14ac:dyDescent="0.25">
      <c r="B7229" s="463"/>
      <c r="C7229" s="463"/>
    </row>
    <row r="7230" spans="2:3" x14ac:dyDescent="0.25">
      <c r="B7230" s="463"/>
      <c r="C7230" s="463"/>
    </row>
    <row r="7231" spans="2:3" x14ac:dyDescent="0.25">
      <c r="B7231" s="463"/>
      <c r="C7231" s="463"/>
    </row>
    <row r="7232" spans="2:3" x14ac:dyDescent="0.25">
      <c r="B7232" s="463"/>
      <c r="C7232" s="463"/>
    </row>
    <row r="7233" spans="2:3" x14ac:dyDescent="0.25">
      <c r="B7233" s="463"/>
      <c r="C7233" s="463"/>
    </row>
    <row r="7234" spans="2:3" x14ac:dyDescent="0.25">
      <c r="B7234" s="463"/>
      <c r="C7234" s="463"/>
    </row>
    <row r="7235" spans="2:3" x14ac:dyDescent="0.25">
      <c r="B7235" s="463"/>
      <c r="C7235" s="463"/>
    </row>
    <row r="7236" spans="2:3" x14ac:dyDescent="0.25">
      <c r="B7236" s="463"/>
      <c r="C7236" s="463"/>
    </row>
    <row r="7237" spans="2:3" x14ac:dyDescent="0.25">
      <c r="B7237" s="463"/>
      <c r="C7237" s="463"/>
    </row>
    <row r="7238" spans="2:3" x14ac:dyDescent="0.25">
      <c r="B7238" s="463"/>
      <c r="C7238" s="463"/>
    </row>
    <row r="7239" spans="2:3" x14ac:dyDescent="0.25">
      <c r="B7239" s="463"/>
      <c r="C7239" s="463"/>
    </row>
    <row r="7240" spans="2:3" x14ac:dyDescent="0.25">
      <c r="B7240" s="463"/>
      <c r="C7240" s="463"/>
    </row>
    <row r="7241" spans="2:3" x14ac:dyDescent="0.25">
      <c r="B7241" s="463"/>
      <c r="C7241" s="463"/>
    </row>
    <row r="7242" spans="2:3" x14ac:dyDescent="0.25">
      <c r="B7242" s="463"/>
      <c r="C7242" s="463"/>
    </row>
    <row r="7243" spans="2:3" x14ac:dyDescent="0.25">
      <c r="B7243" s="463"/>
      <c r="C7243" s="463"/>
    </row>
    <row r="7244" spans="2:3" x14ac:dyDescent="0.25">
      <c r="B7244" s="463"/>
      <c r="C7244" s="463"/>
    </row>
    <row r="7245" spans="2:3" x14ac:dyDescent="0.25">
      <c r="B7245" s="463"/>
      <c r="C7245" s="463"/>
    </row>
    <row r="7246" spans="2:3" x14ac:dyDescent="0.25">
      <c r="B7246" s="463"/>
      <c r="C7246" s="463"/>
    </row>
    <row r="7247" spans="2:3" x14ac:dyDescent="0.25">
      <c r="B7247" s="463"/>
      <c r="C7247" s="463"/>
    </row>
    <row r="7248" spans="2:3" x14ac:dyDescent="0.25">
      <c r="B7248" s="463"/>
      <c r="C7248" s="463"/>
    </row>
    <row r="7249" spans="2:3" x14ac:dyDescent="0.25">
      <c r="B7249" s="463"/>
      <c r="C7249" s="463"/>
    </row>
    <row r="7250" spans="2:3" x14ac:dyDescent="0.25">
      <c r="B7250" s="463"/>
      <c r="C7250" s="463"/>
    </row>
    <row r="7251" spans="2:3" x14ac:dyDescent="0.25">
      <c r="B7251" s="463"/>
      <c r="C7251" s="463"/>
    </row>
    <row r="7252" spans="2:3" x14ac:dyDescent="0.25">
      <c r="B7252" s="463"/>
      <c r="C7252" s="463"/>
    </row>
    <row r="7253" spans="2:3" x14ac:dyDescent="0.25">
      <c r="B7253" s="463"/>
      <c r="C7253" s="463"/>
    </row>
    <row r="7254" spans="2:3" x14ac:dyDescent="0.25">
      <c r="B7254" s="463"/>
      <c r="C7254" s="463"/>
    </row>
    <row r="7255" spans="2:3" x14ac:dyDescent="0.25">
      <c r="B7255" s="463"/>
      <c r="C7255" s="463"/>
    </row>
    <row r="7256" spans="2:3" x14ac:dyDescent="0.25">
      <c r="B7256" s="463"/>
      <c r="C7256" s="463"/>
    </row>
    <row r="7257" spans="2:3" x14ac:dyDescent="0.25">
      <c r="B7257" s="463"/>
      <c r="C7257" s="463"/>
    </row>
    <row r="7258" spans="2:3" x14ac:dyDescent="0.25">
      <c r="B7258" s="463"/>
      <c r="C7258" s="463"/>
    </row>
    <row r="7259" spans="2:3" x14ac:dyDescent="0.25">
      <c r="B7259" s="463"/>
      <c r="C7259" s="463"/>
    </row>
    <row r="7260" spans="2:3" x14ac:dyDescent="0.25">
      <c r="B7260" s="463"/>
      <c r="C7260" s="463"/>
    </row>
    <row r="7261" spans="2:3" x14ac:dyDescent="0.25">
      <c r="B7261" s="463"/>
      <c r="C7261" s="463"/>
    </row>
    <row r="7262" spans="2:3" x14ac:dyDescent="0.25">
      <c r="B7262" s="463"/>
      <c r="C7262" s="463"/>
    </row>
    <row r="7263" spans="2:3" x14ac:dyDescent="0.25">
      <c r="B7263" s="463"/>
      <c r="C7263" s="463"/>
    </row>
    <row r="7264" spans="2:3" x14ac:dyDescent="0.25">
      <c r="B7264" s="463"/>
      <c r="C7264" s="463"/>
    </row>
    <row r="7265" spans="2:3" x14ac:dyDescent="0.25">
      <c r="B7265" s="463"/>
      <c r="C7265" s="463"/>
    </row>
    <row r="7266" spans="2:3" x14ac:dyDescent="0.25">
      <c r="B7266" s="463"/>
      <c r="C7266" s="463"/>
    </row>
    <row r="7267" spans="2:3" x14ac:dyDescent="0.25">
      <c r="B7267" s="463"/>
      <c r="C7267" s="463"/>
    </row>
    <row r="7268" spans="2:3" x14ac:dyDescent="0.25">
      <c r="B7268" s="463"/>
      <c r="C7268" s="463"/>
    </row>
    <row r="7269" spans="2:3" x14ac:dyDescent="0.25">
      <c r="B7269" s="463"/>
      <c r="C7269" s="463"/>
    </row>
    <row r="7270" spans="2:3" x14ac:dyDescent="0.25">
      <c r="B7270" s="463"/>
      <c r="C7270" s="463"/>
    </row>
    <row r="7271" spans="2:3" x14ac:dyDescent="0.25">
      <c r="B7271" s="463"/>
      <c r="C7271" s="463"/>
    </row>
    <row r="7272" spans="2:3" x14ac:dyDescent="0.25">
      <c r="B7272" s="463"/>
      <c r="C7272" s="463"/>
    </row>
    <row r="7273" spans="2:3" x14ac:dyDescent="0.25">
      <c r="B7273" s="463"/>
      <c r="C7273" s="463"/>
    </row>
    <row r="7274" spans="2:3" x14ac:dyDescent="0.25">
      <c r="B7274" s="463"/>
      <c r="C7274" s="463"/>
    </row>
    <row r="7275" spans="2:3" x14ac:dyDescent="0.25">
      <c r="B7275" s="463"/>
      <c r="C7275" s="463"/>
    </row>
    <row r="7276" spans="2:3" x14ac:dyDescent="0.25">
      <c r="B7276" s="463"/>
      <c r="C7276" s="463"/>
    </row>
    <row r="7277" spans="2:3" x14ac:dyDescent="0.25">
      <c r="B7277" s="463"/>
      <c r="C7277" s="463"/>
    </row>
    <row r="7278" spans="2:3" x14ac:dyDescent="0.25">
      <c r="B7278" s="463"/>
      <c r="C7278" s="463"/>
    </row>
    <row r="7279" spans="2:3" x14ac:dyDescent="0.25">
      <c r="B7279" s="463"/>
      <c r="C7279" s="463"/>
    </row>
    <row r="7280" spans="2:3" x14ac:dyDescent="0.25">
      <c r="B7280" s="463"/>
      <c r="C7280" s="463"/>
    </row>
    <row r="7281" spans="2:3" x14ac:dyDescent="0.25">
      <c r="B7281" s="463"/>
      <c r="C7281" s="463"/>
    </row>
    <row r="7282" spans="2:3" x14ac:dyDescent="0.25">
      <c r="B7282" s="463"/>
      <c r="C7282" s="463"/>
    </row>
    <row r="7283" spans="2:3" x14ac:dyDescent="0.25">
      <c r="B7283" s="463"/>
      <c r="C7283" s="463"/>
    </row>
    <row r="7284" spans="2:3" x14ac:dyDescent="0.25">
      <c r="B7284" s="463"/>
      <c r="C7284" s="463"/>
    </row>
    <row r="7285" spans="2:3" x14ac:dyDescent="0.25">
      <c r="B7285" s="463"/>
      <c r="C7285" s="463"/>
    </row>
    <row r="7286" spans="2:3" x14ac:dyDescent="0.25">
      <c r="B7286" s="463"/>
      <c r="C7286" s="463"/>
    </row>
    <row r="7287" spans="2:3" x14ac:dyDescent="0.25">
      <c r="B7287" s="463"/>
      <c r="C7287" s="463"/>
    </row>
    <row r="7288" spans="2:3" x14ac:dyDescent="0.25">
      <c r="B7288" s="463"/>
      <c r="C7288" s="463"/>
    </row>
    <row r="7289" spans="2:3" x14ac:dyDescent="0.25">
      <c r="B7289" s="463"/>
      <c r="C7289" s="463"/>
    </row>
    <row r="7290" spans="2:3" x14ac:dyDescent="0.25">
      <c r="B7290" s="463"/>
      <c r="C7290" s="463"/>
    </row>
    <row r="7291" spans="2:3" x14ac:dyDescent="0.25">
      <c r="B7291" s="463"/>
      <c r="C7291" s="463"/>
    </row>
    <row r="7292" spans="2:3" x14ac:dyDescent="0.25">
      <c r="B7292" s="463"/>
      <c r="C7292" s="463"/>
    </row>
    <row r="7293" spans="2:3" x14ac:dyDescent="0.25">
      <c r="B7293" s="463"/>
      <c r="C7293" s="463"/>
    </row>
    <row r="7294" spans="2:3" x14ac:dyDescent="0.25">
      <c r="B7294" s="463"/>
      <c r="C7294" s="463"/>
    </row>
    <row r="7295" spans="2:3" x14ac:dyDescent="0.25">
      <c r="B7295" s="463"/>
      <c r="C7295" s="463"/>
    </row>
    <row r="7296" spans="2:3" x14ac:dyDescent="0.25">
      <c r="B7296" s="463"/>
      <c r="C7296" s="463"/>
    </row>
    <row r="7297" spans="2:3" x14ac:dyDescent="0.25">
      <c r="B7297" s="463"/>
      <c r="C7297" s="463"/>
    </row>
    <row r="7298" spans="2:3" x14ac:dyDescent="0.25">
      <c r="B7298" s="463"/>
      <c r="C7298" s="463"/>
    </row>
    <row r="7299" spans="2:3" x14ac:dyDescent="0.25">
      <c r="B7299" s="463"/>
      <c r="C7299" s="463"/>
    </row>
    <row r="7300" spans="2:3" x14ac:dyDescent="0.25">
      <c r="B7300" s="463"/>
      <c r="C7300" s="463"/>
    </row>
    <row r="7301" spans="2:3" x14ac:dyDescent="0.25">
      <c r="B7301" s="463"/>
      <c r="C7301" s="463"/>
    </row>
    <row r="7302" spans="2:3" x14ac:dyDescent="0.25">
      <c r="B7302" s="463"/>
      <c r="C7302" s="463"/>
    </row>
    <row r="7303" spans="2:3" x14ac:dyDescent="0.25">
      <c r="B7303" s="463"/>
      <c r="C7303" s="463"/>
    </row>
    <row r="7304" spans="2:3" x14ac:dyDescent="0.25">
      <c r="B7304" s="463"/>
      <c r="C7304" s="463"/>
    </row>
    <row r="7305" spans="2:3" x14ac:dyDescent="0.25">
      <c r="B7305" s="463"/>
      <c r="C7305" s="463"/>
    </row>
    <row r="7306" spans="2:3" x14ac:dyDescent="0.25">
      <c r="B7306" s="463"/>
      <c r="C7306" s="463"/>
    </row>
    <row r="7307" spans="2:3" x14ac:dyDescent="0.25">
      <c r="B7307" s="463"/>
      <c r="C7307" s="463"/>
    </row>
    <row r="7308" spans="2:3" x14ac:dyDescent="0.25">
      <c r="B7308" s="463"/>
      <c r="C7308" s="463"/>
    </row>
    <row r="7309" spans="2:3" x14ac:dyDescent="0.25">
      <c r="B7309" s="463"/>
      <c r="C7309" s="463"/>
    </row>
    <row r="7310" spans="2:3" x14ac:dyDescent="0.25">
      <c r="B7310" s="463"/>
      <c r="C7310" s="463"/>
    </row>
    <row r="7311" spans="2:3" x14ac:dyDescent="0.25">
      <c r="B7311" s="463"/>
      <c r="C7311" s="463"/>
    </row>
    <row r="7312" spans="2:3" x14ac:dyDescent="0.25">
      <c r="B7312" s="463"/>
      <c r="C7312" s="463"/>
    </row>
    <row r="7313" spans="2:3" x14ac:dyDescent="0.25">
      <c r="B7313" s="463"/>
      <c r="C7313" s="463"/>
    </row>
    <row r="7314" spans="2:3" x14ac:dyDescent="0.25">
      <c r="B7314" s="463"/>
      <c r="C7314" s="463"/>
    </row>
    <row r="7315" spans="2:3" x14ac:dyDescent="0.25">
      <c r="B7315" s="463"/>
      <c r="C7315" s="463"/>
    </row>
    <row r="7316" spans="2:3" x14ac:dyDescent="0.25">
      <c r="B7316" s="463"/>
      <c r="C7316" s="463"/>
    </row>
    <row r="7317" spans="2:3" x14ac:dyDescent="0.25">
      <c r="B7317" s="463"/>
      <c r="C7317" s="463"/>
    </row>
    <row r="7318" spans="2:3" x14ac:dyDescent="0.25">
      <c r="B7318" s="463"/>
      <c r="C7318" s="463"/>
    </row>
    <row r="7319" spans="2:3" x14ac:dyDescent="0.25">
      <c r="B7319" s="463"/>
      <c r="C7319" s="463"/>
    </row>
    <row r="7320" spans="2:3" x14ac:dyDescent="0.25">
      <c r="B7320" s="463"/>
      <c r="C7320" s="463"/>
    </row>
    <row r="7321" spans="2:3" x14ac:dyDescent="0.25">
      <c r="B7321" s="463"/>
      <c r="C7321" s="463"/>
    </row>
    <row r="7322" spans="2:3" x14ac:dyDescent="0.25">
      <c r="B7322" s="463"/>
      <c r="C7322" s="463"/>
    </row>
    <row r="7323" spans="2:3" x14ac:dyDescent="0.25">
      <c r="B7323" s="463"/>
      <c r="C7323" s="463"/>
    </row>
    <row r="7324" spans="2:3" x14ac:dyDescent="0.25">
      <c r="B7324" s="463"/>
      <c r="C7324" s="463"/>
    </row>
    <row r="7325" spans="2:3" x14ac:dyDescent="0.25">
      <c r="B7325" s="463"/>
      <c r="C7325" s="463"/>
    </row>
    <row r="7326" spans="2:3" x14ac:dyDescent="0.25">
      <c r="B7326" s="463"/>
      <c r="C7326" s="463"/>
    </row>
    <row r="7327" spans="2:3" x14ac:dyDescent="0.25">
      <c r="B7327" s="463"/>
      <c r="C7327" s="463"/>
    </row>
    <row r="7328" spans="2:3" x14ac:dyDescent="0.25">
      <c r="B7328" s="463"/>
      <c r="C7328" s="463"/>
    </row>
    <row r="7329" spans="2:3" x14ac:dyDescent="0.25">
      <c r="B7329" s="463"/>
      <c r="C7329" s="463"/>
    </row>
    <row r="7330" spans="2:3" x14ac:dyDescent="0.25">
      <c r="B7330" s="463"/>
      <c r="C7330" s="463"/>
    </row>
    <row r="7331" spans="2:3" x14ac:dyDescent="0.25">
      <c r="B7331" s="463"/>
      <c r="C7331" s="463"/>
    </row>
    <row r="7332" spans="2:3" x14ac:dyDescent="0.25">
      <c r="B7332" s="463"/>
      <c r="C7332" s="463"/>
    </row>
    <row r="7333" spans="2:3" x14ac:dyDescent="0.25">
      <c r="B7333" s="463"/>
      <c r="C7333" s="463"/>
    </row>
    <row r="7334" spans="2:3" x14ac:dyDescent="0.25">
      <c r="B7334" s="463"/>
      <c r="C7334" s="463"/>
    </row>
    <row r="7335" spans="2:3" x14ac:dyDescent="0.25">
      <c r="B7335" s="463"/>
      <c r="C7335" s="463"/>
    </row>
    <row r="7336" spans="2:3" x14ac:dyDescent="0.25">
      <c r="B7336" s="463"/>
      <c r="C7336" s="463"/>
    </row>
    <row r="7337" spans="2:3" x14ac:dyDescent="0.25">
      <c r="B7337" s="463"/>
      <c r="C7337" s="463"/>
    </row>
    <row r="7338" spans="2:3" x14ac:dyDescent="0.25">
      <c r="B7338" s="463"/>
      <c r="C7338" s="463"/>
    </row>
    <row r="7339" spans="2:3" x14ac:dyDescent="0.25">
      <c r="B7339" s="463"/>
      <c r="C7339" s="463"/>
    </row>
    <row r="7340" spans="2:3" x14ac:dyDescent="0.25">
      <c r="B7340" s="463"/>
      <c r="C7340" s="463"/>
    </row>
    <row r="7341" spans="2:3" x14ac:dyDescent="0.25">
      <c r="B7341" s="463"/>
      <c r="C7341" s="463"/>
    </row>
    <row r="7342" spans="2:3" x14ac:dyDescent="0.25">
      <c r="B7342" s="463"/>
      <c r="C7342" s="463"/>
    </row>
    <row r="7343" spans="2:3" x14ac:dyDescent="0.25">
      <c r="B7343" s="463"/>
      <c r="C7343" s="463"/>
    </row>
    <row r="7344" spans="2:3" x14ac:dyDescent="0.25">
      <c r="B7344" s="463"/>
      <c r="C7344" s="463"/>
    </row>
    <row r="7345" spans="2:3" x14ac:dyDescent="0.25">
      <c r="B7345" s="463"/>
      <c r="C7345" s="463"/>
    </row>
    <row r="7346" spans="2:3" x14ac:dyDescent="0.25">
      <c r="B7346" s="463"/>
      <c r="C7346" s="463"/>
    </row>
    <row r="7347" spans="2:3" x14ac:dyDescent="0.25">
      <c r="B7347" s="463"/>
      <c r="C7347" s="463"/>
    </row>
    <row r="7348" spans="2:3" x14ac:dyDescent="0.25">
      <c r="B7348" s="463"/>
      <c r="C7348" s="463"/>
    </row>
    <row r="7349" spans="2:3" x14ac:dyDescent="0.25">
      <c r="B7349" s="463"/>
      <c r="C7349" s="463"/>
    </row>
    <row r="7350" spans="2:3" x14ac:dyDescent="0.25">
      <c r="B7350" s="463"/>
      <c r="C7350" s="463"/>
    </row>
    <row r="7351" spans="2:3" x14ac:dyDescent="0.25">
      <c r="B7351" s="463"/>
      <c r="C7351" s="463"/>
    </row>
    <row r="7352" spans="2:3" x14ac:dyDescent="0.25">
      <c r="B7352" s="463"/>
      <c r="C7352" s="463"/>
    </row>
    <row r="7353" spans="2:3" x14ac:dyDescent="0.25">
      <c r="B7353" s="463"/>
      <c r="C7353" s="463"/>
    </row>
    <row r="7354" spans="2:3" x14ac:dyDescent="0.25">
      <c r="B7354" s="463"/>
      <c r="C7354" s="463"/>
    </row>
    <row r="7355" spans="2:3" x14ac:dyDescent="0.25">
      <c r="B7355" s="463"/>
      <c r="C7355" s="463"/>
    </row>
    <row r="7356" spans="2:3" x14ac:dyDescent="0.25">
      <c r="B7356" s="463"/>
      <c r="C7356" s="463"/>
    </row>
    <row r="7357" spans="2:3" x14ac:dyDescent="0.25">
      <c r="B7357" s="463"/>
      <c r="C7357" s="463"/>
    </row>
    <row r="7358" spans="2:3" x14ac:dyDescent="0.25">
      <c r="B7358" s="463"/>
      <c r="C7358" s="463"/>
    </row>
    <row r="7359" spans="2:3" x14ac:dyDescent="0.25">
      <c r="B7359" s="463"/>
      <c r="C7359" s="463"/>
    </row>
    <row r="7360" spans="2:3" x14ac:dyDescent="0.25">
      <c r="B7360" s="463"/>
      <c r="C7360" s="463"/>
    </row>
    <row r="7361" spans="2:3" x14ac:dyDescent="0.25">
      <c r="B7361" s="463"/>
      <c r="C7361" s="463"/>
    </row>
    <row r="7362" spans="2:3" x14ac:dyDescent="0.25">
      <c r="B7362" s="463"/>
      <c r="C7362" s="463"/>
    </row>
    <row r="7363" spans="2:3" x14ac:dyDescent="0.25">
      <c r="B7363" s="463"/>
      <c r="C7363" s="463"/>
    </row>
    <row r="7364" spans="2:3" x14ac:dyDescent="0.25">
      <c r="B7364" s="463"/>
      <c r="C7364" s="463"/>
    </row>
    <row r="7365" spans="2:3" x14ac:dyDescent="0.25">
      <c r="B7365" s="463"/>
      <c r="C7365" s="463"/>
    </row>
    <row r="7366" spans="2:3" x14ac:dyDescent="0.25">
      <c r="B7366" s="463"/>
      <c r="C7366" s="463"/>
    </row>
    <row r="7367" spans="2:3" x14ac:dyDescent="0.25">
      <c r="B7367" s="463"/>
      <c r="C7367" s="463"/>
    </row>
    <row r="7368" spans="2:3" x14ac:dyDescent="0.25">
      <c r="B7368" s="463"/>
      <c r="C7368" s="463"/>
    </row>
    <row r="7369" spans="2:3" x14ac:dyDescent="0.25">
      <c r="B7369" s="463"/>
      <c r="C7369" s="463"/>
    </row>
    <row r="7370" spans="2:3" x14ac:dyDescent="0.25">
      <c r="B7370" s="463"/>
      <c r="C7370" s="463"/>
    </row>
    <row r="7371" spans="2:3" x14ac:dyDescent="0.25">
      <c r="B7371" s="463"/>
      <c r="C7371" s="463"/>
    </row>
    <row r="7372" spans="2:3" x14ac:dyDescent="0.25">
      <c r="B7372" s="463"/>
      <c r="C7372" s="463"/>
    </row>
    <row r="7373" spans="2:3" x14ac:dyDescent="0.25">
      <c r="B7373" s="463"/>
      <c r="C7373" s="463"/>
    </row>
    <row r="7374" spans="2:3" x14ac:dyDescent="0.25">
      <c r="B7374" s="463"/>
      <c r="C7374" s="463"/>
    </row>
    <row r="7375" spans="2:3" x14ac:dyDescent="0.25">
      <c r="B7375" s="463"/>
      <c r="C7375" s="463"/>
    </row>
    <row r="7376" spans="2:3" x14ac:dyDescent="0.25">
      <c r="B7376" s="463"/>
      <c r="C7376" s="463"/>
    </row>
    <row r="7377" spans="2:3" x14ac:dyDescent="0.25">
      <c r="B7377" s="463"/>
      <c r="C7377" s="463"/>
    </row>
    <row r="7378" spans="2:3" x14ac:dyDescent="0.25">
      <c r="B7378" s="463"/>
      <c r="C7378" s="463"/>
    </row>
    <row r="7379" spans="2:3" x14ac:dyDescent="0.25">
      <c r="B7379" s="463"/>
      <c r="C7379" s="463"/>
    </row>
    <row r="7380" spans="2:3" x14ac:dyDescent="0.25">
      <c r="B7380" s="463"/>
      <c r="C7380" s="463"/>
    </row>
    <row r="7381" spans="2:3" x14ac:dyDescent="0.25">
      <c r="B7381" s="463"/>
      <c r="C7381" s="463"/>
    </row>
    <row r="7382" spans="2:3" x14ac:dyDescent="0.25">
      <c r="B7382" s="463"/>
      <c r="C7382" s="463"/>
    </row>
    <row r="7383" spans="2:3" x14ac:dyDescent="0.25">
      <c r="B7383" s="463"/>
      <c r="C7383" s="463"/>
    </row>
    <row r="7384" spans="2:3" x14ac:dyDescent="0.25">
      <c r="B7384" s="463"/>
      <c r="C7384" s="463"/>
    </row>
    <row r="7385" spans="2:3" x14ac:dyDescent="0.25">
      <c r="B7385" s="463"/>
      <c r="C7385" s="463"/>
    </row>
    <row r="7386" spans="2:3" x14ac:dyDescent="0.25">
      <c r="B7386" s="463"/>
      <c r="C7386" s="463"/>
    </row>
    <row r="7387" spans="2:3" x14ac:dyDescent="0.25">
      <c r="B7387" s="463"/>
      <c r="C7387" s="463"/>
    </row>
    <row r="7388" spans="2:3" x14ac:dyDescent="0.25">
      <c r="B7388" s="463"/>
      <c r="C7388" s="463"/>
    </row>
    <row r="7389" spans="2:3" x14ac:dyDescent="0.25">
      <c r="B7389" s="463"/>
      <c r="C7389" s="463"/>
    </row>
    <row r="7390" spans="2:3" x14ac:dyDescent="0.25">
      <c r="B7390" s="463"/>
      <c r="C7390" s="463"/>
    </row>
    <row r="7391" spans="2:3" x14ac:dyDescent="0.25">
      <c r="B7391" s="463"/>
      <c r="C7391" s="463"/>
    </row>
    <row r="7392" spans="2:3" x14ac:dyDescent="0.25">
      <c r="B7392" s="463"/>
      <c r="C7392" s="463"/>
    </row>
    <row r="7393" spans="2:3" x14ac:dyDescent="0.25">
      <c r="B7393" s="463"/>
      <c r="C7393" s="463"/>
    </row>
    <row r="7394" spans="2:3" x14ac:dyDescent="0.25">
      <c r="B7394" s="463"/>
      <c r="C7394" s="463"/>
    </row>
    <row r="7395" spans="2:3" x14ac:dyDescent="0.25">
      <c r="B7395" s="463"/>
      <c r="C7395" s="463"/>
    </row>
    <row r="7396" spans="2:3" x14ac:dyDescent="0.25">
      <c r="B7396" s="463"/>
      <c r="C7396" s="463"/>
    </row>
    <row r="7397" spans="2:3" x14ac:dyDescent="0.25">
      <c r="B7397" s="463"/>
      <c r="C7397" s="463"/>
    </row>
    <row r="7398" spans="2:3" x14ac:dyDescent="0.25">
      <c r="B7398" s="463"/>
      <c r="C7398" s="463"/>
    </row>
    <row r="7399" spans="2:3" x14ac:dyDescent="0.25">
      <c r="B7399" s="463"/>
      <c r="C7399" s="463"/>
    </row>
    <row r="7400" spans="2:3" x14ac:dyDescent="0.25">
      <c r="B7400" s="463"/>
      <c r="C7400" s="463"/>
    </row>
    <row r="7401" spans="2:3" x14ac:dyDescent="0.25">
      <c r="B7401" s="463"/>
      <c r="C7401" s="463"/>
    </row>
    <row r="7402" spans="2:3" x14ac:dyDescent="0.25">
      <c r="B7402" s="463"/>
      <c r="C7402" s="463"/>
    </row>
    <row r="7403" spans="2:3" x14ac:dyDescent="0.25">
      <c r="B7403" s="463"/>
      <c r="C7403" s="463"/>
    </row>
    <row r="7404" spans="2:3" x14ac:dyDescent="0.25">
      <c r="B7404" s="463"/>
      <c r="C7404" s="463"/>
    </row>
    <row r="7405" spans="2:3" x14ac:dyDescent="0.25">
      <c r="B7405" s="463"/>
      <c r="C7405" s="463"/>
    </row>
    <row r="7406" spans="2:3" x14ac:dyDescent="0.25">
      <c r="B7406" s="463"/>
      <c r="C7406" s="463"/>
    </row>
    <row r="7407" spans="2:3" x14ac:dyDescent="0.25">
      <c r="B7407" s="463"/>
      <c r="C7407" s="463"/>
    </row>
    <row r="7408" spans="2:3" x14ac:dyDescent="0.25">
      <c r="B7408" s="463"/>
      <c r="C7408" s="463"/>
    </row>
    <row r="7409" spans="2:3" x14ac:dyDescent="0.25">
      <c r="B7409" s="463"/>
      <c r="C7409" s="463"/>
    </row>
    <row r="7410" spans="2:3" x14ac:dyDescent="0.25">
      <c r="B7410" s="463"/>
      <c r="C7410" s="463"/>
    </row>
    <row r="7411" spans="2:3" x14ac:dyDescent="0.25">
      <c r="B7411" s="463"/>
      <c r="C7411" s="463"/>
    </row>
    <row r="7412" spans="2:3" x14ac:dyDescent="0.25">
      <c r="B7412" s="463"/>
      <c r="C7412" s="463"/>
    </row>
    <row r="7413" spans="2:3" x14ac:dyDescent="0.25">
      <c r="B7413" s="463"/>
      <c r="C7413" s="463"/>
    </row>
    <row r="7414" spans="2:3" x14ac:dyDescent="0.25">
      <c r="B7414" s="463"/>
      <c r="C7414" s="463"/>
    </row>
    <row r="7415" spans="2:3" x14ac:dyDescent="0.25">
      <c r="B7415" s="463"/>
      <c r="C7415" s="463"/>
    </row>
    <row r="7416" spans="2:3" x14ac:dyDescent="0.25">
      <c r="B7416" s="463"/>
      <c r="C7416" s="463"/>
    </row>
    <row r="7417" spans="2:3" x14ac:dyDescent="0.25">
      <c r="B7417" s="463"/>
      <c r="C7417" s="463"/>
    </row>
    <row r="7418" spans="2:3" x14ac:dyDescent="0.25">
      <c r="B7418" s="463"/>
      <c r="C7418" s="463"/>
    </row>
    <row r="7419" spans="2:3" x14ac:dyDescent="0.25">
      <c r="B7419" s="463"/>
      <c r="C7419" s="463"/>
    </row>
    <row r="7420" spans="2:3" x14ac:dyDescent="0.25">
      <c r="B7420" s="463"/>
      <c r="C7420" s="463"/>
    </row>
    <row r="7421" spans="2:3" x14ac:dyDescent="0.25">
      <c r="B7421" s="463"/>
      <c r="C7421" s="463"/>
    </row>
    <row r="7422" spans="2:3" x14ac:dyDescent="0.25">
      <c r="B7422" s="463"/>
      <c r="C7422" s="463"/>
    </row>
    <row r="7423" spans="2:3" x14ac:dyDescent="0.25">
      <c r="B7423" s="463"/>
      <c r="C7423" s="463"/>
    </row>
    <row r="7424" spans="2:3" x14ac:dyDescent="0.25">
      <c r="B7424" s="463"/>
      <c r="C7424" s="463"/>
    </row>
    <row r="7425" spans="2:3" x14ac:dyDescent="0.25">
      <c r="B7425" s="463"/>
      <c r="C7425" s="463"/>
    </row>
    <row r="7426" spans="2:3" x14ac:dyDescent="0.25">
      <c r="B7426" s="463"/>
      <c r="C7426" s="463"/>
    </row>
    <row r="7427" spans="2:3" x14ac:dyDescent="0.25">
      <c r="B7427" s="463"/>
      <c r="C7427" s="463"/>
    </row>
    <row r="7428" spans="2:3" x14ac:dyDescent="0.25">
      <c r="B7428" s="463"/>
      <c r="C7428" s="463"/>
    </row>
    <row r="7429" spans="2:3" x14ac:dyDescent="0.25">
      <c r="B7429" s="463"/>
      <c r="C7429" s="463"/>
    </row>
    <row r="7430" spans="2:3" x14ac:dyDescent="0.25">
      <c r="B7430" s="463"/>
      <c r="C7430" s="463"/>
    </row>
    <row r="7431" spans="2:3" x14ac:dyDescent="0.25">
      <c r="B7431" s="463"/>
      <c r="C7431" s="463"/>
    </row>
    <row r="7432" spans="2:3" x14ac:dyDescent="0.25">
      <c r="B7432" s="463"/>
      <c r="C7432" s="463"/>
    </row>
    <row r="7433" spans="2:3" x14ac:dyDescent="0.25">
      <c r="B7433" s="463"/>
      <c r="C7433" s="463"/>
    </row>
    <row r="7434" spans="2:3" x14ac:dyDescent="0.25">
      <c r="B7434" s="463"/>
      <c r="C7434" s="463"/>
    </row>
    <row r="7435" spans="2:3" x14ac:dyDescent="0.25">
      <c r="B7435" s="463"/>
      <c r="C7435" s="463"/>
    </row>
    <row r="7436" spans="2:3" x14ac:dyDescent="0.25">
      <c r="B7436" s="463"/>
      <c r="C7436" s="463"/>
    </row>
    <row r="7437" spans="2:3" x14ac:dyDescent="0.25">
      <c r="B7437" s="463"/>
      <c r="C7437" s="463"/>
    </row>
    <row r="7438" spans="2:3" x14ac:dyDescent="0.25">
      <c r="B7438" s="463"/>
      <c r="C7438" s="463"/>
    </row>
    <row r="7439" spans="2:3" x14ac:dyDescent="0.25">
      <c r="B7439" s="463"/>
      <c r="C7439" s="463"/>
    </row>
    <row r="7440" spans="2:3" x14ac:dyDescent="0.25">
      <c r="B7440" s="463"/>
      <c r="C7440" s="463"/>
    </row>
    <row r="7441" spans="2:3" x14ac:dyDescent="0.25">
      <c r="B7441" s="463"/>
      <c r="C7441" s="463"/>
    </row>
    <row r="7442" spans="2:3" x14ac:dyDescent="0.25">
      <c r="B7442" s="463"/>
      <c r="C7442" s="463"/>
    </row>
    <row r="7443" spans="2:3" x14ac:dyDescent="0.25">
      <c r="B7443" s="463"/>
      <c r="C7443" s="463"/>
    </row>
    <row r="7444" spans="2:3" x14ac:dyDescent="0.25">
      <c r="B7444" s="463"/>
      <c r="C7444" s="463"/>
    </row>
    <row r="7445" spans="2:3" x14ac:dyDescent="0.25">
      <c r="B7445" s="463"/>
      <c r="C7445" s="463"/>
    </row>
    <row r="7446" spans="2:3" x14ac:dyDescent="0.25">
      <c r="B7446" s="463"/>
      <c r="C7446" s="463"/>
    </row>
    <row r="7447" spans="2:3" x14ac:dyDescent="0.25">
      <c r="B7447" s="463"/>
      <c r="C7447" s="463"/>
    </row>
    <row r="7448" spans="2:3" x14ac:dyDescent="0.25">
      <c r="B7448" s="463"/>
      <c r="C7448" s="463"/>
    </row>
    <row r="7449" spans="2:3" x14ac:dyDescent="0.25">
      <c r="B7449" s="463"/>
      <c r="C7449" s="463"/>
    </row>
    <row r="7450" spans="2:3" x14ac:dyDescent="0.25">
      <c r="B7450" s="463"/>
      <c r="C7450" s="463"/>
    </row>
    <row r="7451" spans="2:3" x14ac:dyDescent="0.25">
      <c r="B7451" s="463"/>
      <c r="C7451" s="463"/>
    </row>
    <row r="7452" spans="2:3" x14ac:dyDescent="0.25">
      <c r="B7452" s="463"/>
      <c r="C7452" s="463"/>
    </row>
    <row r="7453" spans="2:3" x14ac:dyDescent="0.25">
      <c r="B7453" s="463"/>
      <c r="C7453" s="463"/>
    </row>
    <row r="7454" spans="2:3" x14ac:dyDescent="0.25">
      <c r="B7454" s="463"/>
      <c r="C7454" s="463"/>
    </row>
    <row r="7455" spans="2:3" x14ac:dyDescent="0.25">
      <c r="B7455" s="463"/>
      <c r="C7455" s="463"/>
    </row>
    <row r="7456" spans="2:3" x14ac:dyDescent="0.25">
      <c r="B7456" s="463"/>
      <c r="C7456" s="463"/>
    </row>
    <row r="7457" spans="2:3" x14ac:dyDescent="0.25">
      <c r="B7457" s="463"/>
      <c r="C7457" s="463"/>
    </row>
    <row r="7458" spans="2:3" x14ac:dyDescent="0.25">
      <c r="B7458" s="463"/>
      <c r="C7458" s="463"/>
    </row>
    <row r="7459" spans="2:3" x14ac:dyDescent="0.25">
      <c r="B7459" s="463"/>
      <c r="C7459" s="463"/>
    </row>
    <row r="7460" spans="2:3" x14ac:dyDescent="0.25">
      <c r="B7460" s="463"/>
      <c r="C7460" s="463"/>
    </row>
    <row r="7461" spans="2:3" x14ac:dyDescent="0.25">
      <c r="B7461" s="463"/>
      <c r="C7461" s="463"/>
    </row>
    <row r="7462" spans="2:3" x14ac:dyDescent="0.25">
      <c r="B7462" s="463"/>
      <c r="C7462" s="463"/>
    </row>
    <row r="7463" spans="2:3" x14ac:dyDescent="0.25">
      <c r="B7463" s="463"/>
      <c r="C7463" s="463"/>
    </row>
    <row r="7464" spans="2:3" x14ac:dyDescent="0.25">
      <c r="B7464" s="463"/>
      <c r="C7464" s="463"/>
    </row>
    <row r="7465" spans="2:3" x14ac:dyDescent="0.25">
      <c r="B7465" s="463"/>
      <c r="C7465" s="463"/>
    </row>
    <row r="7466" spans="2:3" x14ac:dyDescent="0.25">
      <c r="B7466" s="463"/>
      <c r="C7466" s="463"/>
    </row>
    <row r="7467" spans="2:3" x14ac:dyDescent="0.25">
      <c r="B7467" s="463"/>
      <c r="C7467" s="463"/>
    </row>
    <row r="7468" spans="2:3" x14ac:dyDescent="0.25">
      <c r="B7468" s="463"/>
      <c r="C7468" s="463"/>
    </row>
    <row r="7469" spans="2:3" x14ac:dyDescent="0.25">
      <c r="B7469" s="463"/>
      <c r="C7469" s="463"/>
    </row>
    <row r="7470" spans="2:3" x14ac:dyDescent="0.25">
      <c r="B7470" s="463"/>
      <c r="C7470" s="463"/>
    </row>
    <row r="7471" spans="2:3" x14ac:dyDescent="0.25">
      <c r="B7471" s="463"/>
      <c r="C7471" s="463"/>
    </row>
    <row r="7472" spans="2:3" x14ac:dyDescent="0.25">
      <c r="B7472" s="463"/>
      <c r="C7472" s="463"/>
    </row>
    <row r="7473" spans="2:3" x14ac:dyDescent="0.25">
      <c r="B7473" s="463"/>
      <c r="C7473" s="463"/>
    </row>
    <row r="7474" spans="2:3" x14ac:dyDescent="0.25">
      <c r="B7474" s="463"/>
      <c r="C7474" s="463"/>
    </row>
    <row r="7475" spans="2:3" x14ac:dyDescent="0.25">
      <c r="B7475" s="463"/>
      <c r="C7475" s="463"/>
    </row>
    <row r="7476" spans="2:3" x14ac:dyDescent="0.25">
      <c r="B7476" s="463"/>
      <c r="C7476" s="463"/>
    </row>
    <row r="7477" spans="2:3" x14ac:dyDescent="0.25">
      <c r="B7477" s="463"/>
      <c r="C7477" s="463"/>
    </row>
    <row r="7478" spans="2:3" x14ac:dyDescent="0.25">
      <c r="B7478" s="463"/>
      <c r="C7478" s="463"/>
    </row>
    <row r="7479" spans="2:3" x14ac:dyDescent="0.25">
      <c r="B7479" s="463"/>
      <c r="C7479" s="463"/>
    </row>
    <row r="7480" spans="2:3" x14ac:dyDescent="0.25">
      <c r="B7480" s="463"/>
      <c r="C7480" s="463"/>
    </row>
    <row r="7481" spans="2:3" x14ac:dyDescent="0.25">
      <c r="B7481" s="463"/>
      <c r="C7481" s="463"/>
    </row>
    <row r="7482" spans="2:3" x14ac:dyDescent="0.25">
      <c r="B7482" s="463"/>
      <c r="C7482" s="463"/>
    </row>
    <row r="7483" spans="2:3" x14ac:dyDescent="0.25">
      <c r="B7483" s="463"/>
      <c r="C7483" s="463"/>
    </row>
    <row r="7484" spans="2:3" x14ac:dyDescent="0.25">
      <c r="B7484" s="463"/>
      <c r="C7484" s="463"/>
    </row>
    <row r="7485" spans="2:3" x14ac:dyDescent="0.25">
      <c r="B7485" s="463"/>
      <c r="C7485" s="463"/>
    </row>
    <row r="7486" spans="2:3" x14ac:dyDescent="0.25">
      <c r="B7486" s="463"/>
      <c r="C7486" s="463"/>
    </row>
    <row r="7487" spans="2:3" x14ac:dyDescent="0.25">
      <c r="B7487" s="463"/>
      <c r="C7487" s="463"/>
    </row>
    <row r="7488" spans="2:3" x14ac:dyDescent="0.25">
      <c r="B7488" s="463"/>
      <c r="C7488" s="463"/>
    </row>
    <row r="7489" spans="2:3" x14ac:dyDescent="0.25">
      <c r="B7489" s="463"/>
      <c r="C7489" s="463"/>
    </row>
    <row r="7490" spans="2:3" x14ac:dyDescent="0.25">
      <c r="B7490" s="463"/>
      <c r="C7490" s="463"/>
    </row>
    <row r="7491" spans="2:3" x14ac:dyDescent="0.25">
      <c r="B7491" s="463"/>
      <c r="C7491" s="463"/>
    </row>
    <row r="7492" spans="2:3" x14ac:dyDescent="0.25">
      <c r="B7492" s="463"/>
      <c r="C7492" s="463"/>
    </row>
    <row r="7493" spans="2:3" x14ac:dyDescent="0.25">
      <c r="B7493" s="463"/>
      <c r="C7493" s="463"/>
    </row>
    <row r="7494" spans="2:3" x14ac:dyDescent="0.25">
      <c r="B7494" s="463"/>
      <c r="C7494" s="463"/>
    </row>
    <row r="7495" spans="2:3" x14ac:dyDescent="0.25">
      <c r="B7495" s="463"/>
      <c r="C7495" s="463"/>
    </row>
    <row r="7496" spans="2:3" x14ac:dyDescent="0.25">
      <c r="B7496" s="463"/>
      <c r="C7496" s="463"/>
    </row>
    <row r="7497" spans="2:3" x14ac:dyDescent="0.25">
      <c r="B7497" s="463"/>
      <c r="C7497" s="463"/>
    </row>
    <row r="7498" spans="2:3" x14ac:dyDescent="0.25">
      <c r="B7498" s="463"/>
      <c r="C7498" s="463"/>
    </row>
    <row r="7499" spans="2:3" x14ac:dyDescent="0.25">
      <c r="B7499" s="463"/>
      <c r="C7499" s="463"/>
    </row>
    <row r="7500" spans="2:3" x14ac:dyDescent="0.25">
      <c r="B7500" s="463"/>
      <c r="C7500" s="463"/>
    </row>
    <row r="7501" spans="2:3" x14ac:dyDescent="0.25">
      <c r="B7501" s="463"/>
      <c r="C7501" s="463"/>
    </row>
    <row r="7502" spans="2:3" x14ac:dyDescent="0.25">
      <c r="B7502" s="463"/>
      <c r="C7502" s="463"/>
    </row>
    <row r="7503" spans="2:3" x14ac:dyDescent="0.25">
      <c r="B7503" s="463"/>
      <c r="C7503" s="463"/>
    </row>
    <row r="7504" spans="2:3" x14ac:dyDescent="0.25">
      <c r="B7504" s="463"/>
      <c r="C7504" s="463"/>
    </row>
    <row r="7505" spans="2:3" x14ac:dyDescent="0.25">
      <c r="B7505" s="463"/>
      <c r="C7505" s="463"/>
    </row>
    <row r="7506" spans="2:3" x14ac:dyDescent="0.25">
      <c r="B7506" s="463"/>
      <c r="C7506" s="463"/>
    </row>
    <row r="7507" spans="2:3" x14ac:dyDescent="0.25">
      <c r="B7507" s="463"/>
      <c r="C7507" s="463"/>
    </row>
    <row r="7508" spans="2:3" x14ac:dyDescent="0.25">
      <c r="B7508" s="463"/>
      <c r="C7508" s="463"/>
    </row>
    <row r="7509" spans="2:3" x14ac:dyDescent="0.25">
      <c r="B7509" s="463"/>
      <c r="C7509" s="463"/>
    </row>
    <row r="7510" spans="2:3" x14ac:dyDescent="0.25">
      <c r="B7510" s="463"/>
      <c r="C7510" s="463"/>
    </row>
    <row r="7511" spans="2:3" x14ac:dyDescent="0.25">
      <c r="B7511" s="463"/>
      <c r="C7511" s="463"/>
    </row>
    <row r="7512" spans="2:3" x14ac:dyDescent="0.25">
      <c r="B7512" s="463"/>
      <c r="C7512" s="463"/>
    </row>
    <row r="7513" spans="2:3" x14ac:dyDescent="0.25">
      <c r="B7513" s="463"/>
      <c r="C7513" s="463"/>
    </row>
    <row r="7514" spans="2:3" x14ac:dyDescent="0.25">
      <c r="B7514" s="463"/>
      <c r="C7514" s="463"/>
    </row>
    <row r="7515" spans="2:3" x14ac:dyDescent="0.25">
      <c r="B7515" s="463"/>
      <c r="C7515" s="463"/>
    </row>
    <row r="7516" spans="2:3" x14ac:dyDescent="0.25">
      <c r="B7516" s="463"/>
      <c r="C7516" s="463"/>
    </row>
    <row r="7517" spans="2:3" x14ac:dyDescent="0.25">
      <c r="B7517" s="463"/>
      <c r="C7517" s="463"/>
    </row>
    <row r="7518" spans="2:3" x14ac:dyDescent="0.25">
      <c r="B7518" s="463"/>
      <c r="C7518" s="463"/>
    </row>
    <row r="7519" spans="2:3" x14ac:dyDescent="0.25">
      <c r="B7519" s="463"/>
      <c r="C7519" s="463"/>
    </row>
    <row r="7520" spans="2:3" x14ac:dyDescent="0.25">
      <c r="B7520" s="463"/>
      <c r="C7520" s="463"/>
    </row>
    <row r="7521" spans="2:3" x14ac:dyDescent="0.25">
      <c r="B7521" s="463"/>
      <c r="C7521" s="463"/>
    </row>
    <row r="7522" spans="2:3" x14ac:dyDescent="0.25">
      <c r="B7522" s="463"/>
      <c r="C7522" s="463"/>
    </row>
    <row r="7523" spans="2:3" x14ac:dyDescent="0.25">
      <c r="B7523" s="463"/>
      <c r="C7523" s="463"/>
    </row>
    <row r="7524" spans="2:3" x14ac:dyDescent="0.25">
      <c r="B7524" s="463"/>
      <c r="C7524" s="463"/>
    </row>
    <row r="7525" spans="2:3" x14ac:dyDescent="0.25">
      <c r="B7525" s="463"/>
      <c r="C7525" s="463"/>
    </row>
    <row r="7526" spans="2:3" x14ac:dyDescent="0.25">
      <c r="B7526" s="463"/>
      <c r="C7526" s="463"/>
    </row>
    <row r="7527" spans="2:3" x14ac:dyDescent="0.25">
      <c r="B7527" s="463"/>
      <c r="C7527" s="463"/>
    </row>
    <row r="7528" spans="2:3" x14ac:dyDescent="0.25">
      <c r="B7528" s="463"/>
      <c r="C7528" s="463"/>
    </row>
    <row r="7529" spans="2:3" x14ac:dyDescent="0.25">
      <c r="B7529" s="463"/>
      <c r="C7529" s="463"/>
    </row>
    <row r="7530" spans="2:3" x14ac:dyDescent="0.25">
      <c r="B7530" s="463"/>
      <c r="C7530" s="463"/>
    </row>
    <row r="7531" spans="2:3" x14ac:dyDescent="0.25">
      <c r="B7531" s="463"/>
      <c r="C7531" s="463"/>
    </row>
    <row r="7532" spans="2:3" x14ac:dyDescent="0.25">
      <c r="B7532" s="463"/>
      <c r="C7532" s="463"/>
    </row>
    <row r="7533" spans="2:3" x14ac:dyDescent="0.25">
      <c r="B7533" s="463"/>
      <c r="C7533" s="463"/>
    </row>
    <row r="7534" spans="2:3" x14ac:dyDescent="0.25">
      <c r="B7534" s="463"/>
      <c r="C7534" s="463"/>
    </row>
    <row r="7535" spans="2:3" x14ac:dyDescent="0.25">
      <c r="B7535" s="463"/>
      <c r="C7535" s="463"/>
    </row>
    <row r="7536" spans="2:3" x14ac:dyDescent="0.25">
      <c r="B7536" s="463"/>
      <c r="C7536" s="463"/>
    </row>
    <row r="7537" spans="2:3" x14ac:dyDescent="0.25">
      <c r="B7537" s="463"/>
      <c r="C7537" s="463"/>
    </row>
    <row r="7538" spans="2:3" x14ac:dyDescent="0.25">
      <c r="B7538" s="463"/>
      <c r="C7538" s="463"/>
    </row>
    <row r="7539" spans="2:3" x14ac:dyDescent="0.25">
      <c r="B7539" s="463"/>
      <c r="C7539" s="463"/>
    </row>
    <row r="7540" spans="2:3" x14ac:dyDescent="0.25">
      <c r="B7540" s="463"/>
      <c r="C7540" s="463"/>
    </row>
    <row r="7541" spans="2:3" x14ac:dyDescent="0.25">
      <c r="B7541" s="463"/>
      <c r="C7541" s="463"/>
    </row>
    <row r="7542" spans="2:3" x14ac:dyDescent="0.25">
      <c r="B7542" s="463"/>
      <c r="C7542" s="463"/>
    </row>
    <row r="7543" spans="2:3" x14ac:dyDescent="0.25">
      <c r="B7543" s="463"/>
      <c r="C7543" s="463"/>
    </row>
    <row r="7544" spans="2:3" x14ac:dyDescent="0.25">
      <c r="B7544" s="463"/>
      <c r="C7544" s="463"/>
    </row>
    <row r="7545" spans="2:3" x14ac:dyDescent="0.25">
      <c r="B7545" s="463"/>
      <c r="C7545" s="463"/>
    </row>
    <row r="7546" spans="2:3" x14ac:dyDescent="0.25">
      <c r="B7546" s="463"/>
      <c r="C7546" s="463"/>
    </row>
    <row r="7547" spans="2:3" x14ac:dyDescent="0.25">
      <c r="B7547" s="463"/>
      <c r="C7547" s="463"/>
    </row>
    <row r="7548" spans="2:3" x14ac:dyDescent="0.25">
      <c r="B7548" s="463"/>
      <c r="C7548" s="463"/>
    </row>
    <row r="7549" spans="2:3" x14ac:dyDescent="0.25">
      <c r="B7549" s="463"/>
      <c r="C7549" s="463"/>
    </row>
    <row r="7550" spans="2:3" x14ac:dyDescent="0.25">
      <c r="B7550" s="463"/>
      <c r="C7550" s="463"/>
    </row>
    <row r="7551" spans="2:3" x14ac:dyDescent="0.25">
      <c r="B7551" s="463"/>
      <c r="C7551" s="463"/>
    </row>
    <row r="7552" spans="2:3" x14ac:dyDescent="0.25">
      <c r="B7552" s="463"/>
      <c r="C7552" s="463"/>
    </row>
    <row r="7553" spans="2:3" x14ac:dyDescent="0.25">
      <c r="B7553" s="463"/>
      <c r="C7553" s="463"/>
    </row>
    <row r="7554" spans="2:3" x14ac:dyDescent="0.25">
      <c r="B7554" s="463"/>
      <c r="C7554" s="463"/>
    </row>
    <row r="7555" spans="2:3" x14ac:dyDescent="0.25">
      <c r="B7555" s="463"/>
      <c r="C7555" s="463"/>
    </row>
    <row r="7556" spans="2:3" x14ac:dyDescent="0.25">
      <c r="B7556" s="463"/>
      <c r="C7556" s="463"/>
    </row>
    <row r="7557" spans="2:3" x14ac:dyDescent="0.25">
      <c r="B7557" s="463"/>
      <c r="C7557" s="463"/>
    </row>
    <row r="7558" spans="2:3" x14ac:dyDescent="0.25">
      <c r="B7558" s="463"/>
      <c r="C7558" s="463"/>
    </row>
    <row r="7559" spans="2:3" x14ac:dyDescent="0.25">
      <c r="B7559" s="463"/>
      <c r="C7559" s="463"/>
    </row>
    <row r="7560" spans="2:3" x14ac:dyDescent="0.25">
      <c r="B7560" s="463"/>
      <c r="C7560" s="463"/>
    </row>
    <row r="7561" spans="2:3" x14ac:dyDescent="0.25">
      <c r="B7561" s="463"/>
      <c r="C7561" s="463"/>
    </row>
    <row r="7562" spans="2:3" x14ac:dyDescent="0.25">
      <c r="B7562" s="463"/>
      <c r="C7562" s="463"/>
    </row>
    <row r="7563" spans="2:3" x14ac:dyDescent="0.25">
      <c r="B7563" s="463"/>
      <c r="C7563" s="463"/>
    </row>
    <row r="7564" spans="2:3" x14ac:dyDescent="0.25">
      <c r="B7564" s="463"/>
      <c r="C7564" s="463"/>
    </row>
    <row r="7565" spans="2:3" x14ac:dyDescent="0.25">
      <c r="B7565" s="463"/>
      <c r="C7565" s="463"/>
    </row>
    <row r="7566" spans="2:3" x14ac:dyDescent="0.25">
      <c r="B7566" s="463"/>
      <c r="C7566" s="463"/>
    </row>
    <row r="7567" spans="2:3" x14ac:dyDescent="0.25">
      <c r="B7567" s="463"/>
      <c r="C7567" s="463"/>
    </row>
    <row r="7568" spans="2:3" x14ac:dyDescent="0.25">
      <c r="B7568" s="463"/>
      <c r="C7568" s="463"/>
    </row>
    <row r="7569" spans="2:3" x14ac:dyDescent="0.25">
      <c r="B7569" s="463"/>
      <c r="C7569" s="463"/>
    </row>
    <row r="7570" spans="2:3" x14ac:dyDescent="0.25">
      <c r="B7570" s="463"/>
      <c r="C7570" s="463"/>
    </row>
    <row r="7571" spans="2:3" x14ac:dyDescent="0.25">
      <c r="B7571" s="463"/>
      <c r="C7571" s="463"/>
    </row>
    <row r="7572" spans="2:3" x14ac:dyDescent="0.25">
      <c r="B7572" s="463"/>
      <c r="C7572" s="463"/>
    </row>
    <row r="7573" spans="2:3" x14ac:dyDescent="0.25">
      <c r="B7573" s="463"/>
      <c r="C7573" s="463"/>
    </row>
    <row r="7574" spans="2:3" x14ac:dyDescent="0.25">
      <c r="B7574" s="463"/>
      <c r="C7574" s="463"/>
    </row>
    <row r="7575" spans="2:3" x14ac:dyDescent="0.25">
      <c r="B7575" s="463"/>
      <c r="C7575" s="463"/>
    </row>
    <row r="7576" spans="2:3" x14ac:dyDescent="0.25">
      <c r="B7576" s="463"/>
      <c r="C7576" s="463"/>
    </row>
    <row r="7577" spans="2:3" x14ac:dyDescent="0.25">
      <c r="B7577" s="463"/>
      <c r="C7577" s="463"/>
    </row>
    <row r="7578" spans="2:3" x14ac:dyDescent="0.25">
      <c r="B7578" s="463"/>
      <c r="C7578" s="463"/>
    </row>
    <row r="7579" spans="2:3" x14ac:dyDescent="0.25">
      <c r="B7579" s="463"/>
      <c r="C7579" s="463"/>
    </row>
    <row r="7580" spans="2:3" x14ac:dyDescent="0.25">
      <c r="B7580" s="463"/>
      <c r="C7580" s="463"/>
    </row>
    <row r="7581" spans="2:3" x14ac:dyDescent="0.25">
      <c r="B7581" s="463"/>
      <c r="C7581" s="463"/>
    </row>
    <row r="7582" spans="2:3" x14ac:dyDescent="0.25">
      <c r="B7582" s="463"/>
      <c r="C7582" s="463"/>
    </row>
    <row r="7583" spans="2:3" x14ac:dyDescent="0.25">
      <c r="B7583" s="463"/>
      <c r="C7583" s="463"/>
    </row>
    <row r="7584" spans="2:3" x14ac:dyDescent="0.25">
      <c r="B7584" s="463"/>
      <c r="C7584" s="463"/>
    </row>
    <row r="7585" spans="2:3" x14ac:dyDescent="0.25">
      <c r="B7585" s="463"/>
      <c r="C7585" s="463"/>
    </row>
    <row r="7586" spans="2:3" x14ac:dyDescent="0.25">
      <c r="B7586" s="463"/>
      <c r="C7586" s="463"/>
    </row>
    <row r="7587" spans="2:3" x14ac:dyDescent="0.25">
      <c r="B7587" s="463"/>
      <c r="C7587" s="463"/>
    </row>
    <row r="7588" spans="2:3" x14ac:dyDescent="0.25">
      <c r="B7588" s="463"/>
      <c r="C7588" s="463"/>
    </row>
    <row r="7589" spans="2:3" x14ac:dyDescent="0.25">
      <c r="B7589" s="463"/>
      <c r="C7589" s="463"/>
    </row>
    <row r="7590" spans="2:3" x14ac:dyDescent="0.25">
      <c r="B7590" s="463"/>
      <c r="C7590" s="463"/>
    </row>
    <row r="7591" spans="2:3" x14ac:dyDescent="0.25">
      <c r="B7591" s="463"/>
      <c r="C7591" s="463"/>
    </row>
    <row r="7592" spans="2:3" x14ac:dyDescent="0.25">
      <c r="B7592" s="463"/>
      <c r="C7592" s="463"/>
    </row>
    <row r="7593" spans="2:3" x14ac:dyDescent="0.25">
      <c r="B7593" s="463"/>
      <c r="C7593" s="463"/>
    </row>
    <row r="7594" spans="2:3" x14ac:dyDescent="0.25">
      <c r="B7594" s="463"/>
      <c r="C7594" s="463"/>
    </row>
    <row r="7595" spans="2:3" x14ac:dyDescent="0.25">
      <c r="B7595" s="463"/>
      <c r="C7595" s="463"/>
    </row>
    <row r="7596" spans="2:3" x14ac:dyDescent="0.25">
      <c r="B7596" s="463"/>
      <c r="C7596" s="463"/>
    </row>
    <row r="7597" spans="2:3" x14ac:dyDescent="0.25">
      <c r="B7597" s="463"/>
      <c r="C7597" s="463"/>
    </row>
    <row r="7598" spans="2:3" x14ac:dyDescent="0.25">
      <c r="B7598" s="463"/>
      <c r="C7598" s="463"/>
    </row>
    <row r="7599" spans="2:3" x14ac:dyDescent="0.25">
      <c r="B7599" s="463"/>
      <c r="C7599" s="463"/>
    </row>
    <row r="7600" spans="2:3" x14ac:dyDescent="0.25">
      <c r="B7600" s="463"/>
      <c r="C7600" s="463"/>
    </row>
    <row r="7601" spans="2:3" x14ac:dyDescent="0.25">
      <c r="B7601" s="463"/>
      <c r="C7601" s="463"/>
    </row>
    <row r="7602" spans="2:3" x14ac:dyDescent="0.25">
      <c r="B7602" s="463"/>
      <c r="C7602" s="463"/>
    </row>
    <row r="7603" spans="2:3" x14ac:dyDescent="0.25">
      <c r="B7603" s="463"/>
      <c r="C7603" s="463"/>
    </row>
    <row r="7604" spans="2:3" x14ac:dyDescent="0.25">
      <c r="B7604" s="463"/>
      <c r="C7604" s="463"/>
    </row>
    <row r="7605" spans="2:3" x14ac:dyDescent="0.25">
      <c r="B7605" s="463"/>
      <c r="C7605" s="463"/>
    </row>
    <row r="7606" spans="2:3" x14ac:dyDescent="0.25">
      <c r="B7606" s="463"/>
      <c r="C7606" s="463"/>
    </row>
    <row r="7607" spans="2:3" x14ac:dyDescent="0.25">
      <c r="B7607" s="463"/>
      <c r="C7607" s="463"/>
    </row>
    <row r="7608" spans="2:3" x14ac:dyDescent="0.25">
      <c r="B7608" s="463"/>
      <c r="C7608" s="463"/>
    </row>
    <row r="7609" spans="2:3" x14ac:dyDescent="0.25">
      <c r="B7609" s="463"/>
      <c r="C7609" s="463"/>
    </row>
    <row r="7610" spans="2:3" x14ac:dyDescent="0.25">
      <c r="B7610" s="463"/>
      <c r="C7610" s="463"/>
    </row>
    <row r="7611" spans="2:3" x14ac:dyDescent="0.25">
      <c r="B7611" s="463"/>
      <c r="C7611" s="463"/>
    </row>
    <row r="7612" spans="2:3" x14ac:dyDescent="0.25">
      <c r="B7612" s="463"/>
      <c r="C7612" s="463"/>
    </row>
    <row r="7613" spans="2:3" x14ac:dyDescent="0.25">
      <c r="B7613" s="463"/>
      <c r="C7613" s="463"/>
    </row>
    <row r="7614" spans="2:3" x14ac:dyDescent="0.25">
      <c r="B7614" s="463"/>
      <c r="C7614" s="463"/>
    </row>
    <row r="7615" spans="2:3" x14ac:dyDescent="0.25">
      <c r="B7615" s="463"/>
      <c r="C7615" s="463"/>
    </row>
    <row r="7616" spans="2:3" x14ac:dyDescent="0.25">
      <c r="B7616" s="463"/>
      <c r="C7616" s="463"/>
    </row>
    <row r="7617" spans="2:3" x14ac:dyDescent="0.25">
      <c r="B7617" s="463"/>
      <c r="C7617" s="463"/>
    </row>
    <row r="7618" spans="2:3" x14ac:dyDescent="0.25">
      <c r="B7618" s="463"/>
      <c r="C7618" s="463"/>
    </row>
    <row r="7619" spans="2:3" x14ac:dyDescent="0.25">
      <c r="B7619" s="463"/>
      <c r="C7619" s="463"/>
    </row>
    <row r="7620" spans="2:3" x14ac:dyDescent="0.25">
      <c r="B7620" s="463"/>
      <c r="C7620" s="463"/>
    </row>
    <row r="7621" spans="2:3" x14ac:dyDescent="0.25">
      <c r="B7621" s="463"/>
      <c r="C7621" s="463"/>
    </row>
    <row r="7622" spans="2:3" x14ac:dyDescent="0.25">
      <c r="B7622" s="463"/>
      <c r="C7622" s="463"/>
    </row>
    <row r="7623" spans="2:3" x14ac:dyDescent="0.25">
      <c r="B7623" s="463"/>
      <c r="C7623" s="463"/>
    </row>
    <row r="7624" spans="2:3" x14ac:dyDescent="0.25">
      <c r="B7624" s="463"/>
      <c r="C7624" s="463"/>
    </row>
    <row r="7625" spans="2:3" x14ac:dyDescent="0.25">
      <c r="B7625" s="463"/>
      <c r="C7625" s="463"/>
    </row>
    <row r="7626" spans="2:3" x14ac:dyDescent="0.25">
      <c r="B7626" s="463"/>
      <c r="C7626" s="463"/>
    </row>
    <row r="7627" spans="2:3" x14ac:dyDescent="0.25">
      <c r="B7627" s="463"/>
      <c r="C7627" s="463"/>
    </row>
    <row r="7628" spans="2:3" x14ac:dyDescent="0.25">
      <c r="B7628" s="463"/>
      <c r="C7628" s="463"/>
    </row>
    <row r="7629" spans="2:3" x14ac:dyDescent="0.25">
      <c r="B7629" s="463"/>
      <c r="C7629" s="463"/>
    </row>
    <row r="7630" spans="2:3" x14ac:dyDescent="0.25">
      <c r="B7630" s="463"/>
      <c r="C7630" s="463"/>
    </row>
    <row r="7631" spans="2:3" x14ac:dyDescent="0.25">
      <c r="B7631" s="463"/>
      <c r="C7631" s="463"/>
    </row>
    <row r="7632" spans="2:3" x14ac:dyDescent="0.25">
      <c r="B7632" s="463"/>
      <c r="C7632" s="463"/>
    </row>
    <row r="7633" spans="2:3" x14ac:dyDescent="0.25">
      <c r="B7633" s="463"/>
      <c r="C7633" s="463"/>
    </row>
    <row r="7634" spans="2:3" x14ac:dyDescent="0.25">
      <c r="B7634" s="463"/>
      <c r="C7634" s="463"/>
    </row>
    <row r="7635" spans="2:3" x14ac:dyDescent="0.25">
      <c r="B7635" s="463"/>
      <c r="C7635" s="463"/>
    </row>
    <row r="7636" spans="2:3" x14ac:dyDescent="0.25">
      <c r="B7636" s="463"/>
      <c r="C7636" s="463"/>
    </row>
    <row r="7637" spans="2:3" x14ac:dyDescent="0.25">
      <c r="B7637" s="463"/>
      <c r="C7637" s="463"/>
    </row>
    <row r="7638" spans="2:3" x14ac:dyDescent="0.25">
      <c r="B7638" s="463"/>
      <c r="C7638" s="463"/>
    </row>
    <row r="7639" spans="2:3" x14ac:dyDescent="0.25">
      <c r="B7639" s="463"/>
      <c r="C7639" s="463"/>
    </row>
    <row r="7640" spans="2:3" x14ac:dyDescent="0.25">
      <c r="B7640" s="463"/>
      <c r="C7640" s="463"/>
    </row>
    <row r="7641" spans="2:3" x14ac:dyDescent="0.25">
      <c r="B7641" s="463"/>
      <c r="C7641" s="463"/>
    </row>
    <row r="7642" spans="2:3" x14ac:dyDescent="0.25">
      <c r="B7642" s="463"/>
      <c r="C7642" s="463"/>
    </row>
    <row r="7643" spans="2:3" x14ac:dyDescent="0.25">
      <c r="B7643" s="463"/>
      <c r="C7643" s="463"/>
    </row>
    <row r="7644" spans="2:3" x14ac:dyDescent="0.25">
      <c r="B7644" s="463"/>
      <c r="C7644" s="463"/>
    </row>
    <row r="7645" spans="2:3" x14ac:dyDescent="0.25">
      <c r="B7645" s="463"/>
      <c r="C7645" s="463"/>
    </row>
    <row r="7646" spans="2:3" x14ac:dyDescent="0.25">
      <c r="B7646" s="463"/>
      <c r="C7646" s="463"/>
    </row>
    <row r="7647" spans="2:3" x14ac:dyDescent="0.25">
      <c r="B7647" s="463"/>
      <c r="C7647" s="463"/>
    </row>
    <row r="7648" spans="2:3" x14ac:dyDescent="0.25">
      <c r="B7648" s="463"/>
      <c r="C7648" s="463"/>
    </row>
    <row r="7649" spans="2:3" x14ac:dyDescent="0.25">
      <c r="B7649" s="463"/>
      <c r="C7649" s="463"/>
    </row>
    <row r="7650" spans="2:3" x14ac:dyDescent="0.25">
      <c r="B7650" s="463"/>
      <c r="C7650" s="463"/>
    </row>
    <row r="7651" spans="2:3" x14ac:dyDescent="0.25">
      <c r="B7651" s="463"/>
      <c r="C7651" s="463"/>
    </row>
    <row r="7652" spans="2:3" x14ac:dyDescent="0.25">
      <c r="B7652" s="463"/>
      <c r="C7652" s="463"/>
    </row>
    <row r="7653" spans="2:3" x14ac:dyDescent="0.25">
      <c r="B7653" s="463"/>
      <c r="C7653" s="463"/>
    </row>
    <row r="7654" spans="2:3" x14ac:dyDescent="0.25">
      <c r="B7654" s="463"/>
      <c r="C7654" s="463"/>
    </row>
    <row r="7655" spans="2:3" x14ac:dyDescent="0.25">
      <c r="B7655" s="463"/>
      <c r="C7655" s="463"/>
    </row>
    <row r="7656" spans="2:3" x14ac:dyDescent="0.25">
      <c r="B7656" s="463"/>
      <c r="C7656" s="463"/>
    </row>
    <row r="7657" spans="2:3" x14ac:dyDescent="0.25">
      <c r="B7657" s="463"/>
      <c r="C7657" s="463"/>
    </row>
    <row r="7658" spans="2:3" x14ac:dyDescent="0.25">
      <c r="B7658" s="463"/>
      <c r="C7658" s="463"/>
    </row>
    <row r="7659" spans="2:3" x14ac:dyDescent="0.25">
      <c r="B7659" s="463"/>
      <c r="C7659" s="463"/>
    </row>
    <row r="7660" spans="2:3" x14ac:dyDescent="0.25">
      <c r="B7660" s="463"/>
      <c r="C7660" s="463"/>
    </row>
    <row r="7661" spans="2:3" x14ac:dyDescent="0.25">
      <c r="B7661" s="463"/>
      <c r="C7661" s="463"/>
    </row>
    <row r="7662" spans="2:3" x14ac:dyDescent="0.25">
      <c r="B7662" s="463"/>
      <c r="C7662" s="463"/>
    </row>
    <row r="7663" spans="2:3" x14ac:dyDescent="0.25">
      <c r="B7663" s="463"/>
      <c r="C7663" s="463"/>
    </row>
    <row r="7664" spans="2:3" x14ac:dyDescent="0.25">
      <c r="B7664" s="463"/>
      <c r="C7664" s="463"/>
    </row>
    <row r="7665" spans="2:3" x14ac:dyDescent="0.25">
      <c r="B7665" s="463"/>
      <c r="C7665" s="463"/>
    </row>
    <row r="7666" spans="2:3" x14ac:dyDescent="0.25">
      <c r="B7666" s="463"/>
      <c r="C7666" s="463"/>
    </row>
    <row r="7667" spans="2:3" x14ac:dyDescent="0.25">
      <c r="B7667" s="463"/>
      <c r="C7667" s="463"/>
    </row>
    <row r="7668" spans="2:3" x14ac:dyDescent="0.25">
      <c r="B7668" s="463"/>
      <c r="C7668" s="463"/>
    </row>
    <row r="7669" spans="2:3" x14ac:dyDescent="0.25">
      <c r="B7669" s="463"/>
      <c r="C7669" s="463"/>
    </row>
    <row r="7670" spans="2:3" x14ac:dyDescent="0.25">
      <c r="B7670" s="463"/>
      <c r="C7670" s="463"/>
    </row>
    <row r="7671" spans="2:3" x14ac:dyDescent="0.25">
      <c r="B7671" s="463"/>
      <c r="C7671" s="463"/>
    </row>
    <row r="7672" spans="2:3" x14ac:dyDescent="0.25">
      <c r="B7672" s="463"/>
      <c r="C7672" s="463"/>
    </row>
    <row r="7673" spans="2:3" x14ac:dyDescent="0.25">
      <c r="B7673" s="463"/>
      <c r="C7673" s="463"/>
    </row>
    <row r="7674" spans="2:3" x14ac:dyDescent="0.25">
      <c r="B7674" s="463"/>
      <c r="C7674" s="463"/>
    </row>
    <row r="7675" spans="2:3" x14ac:dyDescent="0.25">
      <c r="B7675" s="463"/>
      <c r="C7675" s="463"/>
    </row>
    <row r="7676" spans="2:3" x14ac:dyDescent="0.25">
      <c r="B7676" s="463"/>
      <c r="C7676" s="463"/>
    </row>
    <row r="7677" spans="2:3" x14ac:dyDescent="0.25">
      <c r="B7677" s="463"/>
      <c r="C7677" s="463"/>
    </row>
    <row r="7678" spans="2:3" x14ac:dyDescent="0.25">
      <c r="B7678" s="463"/>
      <c r="C7678" s="463"/>
    </row>
    <row r="7679" spans="2:3" x14ac:dyDescent="0.25">
      <c r="B7679" s="463"/>
      <c r="C7679" s="463"/>
    </row>
    <row r="7680" spans="2:3" x14ac:dyDescent="0.25">
      <c r="B7680" s="463"/>
      <c r="C7680" s="463"/>
    </row>
    <row r="7681" spans="2:3" x14ac:dyDescent="0.25">
      <c r="B7681" s="463"/>
      <c r="C7681" s="463"/>
    </row>
    <row r="7682" spans="2:3" x14ac:dyDescent="0.25">
      <c r="B7682" s="463"/>
      <c r="C7682" s="463"/>
    </row>
    <row r="7683" spans="2:3" x14ac:dyDescent="0.25">
      <c r="B7683" s="463"/>
      <c r="C7683" s="463"/>
    </row>
    <row r="7684" spans="2:3" x14ac:dyDescent="0.25">
      <c r="B7684" s="463"/>
      <c r="C7684" s="463"/>
    </row>
    <row r="7685" spans="2:3" x14ac:dyDescent="0.25">
      <c r="B7685" s="463"/>
      <c r="C7685" s="463"/>
    </row>
    <row r="7686" spans="2:3" x14ac:dyDescent="0.25">
      <c r="B7686" s="463"/>
      <c r="C7686" s="463"/>
    </row>
    <row r="7687" spans="2:3" x14ac:dyDescent="0.25">
      <c r="B7687" s="463"/>
      <c r="C7687" s="463"/>
    </row>
    <row r="7688" spans="2:3" x14ac:dyDescent="0.25">
      <c r="B7688" s="463"/>
      <c r="C7688" s="463"/>
    </row>
    <row r="7689" spans="2:3" x14ac:dyDescent="0.25">
      <c r="B7689" s="463"/>
      <c r="C7689" s="463"/>
    </row>
    <row r="7690" spans="2:3" x14ac:dyDescent="0.25">
      <c r="B7690" s="463"/>
      <c r="C7690" s="463"/>
    </row>
    <row r="7691" spans="2:3" x14ac:dyDescent="0.25">
      <c r="B7691" s="463"/>
      <c r="C7691" s="463"/>
    </row>
    <row r="7692" spans="2:3" x14ac:dyDescent="0.25">
      <c r="B7692" s="463"/>
      <c r="C7692" s="463"/>
    </row>
    <row r="7693" spans="2:3" x14ac:dyDescent="0.25">
      <c r="B7693" s="463"/>
      <c r="C7693" s="463"/>
    </row>
    <row r="7694" spans="2:3" x14ac:dyDescent="0.25">
      <c r="B7694" s="463"/>
      <c r="C7694" s="463"/>
    </row>
    <row r="7695" spans="2:3" x14ac:dyDescent="0.25">
      <c r="B7695" s="463"/>
      <c r="C7695" s="463"/>
    </row>
    <row r="7696" spans="2:3" x14ac:dyDescent="0.25">
      <c r="B7696" s="463"/>
      <c r="C7696" s="463"/>
    </row>
    <row r="7697" spans="2:3" x14ac:dyDescent="0.25">
      <c r="B7697" s="463"/>
      <c r="C7697" s="463"/>
    </row>
    <row r="7698" spans="2:3" x14ac:dyDescent="0.25">
      <c r="B7698" s="463"/>
      <c r="C7698" s="463"/>
    </row>
    <row r="7699" spans="2:3" x14ac:dyDescent="0.25">
      <c r="B7699" s="463"/>
      <c r="C7699" s="463"/>
    </row>
    <row r="7700" spans="2:3" x14ac:dyDescent="0.25">
      <c r="B7700" s="463"/>
      <c r="C7700" s="463"/>
    </row>
    <row r="7701" spans="2:3" x14ac:dyDescent="0.25">
      <c r="B7701" s="463"/>
      <c r="C7701" s="463"/>
    </row>
    <row r="7702" spans="2:3" x14ac:dyDescent="0.25">
      <c r="B7702" s="463"/>
      <c r="C7702" s="463"/>
    </row>
    <row r="7703" spans="2:3" x14ac:dyDescent="0.25">
      <c r="B7703" s="463"/>
      <c r="C7703" s="463"/>
    </row>
    <row r="7704" spans="2:3" x14ac:dyDescent="0.25">
      <c r="B7704" s="463"/>
      <c r="C7704" s="463"/>
    </row>
    <row r="7705" spans="2:3" x14ac:dyDescent="0.25">
      <c r="B7705" s="463"/>
      <c r="C7705" s="463"/>
    </row>
    <row r="7706" spans="2:3" x14ac:dyDescent="0.25">
      <c r="B7706" s="463"/>
      <c r="C7706" s="463"/>
    </row>
    <row r="7707" spans="2:3" x14ac:dyDescent="0.25">
      <c r="B7707" s="463"/>
      <c r="C7707" s="463"/>
    </row>
    <row r="7708" spans="2:3" x14ac:dyDescent="0.25">
      <c r="B7708" s="463"/>
      <c r="C7708" s="463"/>
    </row>
    <row r="7709" spans="2:3" x14ac:dyDescent="0.25">
      <c r="B7709" s="463"/>
      <c r="C7709" s="463"/>
    </row>
    <row r="7710" spans="2:3" x14ac:dyDescent="0.25">
      <c r="B7710" s="463"/>
      <c r="C7710" s="463"/>
    </row>
    <row r="7711" spans="2:3" x14ac:dyDescent="0.25">
      <c r="B7711" s="463"/>
      <c r="C7711" s="463"/>
    </row>
    <row r="7712" spans="2:3" x14ac:dyDescent="0.25">
      <c r="B7712" s="463"/>
      <c r="C7712" s="463"/>
    </row>
    <row r="7713" spans="2:3" x14ac:dyDescent="0.25">
      <c r="B7713" s="463"/>
      <c r="C7713" s="463"/>
    </row>
    <row r="7714" spans="2:3" x14ac:dyDescent="0.25">
      <c r="B7714" s="463"/>
      <c r="C7714" s="463"/>
    </row>
    <row r="7715" spans="2:3" x14ac:dyDescent="0.25">
      <c r="B7715" s="463"/>
      <c r="C7715" s="463"/>
    </row>
    <row r="7716" spans="2:3" x14ac:dyDescent="0.25">
      <c r="B7716" s="463"/>
      <c r="C7716" s="463"/>
    </row>
    <row r="7717" spans="2:3" x14ac:dyDescent="0.25">
      <c r="B7717" s="463"/>
      <c r="C7717" s="463"/>
    </row>
    <row r="7718" spans="2:3" x14ac:dyDescent="0.25">
      <c r="B7718" s="463"/>
      <c r="C7718" s="463"/>
    </row>
    <row r="7719" spans="2:3" x14ac:dyDescent="0.25">
      <c r="B7719" s="463"/>
      <c r="C7719" s="463"/>
    </row>
    <row r="7720" spans="2:3" x14ac:dyDescent="0.25">
      <c r="B7720" s="463"/>
      <c r="C7720" s="463"/>
    </row>
    <row r="7721" spans="2:3" x14ac:dyDescent="0.25">
      <c r="B7721" s="463"/>
      <c r="C7721" s="463"/>
    </row>
    <row r="7722" spans="2:3" x14ac:dyDescent="0.25">
      <c r="B7722" s="463"/>
      <c r="C7722" s="463"/>
    </row>
    <row r="7723" spans="2:3" x14ac:dyDescent="0.25">
      <c r="B7723" s="463"/>
      <c r="C7723" s="463"/>
    </row>
    <row r="7724" spans="2:3" x14ac:dyDescent="0.25">
      <c r="B7724" s="463"/>
      <c r="C7724" s="463"/>
    </row>
    <row r="7725" spans="2:3" x14ac:dyDescent="0.25">
      <c r="B7725" s="463"/>
      <c r="C7725" s="463"/>
    </row>
    <row r="7726" spans="2:3" x14ac:dyDescent="0.25">
      <c r="B7726" s="463"/>
      <c r="C7726" s="463"/>
    </row>
    <row r="7727" spans="2:3" x14ac:dyDescent="0.25">
      <c r="B7727" s="463"/>
      <c r="C7727" s="463"/>
    </row>
    <row r="7728" spans="2:3" x14ac:dyDescent="0.25">
      <c r="B7728" s="463"/>
      <c r="C7728" s="463"/>
    </row>
    <row r="7729" spans="2:3" x14ac:dyDescent="0.25">
      <c r="B7729" s="463"/>
      <c r="C7729" s="463"/>
    </row>
    <row r="7730" spans="2:3" x14ac:dyDescent="0.25">
      <c r="B7730" s="463"/>
      <c r="C7730" s="463"/>
    </row>
    <row r="7731" spans="2:3" x14ac:dyDescent="0.25">
      <c r="B7731" s="463"/>
      <c r="C7731" s="463"/>
    </row>
    <row r="7732" spans="2:3" x14ac:dyDescent="0.25">
      <c r="B7732" s="463"/>
      <c r="C7732" s="463"/>
    </row>
    <row r="7733" spans="2:3" x14ac:dyDescent="0.25">
      <c r="B7733" s="463"/>
      <c r="C7733" s="463"/>
    </row>
    <row r="7734" spans="2:3" x14ac:dyDescent="0.25">
      <c r="B7734" s="463"/>
      <c r="C7734" s="463"/>
    </row>
    <row r="7735" spans="2:3" x14ac:dyDescent="0.25">
      <c r="B7735" s="463"/>
      <c r="C7735" s="463"/>
    </row>
    <row r="7736" spans="2:3" x14ac:dyDescent="0.25">
      <c r="B7736" s="463"/>
      <c r="C7736" s="463"/>
    </row>
    <row r="7737" spans="2:3" x14ac:dyDescent="0.25">
      <c r="B7737" s="463"/>
      <c r="C7737" s="463"/>
    </row>
    <row r="7738" spans="2:3" x14ac:dyDescent="0.25">
      <c r="B7738" s="463"/>
      <c r="C7738" s="463"/>
    </row>
    <row r="7739" spans="2:3" x14ac:dyDescent="0.25">
      <c r="B7739" s="463"/>
      <c r="C7739" s="463"/>
    </row>
    <row r="7740" spans="2:3" x14ac:dyDescent="0.25">
      <c r="B7740" s="463"/>
      <c r="C7740" s="463"/>
    </row>
    <row r="7741" spans="2:3" x14ac:dyDescent="0.25">
      <c r="B7741" s="463"/>
      <c r="C7741" s="463"/>
    </row>
    <row r="7742" spans="2:3" x14ac:dyDescent="0.25">
      <c r="B7742" s="463"/>
      <c r="C7742" s="463"/>
    </row>
    <row r="7743" spans="2:3" x14ac:dyDescent="0.25">
      <c r="B7743" s="463"/>
      <c r="C7743" s="463"/>
    </row>
    <row r="7744" spans="2:3" x14ac:dyDescent="0.25">
      <c r="B7744" s="463"/>
      <c r="C7744" s="463"/>
    </row>
    <row r="7745" spans="2:3" x14ac:dyDescent="0.25">
      <c r="B7745" s="463"/>
      <c r="C7745" s="463"/>
    </row>
    <row r="7746" spans="2:3" x14ac:dyDescent="0.25">
      <c r="B7746" s="463"/>
      <c r="C7746" s="463"/>
    </row>
    <row r="7747" spans="2:3" x14ac:dyDescent="0.25">
      <c r="B7747" s="463"/>
      <c r="C7747" s="463"/>
    </row>
    <row r="7748" spans="2:3" x14ac:dyDescent="0.25">
      <c r="B7748" s="463"/>
      <c r="C7748" s="463"/>
    </row>
    <row r="7749" spans="2:3" x14ac:dyDescent="0.25">
      <c r="B7749" s="463"/>
      <c r="C7749" s="463"/>
    </row>
    <row r="7750" spans="2:3" x14ac:dyDescent="0.25">
      <c r="B7750" s="463"/>
      <c r="C7750" s="463"/>
    </row>
    <row r="7751" spans="2:3" x14ac:dyDescent="0.25">
      <c r="B7751" s="463"/>
      <c r="C7751" s="463"/>
    </row>
    <row r="7752" spans="2:3" x14ac:dyDescent="0.25">
      <c r="B7752" s="463"/>
      <c r="C7752" s="463"/>
    </row>
    <row r="7753" spans="2:3" x14ac:dyDescent="0.25">
      <c r="B7753" s="463"/>
      <c r="C7753" s="463"/>
    </row>
    <row r="7754" spans="2:3" x14ac:dyDescent="0.25">
      <c r="B7754" s="463"/>
      <c r="C7754" s="463"/>
    </row>
    <row r="7755" spans="2:3" x14ac:dyDescent="0.25">
      <c r="B7755" s="463"/>
      <c r="C7755" s="463"/>
    </row>
    <row r="7756" spans="2:3" x14ac:dyDescent="0.25">
      <c r="B7756" s="463"/>
      <c r="C7756" s="463"/>
    </row>
    <row r="7757" spans="2:3" x14ac:dyDescent="0.25">
      <c r="B7757" s="463"/>
      <c r="C7757" s="463"/>
    </row>
    <row r="7758" spans="2:3" x14ac:dyDescent="0.25">
      <c r="B7758" s="463"/>
      <c r="C7758" s="463"/>
    </row>
    <row r="7759" spans="2:3" x14ac:dyDescent="0.25">
      <c r="B7759" s="463"/>
      <c r="C7759" s="463"/>
    </row>
    <row r="7760" spans="2:3" x14ac:dyDescent="0.25">
      <c r="B7760" s="463"/>
      <c r="C7760" s="463"/>
    </row>
    <row r="7761" spans="2:3" x14ac:dyDescent="0.25">
      <c r="B7761" s="463"/>
      <c r="C7761" s="463"/>
    </row>
    <row r="7762" spans="2:3" x14ac:dyDescent="0.25">
      <c r="B7762" s="463"/>
      <c r="C7762" s="463"/>
    </row>
    <row r="7763" spans="2:3" x14ac:dyDescent="0.25">
      <c r="B7763" s="463"/>
      <c r="C7763" s="463"/>
    </row>
    <row r="7764" spans="2:3" x14ac:dyDescent="0.25">
      <c r="B7764" s="463"/>
      <c r="C7764" s="463"/>
    </row>
    <row r="7765" spans="2:3" x14ac:dyDescent="0.25">
      <c r="B7765" s="463"/>
      <c r="C7765" s="463"/>
    </row>
    <row r="7766" spans="2:3" x14ac:dyDescent="0.25">
      <c r="B7766" s="463"/>
      <c r="C7766" s="463"/>
    </row>
    <row r="7767" spans="2:3" x14ac:dyDescent="0.25">
      <c r="B7767" s="463"/>
      <c r="C7767" s="463"/>
    </row>
    <row r="7768" spans="2:3" x14ac:dyDescent="0.25">
      <c r="B7768" s="463"/>
      <c r="C7768" s="463"/>
    </row>
    <row r="7769" spans="2:3" x14ac:dyDescent="0.25">
      <c r="B7769" s="463"/>
      <c r="C7769" s="463"/>
    </row>
    <row r="7770" spans="2:3" x14ac:dyDescent="0.25">
      <c r="B7770" s="463"/>
      <c r="C7770" s="463"/>
    </row>
    <row r="7771" spans="2:3" x14ac:dyDescent="0.25">
      <c r="B7771" s="463"/>
      <c r="C7771" s="463"/>
    </row>
    <row r="7772" spans="2:3" x14ac:dyDescent="0.25">
      <c r="B7772" s="463"/>
      <c r="C7772" s="463"/>
    </row>
    <row r="7773" spans="2:3" x14ac:dyDescent="0.25">
      <c r="B7773" s="463"/>
      <c r="C7773" s="463"/>
    </row>
    <row r="7774" spans="2:3" x14ac:dyDescent="0.25">
      <c r="B7774" s="463"/>
      <c r="C7774" s="463"/>
    </row>
    <row r="7775" spans="2:3" x14ac:dyDescent="0.25">
      <c r="B7775" s="463"/>
      <c r="C7775" s="463"/>
    </row>
    <row r="7776" spans="2:3" x14ac:dyDescent="0.25">
      <c r="B7776" s="463"/>
      <c r="C7776" s="463"/>
    </row>
    <row r="7777" spans="2:3" x14ac:dyDescent="0.25">
      <c r="B7777" s="463"/>
      <c r="C7777" s="463"/>
    </row>
    <row r="7778" spans="2:3" x14ac:dyDescent="0.25">
      <c r="B7778" s="463"/>
      <c r="C7778" s="463"/>
    </row>
    <row r="7779" spans="2:3" x14ac:dyDescent="0.25">
      <c r="B7779" s="463"/>
      <c r="C7779" s="463"/>
    </row>
    <row r="7780" spans="2:3" x14ac:dyDescent="0.25">
      <c r="B7780" s="463"/>
      <c r="C7780" s="463"/>
    </row>
    <row r="7781" spans="2:3" x14ac:dyDescent="0.25">
      <c r="B7781" s="463"/>
      <c r="C7781" s="463"/>
    </row>
    <row r="7782" spans="2:3" x14ac:dyDescent="0.25">
      <c r="B7782" s="463"/>
      <c r="C7782" s="463"/>
    </row>
    <row r="7783" spans="2:3" x14ac:dyDescent="0.25">
      <c r="B7783" s="463"/>
      <c r="C7783" s="463"/>
    </row>
    <row r="7784" spans="2:3" x14ac:dyDescent="0.25">
      <c r="B7784" s="463"/>
      <c r="C7784" s="463"/>
    </row>
    <row r="7785" spans="2:3" x14ac:dyDescent="0.25">
      <c r="B7785" s="463"/>
      <c r="C7785" s="463"/>
    </row>
    <row r="7786" spans="2:3" x14ac:dyDescent="0.25">
      <c r="B7786" s="463"/>
      <c r="C7786" s="463"/>
    </row>
    <row r="7787" spans="2:3" x14ac:dyDescent="0.25">
      <c r="B7787" s="463"/>
      <c r="C7787" s="463"/>
    </row>
    <row r="7788" spans="2:3" x14ac:dyDescent="0.25">
      <c r="B7788" s="463"/>
      <c r="C7788" s="463"/>
    </row>
    <row r="7789" spans="2:3" x14ac:dyDescent="0.25">
      <c r="B7789" s="463"/>
      <c r="C7789" s="463"/>
    </row>
    <row r="7790" spans="2:3" x14ac:dyDescent="0.25">
      <c r="B7790" s="463"/>
      <c r="C7790" s="463"/>
    </row>
    <row r="7791" spans="2:3" x14ac:dyDescent="0.25">
      <c r="B7791" s="463"/>
      <c r="C7791" s="463"/>
    </row>
    <row r="7792" spans="2:3" x14ac:dyDescent="0.25">
      <c r="B7792" s="463"/>
      <c r="C7792" s="463"/>
    </row>
    <row r="7793" spans="2:3" x14ac:dyDescent="0.25">
      <c r="B7793" s="463"/>
      <c r="C7793" s="463"/>
    </row>
    <row r="7794" spans="2:3" x14ac:dyDescent="0.25">
      <c r="B7794" s="463"/>
      <c r="C7794" s="463"/>
    </row>
    <row r="7795" spans="2:3" x14ac:dyDescent="0.25">
      <c r="B7795" s="463"/>
      <c r="C7795" s="463"/>
    </row>
    <row r="7796" spans="2:3" x14ac:dyDescent="0.25">
      <c r="B7796" s="463"/>
      <c r="C7796" s="463"/>
    </row>
    <row r="7797" spans="2:3" x14ac:dyDescent="0.25">
      <c r="B7797" s="463"/>
      <c r="C7797" s="463"/>
    </row>
    <row r="7798" spans="2:3" x14ac:dyDescent="0.25">
      <c r="B7798" s="463"/>
      <c r="C7798" s="463"/>
    </row>
    <row r="7799" spans="2:3" x14ac:dyDescent="0.25">
      <c r="B7799" s="463"/>
      <c r="C7799" s="463"/>
    </row>
    <row r="7800" spans="2:3" x14ac:dyDescent="0.25">
      <c r="B7800" s="463"/>
      <c r="C7800" s="463"/>
    </row>
    <row r="7801" spans="2:3" x14ac:dyDescent="0.25">
      <c r="B7801" s="463"/>
      <c r="C7801" s="463"/>
    </row>
    <row r="7802" spans="2:3" x14ac:dyDescent="0.25">
      <c r="B7802" s="463"/>
      <c r="C7802" s="463"/>
    </row>
    <row r="7803" spans="2:3" x14ac:dyDescent="0.25">
      <c r="B7803" s="463"/>
      <c r="C7803" s="463"/>
    </row>
    <row r="7804" spans="2:3" x14ac:dyDescent="0.25">
      <c r="B7804" s="463"/>
      <c r="C7804" s="463"/>
    </row>
    <row r="7805" spans="2:3" x14ac:dyDescent="0.25">
      <c r="B7805" s="463"/>
      <c r="C7805" s="463"/>
    </row>
    <row r="7806" spans="2:3" x14ac:dyDescent="0.25">
      <c r="B7806" s="463"/>
      <c r="C7806" s="463"/>
    </row>
    <row r="7807" spans="2:3" x14ac:dyDescent="0.25">
      <c r="B7807" s="463"/>
      <c r="C7807" s="463"/>
    </row>
    <row r="7808" spans="2:3" x14ac:dyDescent="0.25">
      <c r="B7808" s="463"/>
      <c r="C7808" s="463"/>
    </row>
    <row r="7809" spans="2:3" x14ac:dyDescent="0.25">
      <c r="B7809" s="463"/>
      <c r="C7809" s="463"/>
    </row>
    <row r="7810" spans="2:3" x14ac:dyDescent="0.25">
      <c r="B7810" s="463"/>
      <c r="C7810" s="463"/>
    </row>
    <row r="7811" spans="2:3" x14ac:dyDescent="0.25">
      <c r="B7811" s="463"/>
      <c r="C7811" s="463"/>
    </row>
    <row r="7812" spans="2:3" x14ac:dyDescent="0.25">
      <c r="B7812" s="463"/>
      <c r="C7812" s="463"/>
    </row>
    <row r="7813" spans="2:3" x14ac:dyDescent="0.25">
      <c r="B7813" s="463"/>
      <c r="C7813" s="463"/>
    </row>
    <row r="7814" spans="2:3" x14ac:dyDescent="0.25">
      <c r="B7814" s="463"/>
      <c r="C7814" s="463"/>
    </row>
    <row r="7815" spans="2:3" x14ac:dyDescent="0.25">
      <c r="B7815" s="463"/>
      <c r="C7815" s="463"/>
    </row>
    <row r="7816" spans="2:3" x14ac:dyDescent="0.25">
      <c r="B7816" s="463"/>
      <c r="C7816" s="463"/>
    </row>
    <row r="7817" spans="2:3" x14ac:dyDescent="0.25">
      <c r="B7817" s="463"/>
      <c r="C7817" s="463"/>
    </row>
    <row r="7818" spans="2:3" x14ac:dyDescent="0.25">
      <c r="B7818" s="463"/>
      <c r="C7818" s="463"/>
    </row>
    <row r="7819" spans="2:3" x14ac:dyDescent="0.25">
      <c r="B7819" s="463"/>
      <c r="C7819" s="463"/>
    </row>
    <row r="7820" spans="2:3" x14ac:dyDescent="0.25">
      <c r="B7820" s="463"/>
      <c r="C7820" s="463"/>
    </row>
    <row r="7821" spans="2:3" x14ac:dyDescent="0.25">
      <c r="B7821" s="463"/>
      <c r="C7821" s="463"/>
    </row>
    <row r="7822" spans="2:3" x14ac:dyDescent="0.25">
      <c r="B7822" s="463"/>
      <c r="C7822" s="463"/>
    </row>
    <row r="7823" spans="2:3" x14ac:dyDescent="0.25">
      <c r="B7823" s="463"/>
      <c r="C7823" s="463"/>
    </row>
    <row r="7824" spans="2:3" x14ac:dyDescent="0.25">
      <c r="B7824" s="463"/>
      <c r="C7824" s="463"/>
    </row>
    <row r="7825" spans="2:3" x14ac:dyDescent="0.25">
      <c r="B7825" s="463"/>
      <c r="C7825" s="463"/>
    </row>
    <row r="7826" spans="2:3" x14ac:dyDescent="0.25">
      <c r="B7826" s="463"/>
      <c r="C7826" s="463"/>
    </row>
    <row r="7827" spans="2:3" x14ac:dyDescent="0.25">
      <c r="B7827" s="463"/>
      <c r="C7827" s="463"/>
    </row>
    <row r="7828" spans="2:3" x14ac:dyDescent="0.25">
      <c r="B7828" s="463"/>
      <c r="C7828" s="463"/>
    </row>
    <row r="7829" spans="2:3" x14ac:dyDescent="0.25">
      <c r="B7829" s="463"/>
      <c r="C7829" s="463"/>
    </row>
    <row r="7830" spans="2:3" x14ac:dyDescent="0.25">
      <c r="B7830" s="463"/>
      <c r="C7830" s="463"/>
    </row>
    <row r="7831" spans="2:3" x14ac:dyDescent="0.25">
      <c r="B7831" s="463"/>
      <c r="C7831" s="463"/>
    </row>
    <row r="7832" spans="2:3" x14ac:dyDescent="0.25">
      <c r="B7832" s="463"/>
      <c r="C7832" s="463"/>
    </row>
    <row r="7833" spans="2:3" x14ac:dyDescent="0.25">
      <c r="B7833" s="463"/>
      <c r="C7833" s="463"/>
    </row>
    <row r="7834" spans="2:3" x14ac:dyDescent="0.25">
      <c r="B7834" s="463"/>
      <c r="C7834" s="463"/>
    </row>
    <row r="7835" spans="2:3" x14ac:dyDescent="0.25">
      <c r="B7835" s="463"/>
      <c r="C7835" s="463"/>
    </row>
    <row r="7836" spans="2:3" x14ac:dyDescent="0.25">
      <c r="B7836" s="463"/>
      <c r="C7836" s="463"/>
    </row>
    <row r="7837" spans="2:3" x14ac:dyDescent="0.25">
      <c r="B7837" s="463"/>
      <c r="C7837" s="463"/>
    </row>
    <row r="7838" spans="2:3" x14ac:dyDescent="0.25">
      <c r="B7838" s="463"/>
      <c r="C7838" s="463"/>
    </row>
    <row r="7839" spans="2:3" x14ac:dyDescent="0.25">
      <c r="B7839" s="463"/>
      <c r="C7839" s="463"/>
    </row>
    <row r="7840" spans="2:3" x14ac:dyDescent="0.25">
      <c r="B7840" s="463"/>
      <c r="C7840" s="463"/>
    </row>
    <row r="7841" spans="2:3" x14ac:dyDescent="0.25">
      <c r="B7841" s="463"/>
      <c r="C7841" s="463"/>
    </row>
    <row r="7842" spans="2:3" x14ac:dyDescent="0.25">
      <c r="B7842" s="463"/>
      <c r="C7842" s="463"/>
    </row>
    <row r="7843" spans="2:3" x14ac:dyDescent="0.25">
      <c r="B7843" s="463"/>
      <c r="C7843" s="463"/>
    </row>
    <row r="7844" spans="2:3" x14ac:dyDescent="0.25">
      <c r="B7844" s="463"/>
      <c r="C7844" s="463"/>
    </row>
    <row r="7845" spans="2:3" x14ac:dyDescent="0.25">
      <c r="B7845" s="463"/>
      <c r="C7845" s="463"/>
    </row>
    <row r="7846" spans="2:3" x14ac:dyDescent="0.25">
      <c r="B7846" s="463"/>
      <c r="C7846" s="463"/>
    </row>
    <row r="7847" spans="2:3" x14ac:dyDescent="0.25">
      <c r="B7847" s="463"/>
      <c r="C7847" s="463"/>
    </row>
    <row r="7848" spans="2:3" x14ac:dyDescent="0.25">
      <c r="B7848" s="463"/>
      <c r="C7848" s="463"/>
    </row>
    <row r="7849" spans="2:3" x14ac:dyDescent="0.25">
      <c r="B7849" s="463"/>
      <c r="C7849" s="463"/>
    </row>
    <row r="7850" spans="2:3" x14ac:dyDescent="0.25">
      <c r="B7850" s="463"/>
      <c r="C7850" s="463"/>
    </row>
    <row r="7851" spans="2:3" x14ac:dyDescent="0.25">
      <c r="B7851" s="463"/>
      <c r="C7851" s="463"/>
    </row>
    <row r="7852" spans="2:3" x14ac:dyDescent="0.25">
      <c r="B7852" s="463"/>
      <c r="C7852" s="463"/>
    </row>
    <row r="7853" spans="2:3" x14ac:dyDescent="0.25">
      <c r="B7853" s="463"/>
      <c r="C7853" s="463"/>
    </row>
    <row r="7854" spans="2:3" x14ac:dyDescent="0.25">
      <c r="B7854" s="463"/>
      <c r="C7854" s="463"/>
    </row>
    <row r="7855" spans="2:3" x14ac:dyDescent="0.25">
      <c r="B7855" s="463"/>
      <c r="C7855" s="463"/>
    </row>
    <row r="7856" spans="2:3" x14ac:dyDescent="0.25">
      <c r="B7856" s="463"/>
      <c r="C7856" s="463"/>
    </row>
    <row r="7857" spans="2:3" x14ac:dyDescent="0.25">
      <c r="B7857" s="463"/>
      <c r="C7857" s="463"/>
    </row>
    <row r="7858" spans="2:3" x14ac:dyDescent="0.25">
      <c r="B7858" s="463"/>
      <c r="C7858" s="463"/>
    </row>
    <row r="7859" spans="2:3" x14ac:dyDescent="0.25">
      <c r="B7859" s="463"/>
      <c r="C7859" s="463"/>
    </row>
    <row r="7860" spans="2:3" x14ac:dyDescent="0.25">
      <c r="B7860" s="463"/>
      <c r="C7860" s="463"/>
    </row>
    <row r="7861" spans="2:3" x14ac:dyDescent="0.25">
      <c r="B7861" s="463"/>
      <c r="C7861" s="463"/>
    </row>
    <row r="7862" spans="2:3" x14ac:dyDescent="0.25">
      <c r="B7862" s="463"/>
      <c r="C7862" s="463"/>
    </row>
    <row r="7863" spans="2:3" x14ac:dyDescent="0.25">
      <c r="B7863" s="463"/>
      <c r="C7863" s="463"/>
    </row>
    <row r="7864" spans="2:3" x14ac:dyDescent="0.25">
      <c r="B7864" s="463"/>
      <c r="C7864" s="463"/>
    </row>
    <row r="7865" spans="2:3" x14ac:dyDescent="0.25">
      <c r="B7865" s="463"/>
      <c r="C7865" s="463"/>
    </row>
    <row r="7866" spans="2:3" x14ac:dyDescent="0.25">
      <c r="B7866" s="463"/>
      <c r="C7866" s="463"/>
    </row>
    <row r="7867" spans="2:3" x14ac:dyDescent="0.25">
      <c r="B7867" s="463"/>
      <c r="C7867" s="463"/>
    </row>
    <row r="7868" spans="2:3" x14ac:dyDescent="0.25">
      <c r="B7868" s="463"/>
      <c r="C7868" s="463"/>
    </row>
    <row r="7869" spans="2:3" x14ac:dyDescent="0.25">
      <c r="B7869" s="463"/>
      <c r="C7869" s="463"/>
    </row>
    <row r="7870" spans="2:3" x14ac:dyDescent="0.25">
      <c r="B7870" s="463"/>
      <c r="C7870" s="463"/>
    </row>
    <row r="7871" spans="2:3" x14ac:dyDescent="0.25">
      <c r="B7871" s="463"/>
      <c r="C7871" s="463"/>
    </row>
    <row r="7872" spans="2:3" x14ac:dyDescent="0.25">
      <c r="B7872" s="463"/>
      <c r="C7872" s="463"/>
    </row>
    <row r="7873" spans="2:3" x14ac:dyDescent="0.25">
      <c r="B7873" s="463"/>
      <c r="C7873" s="463"/>
    </row>
    <row r="7874" spans="2:3" x14ac:dyDescent="0.25">
      <c r="B7874" s="463"/>
      <c r="C7874" s="463"/>
    </row>
    <row r="7875" spans="2:3" x14ac:dyDescent="0.25">
      <c r="B7875" s="463"/>
      <c r="C7875" s="463"/>
    </row>
    <row r="7876" spans="2:3" x14ac:dyDescent="0.25">
      <c r="B7876" s="463"/>
      <c r="C7876" s="463"/>
    </row>
    <row r="7877" spans="2:3" x14ac:dyDescent="0.25">
      <c r="B7877" s="463"/>
      <c r="C7877" s="463"/>
    </row>
    <row r="7878" spans="2:3" x14ac:dyDescent="0.25">
      <c r="B7878" s="463"/>
      <c r="C7878" s="463"/>
    </row>
    <row r="7879" spans="2:3" x14ac:dyDescent="0.25">
      <c r="B7879" s="463"/>
      <c r="C7879" s="463"/>
    </row>
    <row r="7880" spans="2:3" x14ac:dyDescent="0.25">
      <c r="B7880" s="463"/>
      <c r="C7880" s="463"/>
    </row>
    <row r="7881" spans="2:3" x14ac:dyDescent="0.25">
      <c r="B7881" s="463"/>
      <c r="C7881" s="463"/>
    </row>
    <row r="7882" spans="2:3" x14ac:dyDescent="0.25">
      <c r="B7882" s="463"/>
      <c r="C7882" s="463"/>
    </row>
    <row r="7883" spans="2:3" x14ac:dyDescent="0.25">
      <c r="B7883" s="463"/>
      <c r="C7883" s="463"/>
    </row>
    <row r="7884" spans="2:3" x14ac:dyDescent="0.25">
      <c r="B7884" s="463"/>
      <c r="C7884" s="463"/>
    </row>
    <row r="7885" spans="2:3" x14ac:dyDescent="0.25">
      <c r="B7885" s="463"/>
      <c r="C7885" s="463"/>
    </row>
    <row r="7886" spans="2:3" x14ac:dyDescent="0.25">
      <c r="B7886" s="463"/>
      <c r="C7886" s="463"/>
    </row>
    <row r="7887" spans="2:3" x14ac:dyDescent="0.25">
      <c r="B7887" s="463"/>
      <c r="C7887" s="463"/>
    </row>
    <row r="7888" spans="2:3" x14ac:dyDescent="0.25">
      <c r="B7888" s="463"/>
      <c r="C7888" s="463"/>
    </row>
    <row r="7889" spans="2:3" x14ac:dyDescent="0.25">
      <c r="B7889" s="463"/>
      <c r="C7889" s="463"/>
    </row>
    <row r="7890" spans="2:3" x14ac:dyDescent="0.25">
      <c r="B7890" s="463"/>
      <c r="C7890" s="463"/>
    </row>
    <row r="7891" spans="2:3" x14ac:dyDescent="0.25">
      <c r="B7891" s="463"/>
      <c r="C7891" s="463"/>
    </row>
    <row r="7892" spans="2:3" x14ac:dyDescent="0.25">
      <c r="B7892" s="463"/>
      <c r="C7892" s="463"/>
    </row>
    <row r="7893" spans="2:3" x14ac:dyDescent="0.25">
      <c r="B7893" s="463"/>
      <c r="C7893" s="463"/>
    </row>
    <row r="7894" spans="2:3" x14ac:dyDescent="0.25">
      <c r="B7894" s="463"/>
      <c r="C7894" s="463"/>
    </row>
    <row r="7895" spans="2:3" x14ac:dyDescent="0.25">
      <c r="B7895" s="463"/>
      <c r="C7895" s="463"/>
    </row>
    <row r="7896" spans="2:3" x14ac:dyDescent="0.25">
      <c r="B7896" s="463"/>
      <c r="C7896" s="463"/>
    </row>
    <row r="7897" spans="2:3" x14ac:dyDescent="0.25">
      <c r="B7897" s="463"/>
      <c r="C7897" s="463"/>
    </row>
    <row r="7898" spans="2:3" x14ac:dyDescent="0.25">
      <c r="B7898" s="463"/>
      <c r="C7898" s="463"/>
    </row>
    <row r="7899" spans="2:3" x14ac:dyDescent="0.25">
      <c r="B7899" s="463"/>
      <c r="C7899" s="463"/>
    </row>
    <row r="7900" spans="2:3" x14ac:dyDescent="0.25">
      <c r="B7900" s="463"/>
      <c r="C7900" s="463"/>
    </row>
    <row r="7901" spans="2:3" x14ac:dyDescent="0.25">
      <c r="B7901" s="463"/>
      <c r="C7901" s="463"/>
    </row>
    <row r="7902" spans="2:3" x14ac:dyDescent="0.25">
      <c r="B7902" s="463"/>
      <c r="C7902" s="463"/>
    </row>
    <row r="7903" spans="2:3" x14ac:dyDescent="0.25">
      <c r="B7903" s="463"/>
      <c r="C7903" s="463"/>
    </row>
    <row r="7904" spans="2:3" x14ac:dyDescent="0.25">
      <c r="B7904" s="463"/>
      <c r="C7904" s="463"/>
    </row>
    <row r="7905" spans="2:3" x14ac:dyDescent="0.25">
      <c r="B7905" s="463"/>
      <c r="C7905" s="463"/>
    </row>
    <row r="7906" spans="2:3" x14ac:dyDescent="0.25">
      <c r="B7906" s="463"/>
      <c r="C7906" s="463"/>
    </row>
    <row r="7907" spans="2:3" x14ac:dyDescent="0.25">
      <c r="B7907" s="463"/>
      <c r="C7907" s="463"/>
    </row>
    <row r="7908" spans="2:3" x14ac:dyDescent="0.25">
      <c r="B7908" s="463"/>
      <c r="C7908" s="463"/>
    </row>
    <row r="7909" spans="2:3" x14ac:dyDescent="0.25">
      <c r="B7909" s="463"/>
      <c r="C7909" s="463"/>
    </row>
    <row r="7910" spans="2:3" x14ac:dyDescent="0.25">
      <c r="B7910" s="463"/>
      <c r="C7910" s="463"/>
    </row>
    <row r="7911" spans="2:3" x14ac:dyDescent="0.25">
      <c r="B7911" s="463"/>
      <c r="C7911" s="463"/>
    </row>
    <row r="7912" spans="2:3" x14ac:dyDescent="0.25">
      <c r="B7912" s="463"/>
      <c r="C7912" s="463"/>
    </row>
    <row r="7913" spans="2:3" x14ac:dyDescent="0.25">
      <c r="B7913" s="463"/>
      <c r="C7913" s="463"/>
    </row>
    <row r="7914" spans="2:3" x14ac:dyDescent="0.25">
      <c r="B7914" s="463"/>
      <c r="C7914" s="463"/>
    </row>
    <row r="7915" spans="2:3" x14ac:dyDescent="0.25">
      <c r="B7915" s="463"/>
      <c r="C7915" s="463"/>
    </row>
    <row r="7916" spans="2:3" x14ac:dyDescent="0.25">
      <c r="B7916" s="463"/>
      <c r="C7916" s="463"/>
    </row>
    <row r="7917" spans="2:3" x14ac:dyDescent="0.25">
      <c r="B7917" s="463"/>
      <c r="C7917" s="463"/>
    </row>
    <row r="7918" spans="2:3" x14ac:dyDescent="0.25">
      <c r="B7918" s="463"/>
      <c r="C7918" s="463"/>
    </row>
    <row r="7919" spans="2:3" x14ac:dyDescent="0.25">
      <c r="B7919" s="463"/>
      <c r="C7919" s="463"/>
    </row>
    <row r="7920" spans="2:3" x14ac:dyDescent="0.25">
      <c r="B7920" s="463"/>
      <c r="C7920" s="463"/>
    </row>
    <row r="7921" spans="2:3" x14ac:dyDescent="0.25">
      <c r="B7921" s="463"/>
      <c r="C7921" s="463"/>
    </row>
    <row r="7922" spans="2:3" x14ac:dyDescent="0.25">
      <c r="B7922" s="463"/>
      <c r="C7922" s="463"/>
    </row>
    <row r="7923" spans="2:3" x14ac:dyDescent="0.25">
      <c r="B7923" s="463"/>
      <c r="C7923" s="463"/>
    </row>
    <row r="7924" spans="2:3" x14ac:dyDescent="0.25">
      <c r="B7924" s="463"/>
      <c r="C7924" s="463"/>
    </row>
    <row r="7925" spans="2:3" x14ac:dyDescent="0.25">
      <c r="B7925" s="463"/>
      <c r="C7925" s="463"/>
    </row>
    <row r="7926" spans="2:3" x14ac:dyDescent="0.25">
      <c r="B7926" s="463"/>
      <c r="C7926" s="463"/>
    </row>
    <row r="7927" spans="2:3" x14ac:dyDescent="0.25">
      <c r="B7927" s="463"/>
      <c r="C7927" s="463"/>
    </row>
    <row r="7928" spans="2:3" x14ac:dyDescent="0.25">
      <c r="B7928" s="463"/>
      <c r="C7928" s="463"/>
    </row>
    <row r="7929" spans="2:3" x14ac:dyDescent="0.25">
      <c r="B7929" s="463"/>
      <c r="C7929" s="463"/>
    </row>
    <row r="7930" spans="2:3" x14ac:dyDescent="0.25">
      <c r="B7930" s="463"/>
      <c r="C7930" s="463"/>
    </row>
    <row r="7931" spans="2:3" x14ac:dyDescent="0.25">
      <c r="B7931" s="463"/>
      <c r="C7931" s="463"/>
    </row>
    <row r="7932" spans="2:3" x14ac:dyDescent="0.25">
      <c r="B7932" s="463"/>
      <c r="C7932" s="463"/>
    </row>
    <row r="7933" spans="2:3" x14ac:dyDescent="0.25">
      <c r="B7933" s="463"/>
      <c r="C7933" s="463"/>
    </row>
    <row r="7934" spans="2:3" x14ac:dyDescent="0.25">
      <c r="B7934" s="463"/>
      <c r="C7934" s="463"/>
    </row>
    <row r="7935" spans="2:3" x14ac:dyDescent="0.25">
      <c r="B7935" s="463"/>
      <c r="C7935" s="463"/>
    </row>
    <row r="7936" spans="2:3" x14ac:dyDescent="0.25">
      <c r="B7936" s="463"/>
      <c r="C7936" s="463"/>
    </row>
    <row r="7937" spans="2:3" x14ac:dyDescent="0.25">
      <c r="B7937" s="463"/>
      <c r="C7937" s="463"/>
    </row>
    <row r="7938" spans="2:3" x14ac:dyDescent="0.25">
      <c r="B7938" s="463"/>
      <c r="C7938" s="463"/>
    </row>
    <row r="7939" spans="2:3" x14ac:dyDescent="0.25">
      <c r="B7939" s="463"/>
      <c r="C7939" s="463"/>
    </row>
    <row r="7940" spans="2:3" x14ac:dyDescent="0.25">
      <c r="B7940" s="463"/>
      <c r="C7940" s="463"/>
    </row>
    <row r="7941" spans="2:3" x14ac:dyDescent="0.25">
      <c r="B7941" s="463"/>
      <c r="C7941" s="463"/>
    </row>
    <row r="7942" spans="2:3" x14ac:dyDescent="0.25">
      <c r="B7942" s="463"/>
      <c r="C7942" s="463"/>
    </row>
    <row r="7943" spans="2:3" x14ac:dyDescent="0.25">
      <c r="B7943" s="463"/>
      <c r="C7943" s="463"/>
    </row>
    <row r="7944" spans="2:3" x14ac:dyDescent="0.25">
      <c r="B7944" s="463"/>
      <c r="C7944" s="463"/>
    </row>
    <row r="7945" spans="2:3" x14ac:dyDescent="0.25">
      <c r="B7945" s="463"/>
      <c r="C7945" s="463"/>
    </row>
    <row r="7946" spans="2:3" x14ac:dyDescent="0.25">
      <c r="B7946" s="463"/>
      <c r="C7946" s="463"/>
    </row>
    <row r="7947" spans="2:3" x14ac:dyDescent="0.25">
      <c r="B7947" s="463"/>
      <c r="C7947" s="463"/>
    </row>
    <row r="7948" spans="2:3" x14ac:dyDescent="0.25">
      <c r="B7948" s="463"/>
      <c r="C7948" s="463"/>
    </row>
    <row r="7949" spans="2:3" x14ac:dyDescent="0.25">
      <c r="B7949" s="463"/>
      <c r="C7949" s="463"/>
    </row>
    <row r="7950" spans="2:3" x14ac:dyDescent="0.25">
      <c r="B7950" s="463"/>
      <c r="C7950" s="463"/>
    </row>
    <row r="7951" spans="2:3" x14ac:dyDescent="0.25">
      <c r="B7951" s="463"/>
      <c r="C7951" s="463"/>
    </row>
    <row r="7952" spans="2:3" x14ac:dyDescent="0.25">
      <c r="B7952" s="463"/>
      <c r="C7952" s="463"/>
    </row>
    <row r="7953" spans="2:3" x14ac:dyDescent="0.25">
      <c r="B7953" s="463"/>
      <c r="C7953" s="463"/>
    </row>
    <row r="7954" spans="2:3" x14ac:dyDescent="0.25">
      <c r="B7954" s="463"/>
      <c r="C7954" s="463"/>
    </row>
    <row r="7955" spans="2:3" x14ac:dyDescent="0.25">
      <c r="B7955" s="463"/>
      <c r="C7955" s="463"/>
    </row>
    <row r="7956" spans="2:3" x14ac:dyDescent="0.25">
      <c r="B7956" s="463"/>
      <c r="C7956" s="463"/>
    </row>
    <row r="7957" spans="2:3" x14ac:dyDescent="0.25">
      <c r="B7957" s="463"/>
      <c r="C7957" s="463"/>
    </row>
    <row r="7958" spans="2:3" x14ac:dyDescent="0.25">
      <c r="B7958" s="463"/>
      <c r="C7958" s="463"/>
    </row>
    <row r="7959" spans="2:3" x14ac:dyDescent="0.25">
      <c r="B7959" s="463"/>
      <c r="C7959" s="463"/>
    </row>
    <row r="7960" spans="2:3" x14ac:dyDescent="0.25">
      <c r="B7960" s="463"/>
      <c r="C7960" s="463"/>
    </row>
    <row r="7961" spans="2:3" x14ac:dyDescent="0.25">
      <c r="B7961" s="463"/>
      <c r="C7961" s="463"/>
    </row>
    <row r="7962" spans="2:3" x14ac:dyDescent="0.25">
      <c r="B7962" s="463"/>
      <c r="C7962" s="463"/>
    </row>
    <row r="7963" spans="2:3" x14ac:dyDescent="0.25">
      <c r="B7963" s="463"/>
      <c r="C7963" s="463"/>
    </row>
    <row r="7964" spans="2:3" x14ac:dyDescent="0.25">
      <c r="B7964" s="463"/>
      <c r="C7964" s="463"/>
    </row>
    <row r="7965" spans="2:3" x14ac:dyDescent="0.25">
      <c r="B7965" s="463"/>
      <c r="C7965" s="463"/>
    </row>
    <row r="7966" spans="2:3" x14ac:dyDescent="0.25">
      <c r="B7966" s="463"/>
      <c r="C7966" s="463"/>
    </row>
    <row r="7967" spans="2:3" x14ac:dyDescent="0.25">
      <c r="B7967" s="463"/>
      <c r="C7967" s="463"/>
    </row>
    <row r="7968" spans="2:3" x14ac:dyDescent="0.25">
      <c r="B7968" s="463"/>
      <c r="C7968" s="463"/>
    </row>
    <row r="7969" spans="2:3" x14ac:dyDescent="0.25">
      <c r="B7969" s="463"/>
      <c r="C7969" s="463"/>
    </row>
    <row r="7970" spans="2:3" x14ac:dyDescent="0.25">
      <c r="B7970" s="463"/>
      <c r="C7970" s="463"/>
    </row>
    <row r="7971" spans="2:3" x14ac:dyDescent="0.25">
      <c r="B7971" s="463"/>
      <c r="C7971" s="463"/>
    </row>
    <row r="7972" spans="2:3" x14ac:dyDescent="0.25">
      <c r="B7972" s="463"/>
      <c r="C7972" s="463"/>
    </row>
    <row r="7973" spans="2:3" x14ac:dyDescent="0.25">
      <c r="B7973" s="463"/>
      <c r="C7973" s="463"/>
    </row>
    <row r="7974" spans="2:3" x14ac:dyDescent="0.25">
      <c r="B7974" s="463"/>
      <c r="C7974" s="463"/>
    </row>
    <row r="7975" spans="2:3" x14ac:dyDescent="0.25">
      <c r="B7975" s="463"/>
      <c r="C7975" s="463"/>
    </row>
    <row r="7976" spans="2:3" x14ac:dyDescent="0.25">
      <c r="B7976" s="463"/>
      <c r="C7976" s="463"/>
    </row>
    <row r="7977" spans="2:3" x14ac:dyDescent="0.25">
      <c r="B7977" s="463"/>
      <c r="C7977" s="463"/>
    </row>
    <row r="7978" spans="2:3" x14ac:dyDescent="0.25">
      <c r="B7978" s="463"/>
      <c r="C7978" s="463"/>
    </row>
    <row r="7979" spans="2:3" x14ac:dyDescent="0.25">
      <c r="B7979" s="463"/>
      <c r="C7979" s="463"/>
    </row>
    <row r="7980" spans="2:3" x14ac:dyDescent="0.25">
      <c r="B7980" s="463"/>
      <c r="C7980" s="463"/>
    </row>
    <row r="7981" spans="2:3" x14ac:dyDescent="0.25">
      <c r="B7981" s="463"/>
      <c r="C7981" s="463"/>
    </row>
    <row r="7982" spans="2:3" x14ac:dyDescent="0.25">
      <c r="B7982" s="463"/>
      <c r="C7982" s="463"/>
    </row>
    <row r="7983" spans="2:3" x14ac:dyDescent="0.25">
      <c r="B7983" s="463"/>
      <c r="C7983" s="463"/>
    </row>
    <row r="7984" spans="2:3" x14ac:dyDescent="0.25">
      <c r="B7984" s="463"/>
      <c r="C7984" s="463"/>
    </row>
    <row r="7985" spans="2:3" x14ac:dyDescent="0.25">
      <c r="B7985" s="463"/>
      <c r="C7985" s="463"/>
    </row>
    <row r="7986" spans="2:3" x14ac:dyDescent="0.25">
      <c r="B7986" s="463"/>
      <c r="C7986" s="463"/>
    </row>
    <row r="7987" spans="2:3" x14ac:dyDescent="0.25">
      <c r="B7987" s="463"/>
      <c r="C7987" s="463"/>
    </row>
    <row r="7988" spans="2:3" x14ac:dyDescent="0.25">
      <c r="B7988" s="463"/>
      <c r="C7988" s="463"/>
    </row>
    <row r="7989" spans="2:3" x14ac:dyDescent="0.25">
      <c r="B7989" s="463"/>
      <c r="C7989" s="463"/>
    </row>
    <row r="7990" spans="2:3" x14ac:dyDescent="0.25">
      <c r="B7990" s="463"/>
      <c r="C7990" s="463"/>
    </row>
    <row r="7991" spans="2:3" x14ac:dyDescent="0.25">
      <c r="B7991" s="463"/>
      <c r="C7991" s="463"/>
    </row>
    <row r="7992" spans="2:3" x14ac:dyDescent="0.25">
      <c r="B7992" s="463"/>
      <c r="C7992" s="463"/>
    </row>
    <row r="7993" spans="2:3" x14ac:dyDescent="0.25">
      <c r="B7993" s="463"/>
      <c r="C7993" s="463"/>
    </row>
    <row r="7994" spans="2:3" x14ac:dyDescent="0.25">
      <c r="B7994" s="463"/>
      <c r="C7994" s="463"/>
    </row>
    <row r="7995" spans="2:3" x14ac:dyDescent="0.25">
      <c r="B7995" s="463"/>
      <c r="C7995" s="463"/>
    </row>
    <row r="7996" spans="2:3" x14ac:dyDescent="0.25">
      <c r="B7996" s="463"/>
      <c r="C7996" s="463"/>
    </row>
    <row r="7997" spans="2:3" x14ac:dyDescent="0.25">
      <c r="B7997" s="463"/>
      <c r="C7997" s="463"/>
    </row>
    <row r="7998" spans="2:3" x14ac:dyDescent="0.25">
      <c r="B7998" s="463"/>
      <c r="C7998" s="463"/>
    </row>
    <row r="7999" spans="2:3" x14ac:dyDescent="0.25">
      <c r="B7999" s="463"/>
      <c r="C7999" s="463"/>
    </row>
    <row r="8000" spans="2:3" x14ac:dyDescent="0.25">
      <c r="B8000" s="463"/>
      <c r="C8000" s="463"/>
    </row>
    <row r="8001" spans="2:3" x14ac:dyDescent="0.25">
      <c r="B8001" s="463"/>
      <c r="C8001" s="463"/>
    </row>
    <row r="8002" spans="2:3" x14ac:dyDescent="0.25">
      <c r="B8002" s="463"/>
      <c r="C8002" s="463"/>
    </row>
    <row r="8003" spans="2:3" x14ac:dyDescent="0.25">
      <c r="B8003" s="463"/>
      <c r="C8003" s="463"/>
    </row>
    <row r="8004" spans="2:3" x14ac:dyDescent="0.25">
      <c r="B8004" s="463"/>
      <c r="C8004" s="463"/>
    </row>
    <row r="8005" spans="2:3" x14ac:dyDescent="0.25">
      <c r="B8005" s="463"/>
      <c r="C8005" s="463"/>
    </row>
    <row r="8006" spans="2:3" x14ac:dyDescent="0.25">
      <c r="B8006" s="463"/>
      <c r="C8006" s="463"/>
    </row>
    <row r="8007" spans="2:3" x14ac:dyDescent="0.25">
      <c r="B8007" s="463"/>
      <c r="C8007" s="463"/>
    </row>
    <row r="8008" spans="2:3" x14ac:dyDescent="0.25">
      <c r="B8008" s="463"/>
      <c r="C8008" s="463"/>
    </row>
    <row r="8009" spans="2:3" x14ac:dyDescent="0.25">
      <c r="B8009" s="463"/>
      <c r="C8009" s="463"/>
    </row>
    <row r="8010" spans="2:3" x14ac:dyDescent="0.25">
      <c r="B8010" s="463"/>
      <c r="C8010" s="463"/>
    </row>
    <row r="8011" spans="2:3" x14ac:dyDescent="0.25">
      <c r="B8011" s="463"/>
      <c r="C8011" s="463"/>
    </row>
    <row r="8012" spans="2:3" x14ac:dyDescent="0.25">
      <c r="B8012" s="463"/>
      <c r="C8012" s="463"/>
    </row>
    <row r="8013" spans="2:3" x14ac:dyDescent="0.25">
      <c r="B8013" s="463"/>
      <c r="C8013" s="463"/>
    </row>
    <row r="8014" spans="2:3" x14ac:dyDescent="0.25">
      <c r="B8014" s="463"/>
      <c r="C8014" s="463"/>
    </row>
    <row r="8015" spans="2:3" x14ac:dyDescent="0.25">
      <c r="B8015" s="463"/>
      <c r="C8015" s="463"/>
    </row>
    <row r="8016" spans="2:3" x14ac:dyDescent="0.25">
      <c r="B8016" s="463"/>
      <c r="C8016" s="463"/>
    </row>
    <row r="8017" spans="2:3" x14ac:dyDescent="0.25">
      <c r="B8017" s="463"/>
      <c r="C8017" s="463"/>
    </row>
    <row r="8018" spans="2:3" x14ac:dyDescent="0.25">
      <c r="B8018" s="463"/>
      <c r="C8018" s="463"/>
    </row>
    <row r="8019" spans="2:3" x14ac:dyDescent="0.25">
      <c r="B8019" s="463"/>
      <c r="C8019" s="463"/>
    </row>
    <row r="8020" spans="2:3" x14ac:dyDescent="0.25">
      <c r="B8020" s="463"/>
      <c r="C8020" s="463"/>
    </row>
    <row r="8021" spans="2:3" x14ac:dyDescent="0.25">
      <c r="B8021" s="463"/>
      <c r="C8021" s="463"/>
    </row>
    <row r="8022" spans="2:3" x14ac:dyDescent="0.25">
      <c r="B8022" s="463"/>
      <c r="C8022" s="463"/>
    </row>
    <row r="8023" spans="2:3" x14ac:dyDescent="0.25">
      <c r="B8023" s="463"/>
      <c r="C8023" s="463"/>
    </row>
    <row r="8024" spans="2:3" x14ac:dyDescent="0.25">
      <c r="B8024" s="463"/>
      <c r="C8024" s="463"/>
    </row>
    <row r="8025" spans="2:3" x14ac:dyDescent="0.25">
      <c r="B8025" s="463"/>
      <c r="C8025" s="463"/>
    </row>
    <row r="8026" spans="2:3" x14ac:dyDescent="0.25">
      <c r="B8026" s="463"/>
      <c r="C8026" s="463"/>
    </row>
    <row r="8027" spans="2:3" x14ac:dyDescent="0.25">
      <c r="B8027" s="463"/>
      <c r="C8027" s="463"/>
    </row>
    <row r="8028" spans="2:3" x14ac:dyDescent="0.25">
      <c r="B8028" s="463"/>
      <c r="C8028" s="463"/>
    </row>
    <row r="8029" spans="2:3" x14ac:dyDescent="0.25">
      <c r="B8029" s="463"/>
      <c r="C8029" s="463"/>
    </row>
    <row r="8030" spans="2:3" x14ac:dyDescent="0.25">
      <c r="B8030" s="463"/>
      <c r="C8030" s="463"/>
    </row>
    <row r="8031" spans="2:3" x14ac:dyDescent="0.25">
      <c r="B8031" s="463"/>
      <c r="C8031" s="463"/>
    </row>
    <row r="8032" spans="2:3" x14ac:dyDescent="0.25">
      <c r="B8032" s="463"/>
      <c r="C8032" s="463"/>
    </row>
    <row r="8033" spans="2:3" x14ac:dyDescent="0.25">
      <c r="B8033" s="463"/>
      <c r="C8033" s="463"/>
    </row>
    <row r="8034" spans="2:3" x14ac:dyDescent="0.25">
      <c r="B8034" s="463"/>
      <c r="C8034" s="463"/>
    </row>
    <row r="8035" spans="2:3" x14ac:dyDescent="0.25">
      <c r="B8035" s="463"/>
      <c r="C8035" s="463"/>
    </row>
    <row r="8036" spans="2:3" x14ac:dyDescent="0.25">
      <c r="B8036" s="463"/>
      <c r="C8036" s="463"/>
    </row>
    <row r="8037" spans="2:3" x14ac:dyDescent="0.25">
      <c r="B8037" s="463"/>
      <c r="C8037" s="463"/>
    </row>
    <row r="8038" spans="2:3" x14ac:dyDescent="0.25">
      <c r="B8038" s="463"/>
      <c r="C8038" s="463"/>
    </row>
    <row r="8039" spans="2:3" x14ac:dyDescent="0.25">
      <c r="B8039" s="463"/>
      <c r="C8039" s="463"/>
    </row>
    <row r="8040" spans="2:3" x14ac:dyDescent="0.25">
      <c r="B8040" s="463"/>
      <c r="C8040" s="463"/>
    </row>
    <row r="8041" spans="2:3" x14ac:dyDescent="0.25">
      <c r="B8041" s="463"/>
      <c r="C8041" s="463"/>
    </row>
    <row r="8042" spans="2:3" x14ac:dyDescent="0.25">
      <c r="B8042" s="463"/>
      <c r="C8042" s="463"/>
    </row>
    <row r="8043" spans="2:3" x14ac:dyDescent="0.25">
      <c r="B8043" s="463"/>
      <c r="C8043" s="463"/>
    </row>
    <row r="8044" spans="2:3" x14ac:dyDescent="0.25">
      <c r="B8044" s="463"/>
      <c r="C8044" s="463"/>
    </row>
    <row r="8045" spans="2:3" x14ac:dyDescent="0.25">
      <c r="B8045" s="463"/>
      <c r="C8045" s="463"/>
    </row>
    <row r="8046" spans="2:3" x14ac:dyDescent="0.25">
      <c r="B8046" s="463"/>
      <c r="C8046" s="463"/>
    </row>
    <row r="8047" spans="2:3" x14ac:dyDescent="0.25">
      <c r="B8047" s="463"/>
      <c r="C8047" s="463"/>
    </row>
    <row r="8048" spans="2:3" x14ac:dyDescent="0.25">
      <c r="B8048" s="463"/>
      <c r="C8048" s="463"/>
    </row>
    <row r="8049" spans="2:3" x14ac:dyDescent="0.25">
      <c r="B8049" s="463"/>
      <c r="C8049" s="463"/>
    </row>
    <row r="8050" spans="2:3" x14ac:dyDescent="0.25">
      <c r="B8050" s="463"/>
      <c r="C8050" s="463"/>
    </row>
    <row r="8051" spans="2:3" x14ac:dyDescent="0.25">
      <c r="B8051" s="463"/>
      <c r="C8051" s="463"/>
    </row>
    <row r="8052" spans="2:3" x14ac:dyDescent="0.25">
      <c r="B8052" s="463"/>
      <c r="C8052" s="463"/>
    </row>
    <row r="8053" spans="2:3" x14ac:dyDescent="0.25">
      <c r="B8053" s="463"/>
      <c r="C8053" s="463"/>
    </row>
    <row r="8054" spans="2:3" x14ac:dyDescent="0.25">
      <c r="B8054" s="463"/>
      <c r="C8054" s="463"/>
    </row>
    <row r="8055" spans="2:3" x14ac:dyDescent="0.25">
      <c r="B8055" s="463"/>
      <c r="C8055" s="463"/>
    </row>
    <row r="8056" spans="2:3" x14ac:dyDescent="0.25">
      <c r="B8056" s="463"/>
      <c r="C8056" s="463"/>
    </row>
    <row r="8057" spans="2:3" x14ac:dyDescent="0.25">
      <c r="B8057" s="463"/>
      <c r="C8057" s="463"/>
    </row>
    <row r="8058" spans="2:3" x14ac:dyDescent="0.25">
      <c r="B8058" s="463"/>
      <c r="C8058" s="463"/>
    </row>
    <row r="8059" spans="2:3" x14ac:dyDescent="0.25">
      <c r="B8059" s="463"/>
      <c r="C8059" s="463"/>
    </row>
    <row r="8060" spans="2:3" x14ac:dyDescent="0.25">
      <c r="B8060" s="463"/>
      <c r="C8060" s="463"/>
    </row>
    <row r="8061" spans="2:3" x14ac:dyDescent="0.25">
      <c r="B8061" s="463"/>
      <c r="C8061" s="463"/>
    </row>
    <row r="8062" spans="2:3" x14ac:dyDescent="0.25">
      <c r="B8062" s="463"/>
      <c r="C8062" s="463"/>
    </row>
    <row r="8063" spans="2:3" x14ac:dyDescent="0.25">
      <c r="B8063" s="463"/>
      <c r="C8063" s="463"/>
    </row>
    <row r="8064" spans="2:3" x14ac:dyDescent="0.25">
      <c r="B8064" s="463"/>
      <c r="C8064" s="463"/>
    </row>
    <row r="8065" spans="2:3" x14ac:dyDescent="0.25">
      <c r="B8065" s="463"/>
      <c r="C8065" s="463"/>
    </row>
    <row r="8066" spans="2:3" x14ac:dyDescent="0.25">
      <c r="B8066" s="463"/>
      <c r="C8066" s="463"/>
    </row>
    <row r="8067" spans="2:3" x14ac:dyDescent="0.25">
      <c r="B8067" s="463"/>
      <c r="C8067" s="463"/>
    </row>
    <row r="8068" spans="2:3" x14ac:dyDescent="0.25">
      <c r="B8068" s="463"/>
      <c r="C8068" s="463"/>
    </row>
    <row r="8069" spans="2:3" x14ac:dyDescent="0.25">
      <c r="B8069" s="463"/>
      <c r="C8069" s="463"/>
    </row>
    <row r="8070" spans="2:3" x14ac:dyDescent="0.25">
      <c r="B8070" s="463"/>
      <c r="C8070" s="463"/>
    </row>
    <row r="8071" spans="2:3" x14ac:dyDescent="0.25">
      <c r="B8071" s="463"/>
      <c r="C8071" s="463"/>
    </row>
    <row r="8072" spans="2:3" x14ac:dyDescent="0.25">
      <c r="B8072" s="463"/>
      <c r="C8072" s="463"/>
    </row>
    <row r="8073" spans="2:3" x14ac:dyDescent="0.25">
      <c r="B8073" s="463"/>
      <c r="C8073" s="463"/>
    </row>
    <row r="8074" spans="2:3" x14ac:dyDescent="0.25">
      <c r="B8074" s="463"/>
      <c r="C8074" s="463"/>
    </row>
    <row r="8075" spans="2:3" x14ac:dyDescent="0.25">
      <c r="B8075" s="463"/>
      <c r="C8075" s="463"/>
    </row>
    <row r="8076" spans="2:3" x14ac:dyDescent="0.25">
      <c r="B8076" s="463"/>
      <c r="C8076" s="463"/>
    </row>
    <row r="8077" spans="2:3" x14ac:dyDescent="0.25">
      <c r="B8077" s="463"/>
      <c r="C8077" s="463"/>
    </row>
    <row r="8078" spans="2:3" x14ac:dyDescent="0.25">
      <c r="B8078" s="463"/>
      <c r="C8078" s="463"/>
    </row>
    <row r="8079" spans="2:3" x14ac:dyDescent="0.25">
      <c r="B8079" s="463"/>
      <c r="C8079" s="463"/>
    </row>
    <row r="8080" spans="2:3" x14ac:dyDescent="0.25">
      <c r="B8080" s="463"/>
      <c r="C8080" s="463"/>
    </row>
    <row r="8081" spans="2:3" x14ac:dyDescent="0.25">
      <c r="B8081" s="463"/>
      <c r="C8081" s="463"/>
    </row>
    <row r="8082" spans="2:3" x14ac:dyDescent="0.25">
      <c r="B8082" s="463"/>
      <c r="C8082" s="463"/>
    </row>
    <row r="8083" spans="2:3" x14ac:dyDescent="0.25">
      <c r="B8083" s="463"/>
      <c r="C8083" s="463"/>
    </row>
    <row r="8084" spans="2:3" x14ac:dyDescent="0.25">
      <c r="B8084" s="463"/>
      <c r="C8084" s="463"/>
    </row>
    <row r="8085" spans="2:3" x14ac:dyDescent="0.25">
      <c r="B8085" s="463"/>
      <c r="C8085" s="463"/>
    </row>
    <row r="8086" spans="2:3" x14ac:dyDescent="0.25">
      <c r="B8086" s="463"/>
      <c r="C8086" s="463"/>
    </row>
    <row r="8087" spans="2:3" x14ac:dyDescent="0.25">
      <c r="B8087" s="463"/>
      <c r="C8087" s="463"/>
    </row>
    <row r="8088" spans="2:3" x14ac:dyDescent="0.25">
      <c r="B8088" s="463"/>
      <c r="C8088" s="463"/>
    </row>
    <row r="8089" spans="2:3" x14ac:dyDescent="0.25">
      <c r="B8089" s="463"/>
      <c r="C8089" s="463"/>
    </row>
    <row r="8090" spans="2:3" x14ac:dyDescent="0.25">
      <c r="B8090" s="463"/>
      <c r="C8090" s="463"/>
    </row>
    <row r="8091" spans="2:3" x14ac:dyDescent="0.25">
      <c r="B8091" s="463"/>
      <c r="C8091" s="463"/>
    </row>
    <row r="8092" spans="2:3" x14ac:dyDescent="0.25">
      <c r="B8092" s="463"/>
      <c r="C8092" s="463"/>
    </row>
    <row r="8093" spans="2:3" x14ac:dyDescent="0.25">
      <c r="B8093" s="463"/>
      <c r="C8093" s="463"/>
    </row>
    <row r="8094" spans="2:3" x14ac:dyDescent="0.25">
      <c r="B8094" s="463"/>
      <c r="C8094" s="463"/>
    </row>
    <row r="8095" spans="2:3" x14ac:dyDescent="0.25">
      <c r="B8095" s="463"/>
      <c r="C8095" s="463"/>
    </row>
    <row r="8096" spans="2:3" x14ac:dyDescent="0.25">
      <c r="B8096" s="463"/>
      <c r="C8096" s="463"/>
    </row>
    <row r="8097" spans="2:3" x14ac:dyDescent="0.25">
      <c r="B8097" s="463"/>
      <c r="C8097" s="463"/>
    </row>
    <row r="8098" spans="2:3" x14ac:dyDescent="0.25">
      <c r="B8098" s="463"/>
      <c r="C8098" s="463"/>
    </row>
    <row r="8099" spans="2:3" x14ac:dyDescent="0.25">
      <c r="B8099" s="463"/>
      <c r="C8099" s="463"/>
    </row>
    <row r="8100" spans="2:3" x14ac:dyDescent="0.25">
      <c r="B8100" s="463"/>
      <c r="C8100" s="463"/>
    </row>
    <row r="8101" spans="2:3" x14ac:dyDescent="0.25">
      <c r="B8101" s="463"/>
      <c r="C8101" s="463"/>
    </row>
    <row r="8102" spans="2:3" x14ac:dyDescent="0.25">
      <c r="B8102" s="463"/>
      <c r="C8102" s="463"/>
    </row>
    <row r="8103" spans="2:3" x14ac:dyDescent="0.25">
      <c r="B8103" s="463"/>
      <c r="C8103" s="463"/>
    </row>
    <row r="8104" spans="2:3" x14ac:dyDescent="0.25">
      <c r="B8104" s="463"/>
      <c r="C8104" s="463"/>
    </row>
    <row r="8105" spans="2:3" x14ac:dyDescent="0.25">
      <c r="B8105" s="463"/>
      <c r="C8105" s="463"/>
    </row>
    <row r="8106" spans="2:3" x14ac:dyDescent="0.25">
      <c r="B8106" s="463"/>
      <c r="C8106" s="463"/>
    </row>
    <row r="8107" spans="2:3" x14ac:dyDescent="0.25">
      <c r="B8107" s="463"/>
      <c r="C8107" s="463"/>
    </row>
    <row r="8108" spans="2:3" x14ac:dyDescent="0.25">
      <c r="B8108" s="463"/>
      <c r="C8108" s="463"/>
    </row>
    <row r="8109" spans="2:3" x14ac:dyDescent="0.25">
      <c r="B8109" s="463"/>
      <c r="C8109" s="463"/>
    </row>
    <row r="8110" spans="2:3" x14ac:dyDescent="0.25">
      <c r="B8110" s="463"/>
      <c r="C8110" s="463"/>
    </row>
    <row r="8111" spans="2:3" x14ac:dyDescent="0.25">
      <c r="B8111" s="463"/>
      <c r="C8111" s="463"/>
    </row>
    <row r="8112" spans="2:3" x14ac:dyDescent="0.25">
      <c r="B8112" s="463"/>
      <c r="C8112" s="463"/>
    </row>
    <row r="8113" spans="2:3" x14ac:dyDescent="0.25">
      <c r="B8113" s="463"/>
      <c r="C8113" s="463"/>
    </row>
    <row r="8114" spans="2:3" x14ac:dyDescent="0.25">
      <c r="B8114" s="463"/>
      <c r="C8114" s="463"/>
    </row>
    <row r="8115" spans="2:3" x14ac:dyDescent="0.25">
      <c r="B8115" s="463"/>
      <c r="C8115" s="463"/>
    </row>
    <row r="8116" spans="2:3" x14ac:dyDescent="0.25">
      <c r="B8116" s="463"/>
      <c r="C8116" s="463"/>
    </row>
    <row r="8117" spans="2:3" x14ac:dyDescent="0.25">
      <c r="B8117" s="463"/>
      <c r="C8117" s="463"/>
    </row>
    <row r="8118" spans="2:3" x14ac:dyDescent="0.25">
      <c r="B8118" s="463"/>
      <c r="C8118" s="463"/>
    </row>
    <row r="8119" spans="2:3" x14ac:dyDescent="0.25">
      <c r="B8119" s="463"/>
      <c r="C8119" s="463"/>
    </row>
    <row r="8120" spans="2:3" x14ac:dyDescent="0.25">
      <c r="B8120" s="463"/>
      <c r="C8120" s="463"/>
    </row>
    <row r="8121" spans="2:3" x14ac:dyDescent="0.25">
      <c r="B8121" s="463"/>
      <c r="C8121" s="463"/>
    </row>
    <row r="8122" spans="2:3" x14ac:dyDescent="0.25">
      <c r="B8122" s="463"/>
      <c r="C8122" s="463"/>
    </row>
    <row r="8123" spans="2:3" x14ac:dyDescent="0.25">
      <c r="B8123" s="463"/>
      <c r="C8123" s="463"/>
    </row>
    <row r="8124" spans="2:3" x14ac:dyDescent="0.25">
      <c r="B8124" s="463"/>
      <c r="C8124" s="463"/>
    </row>
    <row r="8125" spans="2:3" x14ac:dyDescent="0.25">
      <c r="B8125" s="463"/>
      <c r="C8125" s="463"/>
    </row>
    <row r="8126" spans="2:3" x14ac:dyDescent="0.25">
      <c r="B8126" s="463"/>
      <c r="C8126" s="463"/>
    </row>
    <row r="8127" spans="2:3" x14ac:dyDescent="0.25">
      <c r="B8127" s="463"/>
      <c r="C8127" s="463"/>
    </row>
    <row r="8128" spans="2:3" x14ac:dyDescent="0.25">
      <c r="B8128" s="463"/>
      <c r="C8128" s="463"/>
    </row>
    <row r="8129" spans="2:3" x14ac:dyDescent="0.25">
      <c r="B8129" s="463"/>
      <c r="C8129" s="463"/>
    </row>
    <row r="8130" spans="2:3" x14ac:dyDescent="0.25">
      <c r="B8130" s="463"/>
      <c r="C8130" s="463"/>
    </row>
    <row r="8131" spans="2:3" x14ac:dyDescent="0.25">
      <c r="B8131" s="463"/>
      <c r="C8131" s="463"/>
    </row>
    <row r="8132" spans="2:3" x14ac:dyDescent="0.25">
      <c r="B8132" s="463"/>
      <c r="C8132" s="463"/>
    </row>
    <row r="8133" spans="2:3" x14ac:dyDescent="0.25">
      <c r="B8133" s="463"/>
      <c r="C8133" s="463"/>
    </row>
    <row r="8134" spans="2:3" x14ac:dyDescent="0.25">
      <c r="B8134" s="463"/>
      <c r="C8134" s="463"/>
    </row>
    <row r="8135" spans="2:3" x14ac:dyDescent="0.25">
      <c r="B8135" s="463"/>
      <c r="C8135" s="463"/>
    </row>
    <row r="8136" spans="2:3" x14ac:dyDescent="0.25">
      <c r="B8136" s="463"/>
      <c r="C8136" s="463"/>
    </row>
    <row r="8137" spans="2:3" x14ac:dyDescent="0.25">
      <c r="B8137" s="463"/>
      <c r="C8137" s="463"/>
    </row>
    <row r="8138" spans="2:3" x14ac:dyDescent="0.25">
      <c r="B8138" s="463"/>
      <c r="C8138" s="463"/>
    </row>
    <row r="8139" spans="2:3" x14ac:dyDescent="0.25">
      <c r="B8139" s="463"/>
      <c r="C8139" s="463"/>
    </row>
    <row r="8140" spans="2:3" x14ac:dyDescent="0.25">
      <c r="B8140" s="463"/>
      <c r="C8140" s="463"/>
    </row>
    <row r="8141" spans="2:3" x14ac:dyDescent="0.25">
      <c r="B8141" s="463"/>
      <c r="C8141" s="463"/>
    </row>
    <row r="8142" spans="2:3" x14ac:dyDescent="0.25">
      <c r="B8142" s="463"/>
      <c r="C8142" s="463"/>
    </row>
    <row r="8143" spans="2:3" x14ac:dyDescent="0.25">
      <c r="B8143" s="463"/>
      <c r="C8143" s="463"/>
    </row>
    <row r="8144" spans="2:3" x14ac:dyDescent="0.25">
      <c r="B8144" s="463"/>
      <c r="C8144" s="463"/>
    </row>
    <row r="8145" spans="2:3" x14ac:dyDescent="0.25">
      <c r="B8145" s="463"/>
      <c r="C8145" s="463"/>
    </row>
    <row r="8146" spans="2:3" x14ac:dyDescent="0.25">
      <c r="B8146" s="463"/>
      <c r="C8146" s="463"/>
    </row>
    <row r="8147" spans="2:3" x14ac:dyDescent="0.25">
      <c r="B8147" s="463"/>
      <c r="C8147" s="463"/>
    </row>
    <row r="8148" spans="2:3" x14ac:dyDescent="0.25">
      <c r="B8148" s="463"/>
      <c r="C8148" s="463"/>
    </row>
    <row r="8149" spans="2:3" x14ac:dyDescent="0.25">
      <c r="B8149" s="463"/>
      <c r="C8149" s="463"/>
    </row>
    <row r="8150" spans="2:3" x14ac:dyDescent="0.25">
      <c r="B8150" s="463"/>
      <c r="C8150" s="463"/>
    </row>
    <row r="8151" spans="2:3" x14ac:dyDescent="0.25">
      <c r="B8151" s="463"/>
      <c r="C8151" s="463"/>
    </row>
    <row r="8152" spans="2:3" x14ac:dyDescent="0.25">
      <c r="B8152" s="463"/>
      <c r="C8152" s="463"/>
    </row>
    <row r="8153" spans="2:3" x14ac:dyDescent="0.25">
      <c r="B8153" s="463"/>
      <c r="C8153" s="463"/>
    </row>
    <row r="8154" spans="2:3" x14ac:dyDescent="0.25">
      <c r="B8154" s="463"/>
      <c r="C8154" s="463"/>
    </row>
    <row r="8155" spans="2:3" x14ac:dyDescent="0.25">
      <c r="B8155" s="463"/>
      <c r="C8155" s="463"/>
    </row>
    <row r="8156" spans="2:3" x14ac:dyDescent="0.25">
      <c r="B8156" s="463"/>
      <c r="C8156" s="463"/>
    </row>
    <row r="8157" spans="2:3" x14ac:dyDescent="0.25">
      <c r="B8157" s="463"/>
      <c r="C8157" s="463"/>
    </row>
    <row r="8158" spans="2:3" x14ac:dyDescent="0.25">
      <c r="B8158" s="463"/>
      <c r="C8158" s="463"/>
    </row>
    <row r="8159" spans="2:3" x14ac:dyDescent="0.25">
      <c r="B8159" s="463"/>
      <c r="C8159" s="463"/>
    </row>
    <row r="8160" spans="2:3" x14ac:dyDescent="0.25">
      <c r="B8160" s="463"/>
      <c r="C8160" s="463"/>
    </row>
    <row r="8161" spans="2:3" x14ac:dyDescent="0.25">
      <c r="B8161" s="463"/>
      <c r="C8161" s="463"/>
    </row>
    <row r="8162" spans="2:3" x14ac:dyDescent="0.25">
      <c r="B8162" s="463"/>
      <c r="C8162" s="463"/>
    </row>
    <row r="8163" spans="2:3" x14ac:dyDescent="0.25">
      <c r="B8163" s="463"/>
      <c r="C8163" s="463"/>
    </row>
    <row r="8164" spans="2:3" x14ac:dyDescent="0.25">
      <c r="B8164" s="463"/>
      <c r="C8164" s="463"/>
    </row>
    <row r="8165" spans="2:3" x14ac:dyDescent="0.25">
      <c r="B8165" s="463"/>
      <c r="C8165" s="463"/>
    </row>
    <row r="8166" spans="2:3" x14ac:dyDescent="0.25">
      <c r="B8166" s="463"/>
      <c r="C8166" s="463"/>
    </row>
    <row r="8167" spans="2:3" x14ac:dyDescent="0.25">
      <c r="B8167" s="463"/>
      <c r="C8167" s="463"/>
    </row>
    <row r="8168" spans="2:3" x14ac:dyDescent="0.25">
      <c r="B8168" s="463"/>
      <c r="C8168" s="463"/>
    </row>
    <row r="8169" spans="2:3" x14ac:dyDescent="0.25">
      <c r="B8169" s="463"/>
      <c r="C8169" s="463"/>
    </row>
    <row r="8170" spans="2:3" x14ac:dyDescent="0.25">
      <c r="B8170" s="463"/>
      <c r="C8170" s="463"/>
    </row>
    <row r="8171" spans="2:3" x14ac:dyDescent="0.25">
      <c r="B8171" s="463"/>
      <c r="C8171" s="463"/>
    </row>
    <row r="8172" spans="2:3" x14ac:dyDescent="0.25">
      <c r="B8172" s="463"/>
      <c r="C8172" s="463"/>
    </row>
    <row r="8173" spans="2:3" x14ac:dyDescent="0.25">
      <c r="B8173" s="463"/>
      <c r="C8173" s="463"/>
    </row>
    <row r="8174" spans="2:3" x14ac:dyDescent="0.25">
      <c r="B8174" s="463"/>
      <c r="C8174" s="463"/>
    </row>
    <row r="8175" spans="2:3" x14ac:dyDescent="0.25">
      <c r="B8175" s="463"/>
      <c r="C8175" s="463"/>
    </row>
    <row r="8176" spans="2:3" x14ac:dyDescent="0.25">
      <c r="B8176" s="463"/>
      <c r="C8176" s="463"/>
    </row>
    <row r="8177" spans="2:3" x14ac:dyDescent="0.25">
      <c r="B8177" s="463"/>
      <c r="C8177" s="463"/>
    </row>
    <row r="8178" spans="2:3" x14ac:dyDescent="0.25">
      <c r="B8178" s="463"/>
      <c r="C8178" s="463"/>
    </row>
    <row r="8179" spans="2:3" x14ac:dyDescent="0.25">
      <c r="B8179" s="463"/>
      <c r="C8179" s="463"/>
    </row>
    <row r="8180" spans="2:3" x14ac:dyDescent="0.25">
      <c r="B8180" s="463"/>
      <c r="C8180" s="463"/>
    </row>
    <row r="8181" spans="2:3" x14ac:dyDescent="0.25">
      <c r="B8181" s="463"/>
      <c r="C8181" s="463"/>
    </row>
    <row r="8182" spans="2:3" x14ac:dyDescent="0.25">
      <c r="B8182" s="463"/>
      <c r="C8182" s="463"/>
    </row>
    <row r="8183" spans="2:3" x14ac:dyDescent="0.25">
      <c r="B8183" s="463"/>
      <c r="C8183" s="463"/>
    </row>
    <row r="8184" spans="2:3" x14ac:dyDescent="0.25">
      <c r="B8184" s="463"/>
      <c r="C8184" s="463"/>
    </row>
    <row r="8185" spans="2:3" x14ac:dyDescent="0.25">
      <c r="B8185" s="463"/>
      <c r="C8185" s="463"/>
    </row>
    <row r="8186" spans="2:3" x14ac:dyDescent="0.25">
      <c r="B8186" s="463"/>
      <c r="C8186" s="463"/>
    </row>
    <row r="8187" spans="2:3" x14ac:dyDescent="0.25">
      <c r="B8187" s="463"/>
      <c r="C8187" s="463"/>
    </row>
    <row r="8188" spans="2:3" x14ac:dyDescent="0.25">
      <c r="B8188" s="463"/>
      <c r="C8188" s="463"/>
    </row>
    <row r="8189" spans="2:3" x14ac:dyDescent="0.25">
      <c r="B8189" s="463"/>
      <c r="C8189" s="463"/>
    </row>
    <row r="8190" spans="2:3" x14ac:dyDescent="0.25">
      <c r="B8190" s="463"/>
      <c r="C8190" s="463"/>
    </row>
    <row r="8191" spans="2:3" x14ac:dyDescent="0.25">
      <c r="B8191" s="463"/>
      <c r="C8191" s="463"/>
    </row>
    <row r="8192" spans="2:3" x14ac:dyDescent="0.25">
      <c r="B8192" s="463"/>
      <c r="C8192" s="463"/>
    </row>
    <row r="8193" spans="2:3" x14ac:dyDescent="0.25">
      <c r="B8193" s="463"/>
      <c r="C8193" s="463"/>
    </row>
    <row r="8194" spans="2:3" x14ac:dyDescent="0.25">
      <c r="B8194" s="463"/>
      <c r="C8194" s="463"/>
    </row>
    <row r="8195" spans="2:3" x14ac:dyDescent="0.25">
      <c r="B8195" s="463"/>
      <c r="C8195" s="463"/>
    </row>
    <row r="8196" spans="2:3" x14ac:dyDescent="0.25">
      <c r="B8196" s="463"/>
      <c r="C8196" s="463"/>
    </row>
    <row r="8197" spans="2:3" x14ac:dyDescent="0.25">
      <c r="B8197" s="463"/>
      <c r="C8197" s="463"/>
    </row>
    <row r="8198" spans="2:3" x14ac:dyDescent="0.25">
      <c r="B8198" s="463"/>
      <c r="C8198" s="463"/>
    </row>
    <row r="8199" spans="2:3" x14ac:dyDescent="0.25">
      <c r="B8199" s="463"/>
      <c r="C8199" s="463"/>
    </row>
    <row r="8200" spans="2:3" x14ac:dyDescent="0.25">
      <c r="B8200" s="463"/>
      <c r="C8200" s="463"/>
    </row>
    <row r="8201" spans="2:3" x14ac:dyDescent="0.25">
      <c r="B8201" s="463"/>
      <c r="C8201" s="463"/>
    </row>
    <row r="8202" spans="2:3" x14ac:dyDescent="0.25">
      <c r="B8202" s="463"/>
      <c r="C8202" s="463"/>
    </row>
    <row r="8203" spans="2:3" x14ac:dyDescent="0.25">
      <c r="B8203" s="463"/>
      <c r="C8203" s="463"/>
    </row>
    <row r="8204" spans="2:3" x14ac:dyDescent="0.25">
      <c r="B8204" s="463"/>
      <c r="C8204" s="463"/>
    </row>
    <row r="8205" spans="2:3" x14ac:dyDescent="0.25">
      <c r="B8205" s="463"/>
      <c r="C8205" s="463"/>
    </row>
    <row r="8206" spans="2:3" x14ac:dyDescent="0.25">
      <c r="B8206" s="463"/>
      <c r="C8206" s="463"/>
    </row>
    <row r="8207" spans="2:3" x14ac:dyDescent="0.25">
      <c r="B8207" s="463"/>
      <c r="C8207" s="463"/>
    </row>
    <row r="8208" spans="2:3" x14ac:dyDescent="0.25">
      <c r="B8208" s="463"/>
      <c r="C8208" s="463"/>
    </row>
    <row r="8209" spans="2:3" x14ac:dyDescent="0.25">
      <c r="B8209" s="463"/>
      <c r="C8209" s="463"/>
    </row>
    <row r="8210" spans="2:3" x14ac:dyDescent="0.25">
      <c r="B8210" s="463"/>
      <c r="C8210" s="463"/>
    </row>
    <row r="8211" spans="2:3" x14ac:dyDescent="0.25">
      <c r="B8211" s="463"/>
      <c r="C8211" s="463"/>
    </row>
    <row r="8212" spans="2:3" x14ac:dyDescent="0.25">
      <c r="B8212" s="463"/>
      <c r="C8212" s="463"/>
    </row>
    <row r="8213" spans="2:3" x14ac:dyDescent="0.25">
      <c r="B8213" s="463"/>
      <c r="C8213" s="463"/>
    </row>
    <row r="8214" spans="2:3" x14ac:dyDescent="0.25">
      <c r="B8214" s="463"/>
      <c r="C8214" s="463"/>
    </row>
    <row r="8215" spans="2:3" x14ac:dyDescent="0.25">
      <c r="B8215" s="463"/>
      <c r="C8215" s="463"/>
    </row>
    <row r="8216" spans="2:3" x14ac:dyDescent="0.25">
      <c r="B8216" s="463"/>
      <c r="C8216" s="463"/>
    </row>
    <row r="8217" spans="2:3" x14ac:dyDescent="0.25">
      <c r="B8217" s="463"/>
      <c r="C8217" s="463"/>
    </row>
    <row r="8218" spans="2:3" x14ac:dyDescent="0.25">
      <c r="B8218" s="463"/>
      <c r="C8218" s="463"/>
    </row>
    <row r="8219" spans="2:3" x14ac:dyDescent="0.25">
      <c r="B8219" s="463"/>
      <c r="C8219" s="463"/>
    </row>
    <row r="8220" spans="2:3" x14ac:dyDescent="0.25">
      <c r="B8220" s="463"/>
      <c r="C8220" s="463"/>
    </row>
    <row r="8221" spans="2:3" x14ac:dyDescent="0.25">
      <c r="B8221" s="463"/>
      <c r="C8221" s="463"/>
    </row>
    <row r="8222" spans="2:3" x14ac:dyDescent="0.25">
      <c r="B8222" s="463"/>
      <c r="C8222" s="463"/>
    </row>
    <row r="8223" spans="2:3" x14ac:dyDescent="0.25">
      <c r="B8223" s="463"/>
      <c r="C8223" s="463"/>
    </row>
    <row r="8224" spans="2:3" x14ac:dyDescent="0.25">
      <c r="B8224" s="463"/>
      <c r="C8224" s="463"/>
    </row>
    <row r="8225" spans="2:3" x14ac:dyDescent="0.25">
      <c r="B8225" s="463"/>
      <c r="C8225" s="463"/>
    </row>
    <row r="8226" spans="2:3" x14ac:dyDescent="0.25">
      <c r="B8226" s="463"/>
      <c r="C8226" s="463"/>
    </row>
    <row r="8227" spans="2:3" x14ac:dyDescent="0.25">
      <c r="B8227" s="463"/>
      <c r="C8227" s="463"/>
    </row>
    <row r="8228" spans="2:3" x14ac:dyDescent="0.25">
      <c r="B8228" s="463"/>
      <c r="C8228" s="463"/>
    </row>
    <row r="8229" spans="2:3" x14ac:dyDescent="0.25">
      <c r="B8229" s="463"/>
      <c r="C8229" s="463"/>
    </row>
    <row r="8230" spans="2:3" x14ac:dyDescent="0.25">
      <c r="B8230" s="463"/>
      <c r="C8230" s="463"/>
    </row>
    <row r="8231" spans="2:3" x14ac:dyDescent="0.25">
      <c r="B8231" s="463"/>
      <c r="C8231" s="463"/>
    </row>
    <row r="8232" spans="2:3" x14ac:dyDescent="0.25">
      <c r="B8232" s="463"/>
      <c r="C8232" s="463"/>
    </row>
    <row r="8233" spans="2:3" x14ac:dyDescent="0.25">
      <c r="B8233" s="463"/>
      <c r="C8233" s="463"/>
    </row>
    <row r="8234" spans="2:3" x14ac:dyDescent="0.25">
      <c r="B8234" s="463"/>
      <c r="C8234" s="463"/>
    </row>
    <row r="8235" spans="2:3" x14ac:dyDescent="0.25">
      <c r="B8235" s="463"/>
      <c r="C8235" s="463"/>
    </row>
    <row r="8236" spans="2:3" x14ac:dyDescent="0.25">
      <c r="B8236" s="463"/>
      <c r="C8236" s="463"/>
    </row>
    <row r="8237" spans="2:3" x14ac:dyDescent="0.25">
      <c r="B8237" s="463"/>
      <c r="C8237" s="463"/>
    </row>
    <row r="8238" spans="2:3" x14ac:dyDescent="0.25">
      <c r="B8238" s="463"/>
      <c r="C8238" s="463"/>
    </row>
    <row r="8239" spans="2:3" x14ac:dyDescent="0.25">
      <c r="B8239" s="463"/>
      <c r="C8239" s="463"/>
    </row>
    <row r="8240" spans="2:3" x14ac:dyDescent="0.25">
      <c r="B8240" s="463"/>
      <c r="C8240" s="463"/>
    </row>
    <row r="8241" spans="2:3" x14ac:dyDescent="0.25">
      <c r="B8241" s="463"/>
      <c r="C8241" s="463"/>
    </row>
    <row r="8242" spans="2:3" x14ac:dyDescent="0.25">
      <c r="B8242" s="463"/>
      <c r="C8242" s="463"/>
    </row>
    <row r="8243" spans="2:3" x14ac:dyDescent="0.25">
      <c r="B8243" s="463"/>
      <c r="C8243" s="463"/>
    </row>
    <row r="8244" spans="2:3" x14ac:dyDescent="0.25">
      <c r="B8244" s="463"/>
      <c r="C8244" s="463"/>
    </row>
    <row r="8245" spans="2:3" x14ac:dyDescent="0.25">
      <c r="B8245" s="463"/>
      <c r="C8245" s="463"/>
    </row>
    <row r="8246" spans="2:3" x14ac:dyDescent="0.25">
      <c r="B8246" s="463"/>
      <c r="C8246" s="463"/>
    </row>
    <row r="8247" spans="2:3" x14ac:dyDescent="0.25">
      <c r="B8247" s="463"/>
      <c r="C8247" s="463"/>
    </row>
    <row r="8248" spans="2:3" x14ac:dyDescent="0.25">
      <c r="B8248" s="463"/>
      <c r="C8248" s="463"/>
    </row>
    <row r="8249" spans="2:3" x14ac:dyDescent="0.25">
      <c r="B8249" s="463"/>
      <c r="C8249" s="463"/>
    </row>
    <row r="8250" spans="2:3" x14ac:dyDescent="0.25">
      <c r="B8250" s="463"/>
      <c r="C8250" s="463"/>
    </row>
    <row r="8251" spans="2:3" x14ac:dyDescent="0.25">
      <c r="B8251" s="463"/>
      <c r="C8251" s="463"/>
    </row>
    <row r="8252" spans="2:3" x14ac:dyDescent="0.25">
      <c r="B8252" s="463"/>
      <c r="C8252" s="463"/>
    </row>
    <row r="8253" spans="2:3" x14ac:dyDescent="0.25">
      <c r="B8253" s="463"/>
      <c r="C8253" s="463"/>
    </row>
    <row r="8254" spans="2:3" x14ac:dyDescent="0.25">
      <c r="B8254" s="463"/>
      <c r="C8254" s="463"/>
    </row>
    <row r="8255" spans="2:3" x14ac:dyDescent="0.25">
      <c r="B8255" s="463"/>
      <c r="C8255" s="463"/>
    </row>
    <row r="8256" spans="2:3" x14ac:dyDescent="0.25">
      <c r="B8256" s="463"/>
      <c r="C8256" s="463"/>
    </row>
    <row r="8257" spans="2:3" x14ac:dyDescent="0.25">
      <c r="B8257" s="463"/>
      <c r="C8257" s="463"/>
    </row>
    <row r="8258" spans="2:3" x14ac:dyDescent="0.25">
      <c r="B8258" s="463"/>
      <c r="C8258" s="463"/>
    </row>
    <row r="8259" spans="2:3" x14ac:dyDescent="0.25">
      <c r="B8259" s="463"/>
      <c r="C8259" s="463"/>
    </row>
    <row r="8260" spans="2:3" x14ac:dyDescent="0.25">
      <c r="B8260" s="463"/>
      <c r="C8260" s="463"/>
    </row>
    <row r="8261" spans="2:3" x14ac:dyDescent="0.25">
      <c r="B8261" s="463"/>
      <c r="C8261" s="463"/>
    </row>
    <row r="8262" spans="2:3" x14ac:dyDescent="0.25">
      <c r="B8262" s="463"/>
      <c r="C8262" s="463"/>
    </row>
    <row r="8263" spans="2:3" x14ac:dyDescent="0.25">
      <c r="B8263" s="463"/>
      <c r="C8263" s="463"/>
    </row>
    <row r="8264" spans="2:3" x14ac:dyDescent="0.25">
      <c r="B8264" s="463"/>
      <c r="C8264" s="463"/>
    </row>
    <row r="8265" spans="2:3" x14ac:dyDescent="0.25">
      <c r="B8265" s="463"/>
      <c r="C8265" s="463"/>
    </row>
    <row r="8266" spans="2:3" x14ac:dyDescent="0.25">
      <c r="B8266" s="463"/>
      <c r="C8266" s="463"/>
    </row>
    <row r="8267" spans="2:3" x14ac:dyDescent="0.25">
      <c r="B8267" s="463"/>
      <c r="C8267" s="463"/>
    </row>
    <row r="8268" spans="2:3" x14ac:dyDescent="0.25">
      <c r="B8268" s="463"/>
      <c r="C8268" s="463"/>
    </row>
    <row r="8269" spans="2:3" x14ac:dyDescent="0.25">
      <c r="B8269" s="463"/>
      <c r="C8269" s="463"/>
    </row>
    <row r="8270" spans="2:3" x14ac:dyDescent="0.25">
      <c r="B8270" s="463"/>
      <c r="C8270" s="463"/>
    </row>
    <row r="8271" spans="2:3" x14ac:dyDescent="0.25">
      <c r="B8271" s="463"/>
      <c r="C8271" s="463"/>
    </row>
    <row r="8272" spans="2:3" x14ac:dyDescent="0.25">
      <c r="B8272" s="463"/>
      <c r="C8272" s="463"/>
    </row>
    <row r="8273" spans="2:3" x14ac:dyDescent="0.25">
      <c r="B8273" s="463"/>
      <c r="C8273" s="463"/>
    </row>
    <row r="8274" spans="2:3" x14ac:dyDescent="0.25">
      <c r="B8274" s="463"/>
      <c r="C8274" s="463"/>
    </row>
    <row r="8275" spans="2:3" x14ac:dyDescent="0.25">
      <c r="B8275" s="463"/>
      <c r="C8275" s="463"/>
    </row>
    <row r="8276" spans="2:3" x14ac:dyDescent="0.25">
      <c r="B8276" s="463"/>
      <c r="C8276" s="463"/>
    </row>
    <row r="8277" spans="2:3" x14ac:dyDescent="0.25">
      <c r="B8277" s="463"/>
      <c r="C8277" s="463"/>
    </row>
    <row r="8278" spans="2:3" x14ac:dyDescent="0.25">
      <c r="B8278" s="463"/>
      <c r="C8278" s="463"/>
    </row>
    <row r="8279" spans="2:3" x14ac:dyDescent="0.25">
      <c r="B8279" s="463"/>
      <c r="C8279" s="463"/>
    </row>
    <row r="8280" spans="2:3" x14ac:dyDescent="0.25">
      <c r="B8280" s="463"/>
      <c r="C8280" s="463"/>
    </row>
    <row r="8281" spans="2:3" x14ac:dyDescent="0.25">
      <c r="B8281" s="463"/>
      <c r="C8281" s="463"/>
    </row>
    <row r="8282" spans="2:3" x14ac:dyDescent="0.25">
      <c r="B8282" s="463"/>
      <c r="C8282" s="463"/>
    </row>
    <row r="8283" spans="2:3" x14ac:dyDescent="0.25">
      <c r="B8283" s="463"/>
      <c r="C8283" s="463"/>
    </row>
    <row r="8284" spans="2:3" x14ac:dyDescent="0.25">
      <c r="B8284" s="463"/>
      <c r="C8284" s="463"/>
    </row>
    <row r="8285" spans="2:3" x14ac:dyDescent="0.25">
      <c r="B8285" s="463"/>
      <c r="C8285" s="463"/>
    </row>
    <row r="8286" spans="2:3" x14ac:dyDescent="0.25">
      <c r="B8286" s="463"/>
      <c r="C8286" s="463"/>
    </row>
    <row r="8287" spans="2:3" x14ac:dyDescent="0.25">
      <c r="B8287" s="463"/>
      <c r="C8287" s="463"/>
    </row>
    <row r="8288" spans="2:3" x14ac:dyDescent="0.25">
      <c r="B8288" s="463"/>
      <c r="C8288" s="463"/>
    </row>
    <row r="8289" spans="2:3" x14ac:dyDescent="0.25">
      <c r="B8289" s="463"/>
      <c r="C8289" s="463"/>
    </row>
    <row r="8290" spans="2:3" x14ac:dyDescent="0.25">
      <c r="B8290" s="463"/>
      <c r="C8290" s="463"/>
    </row>
    <row r="8291" spans="2:3" x14ac:dyDescent="0.25">
      <c r="B8291" s="463"/>
      <c r="C8291" s="463"/>
    </row>
    <row r="8292" spans="2:3" x14ac:dyDescent="0.25">
      <c r="B8292" s="463"/>
      <c r="C8292" s="463"/>
    </row>
    <row r="8293" spans="2:3" x14ac:dyDescent="0.25">
      <c r="B8293" s="463"/>
      <c r="C8293" s="463"/>
    </row>
    <row r="8294" spans="2:3" x14ac:dyDescent="0.25">
      <c r="B8294" s="463"/>
      <c r="C8294" s="463"/>
    </row>
    <row r="8295" spans="2:3" x14ac:dyDescent="0.25">
      <c r="B8295" s="463"/>
      <c r="C8295" s="463"/>
    </row>
    <row r="8296" spans="2:3" x14ac:dyDescent="0.25">
      <c r="B8296" s="463"/>
      <c r="C8296" s="463"/>
    </row>
    <row r="8297" spans="2:3" x14ac:dyDescent="0.25">
      <c r="B8297" s="463"/>
      <c r="C8297" s="463"/>
    </row>
    <row r="8298" spans="2:3" x14ac:dyDescent="0.25">
      <c r="B8298" s="463"/>
      <c r="C8298" s="463"/>
    </row>
    <row r="8299" spans="2:3" x14ac:dyDescent="0.25">
      <c r="B8299" s="463"/>
      <c r="C8299" s="463"/>
    </row>
    <row r="8300" spans="2:3" x14ac:dyDescent="0.25">
      <c r="B8300" s="463"/>
      <c r="C8300" s="463"/>
    </row>
    <row r="8301" spans="2:3" x14ac:dyDescent="0.25">
      <c r="B8301" s="463"/>
      <c r="C8301" s="463"/>
    </row>
    <row r="8302" spans="2:3" x14ac:dyDescent="0.25">
      <c r="B8302" s="463"/>
      <c r="C8302" s="463"/>
    </row>
    <row r="8303" spans="2:3" x14ac:dyDescent="0.25">
      <c r="B8303" s="463"/>
      <c r="C8303" s="463"/>
    </row>
    <row r="8304" spans="2:3" x14ac:dyDescent="0.25">
      <c r="B8304" s="463"/>
      <c r="C8304" s="463"/>
    </row>
    <row r="8305" spans="2:3" x14ac:dyDescent="0.25">
      <c r="B8305" s="463"/>
      <c r="C8305" s="463"/>
    </row>
    <row r="8306" spans="2:3" x14ac:dyDescent="0.25">
      <c r="B8306" s="463"/>
      <c r="C8306" s="463"/>
    </row>
    <row r="8307" spans="2:3" x14ac:dyDescent="0.25">
      <c r="B8307" s="463"/>
      <c r="C8307" s="463"/>
    </row>
    <row r="8308" spans="2:3" x14ac:dyDescent="0.25">
      <c r="B8308" s="463"/>
      <c r="C8308" s="463"/>
    </row>
    <row r="8309" spans="2:3" x14ac:dyDescent="0.25">
      <c r="B8309" s="463"/>
      <c r="C8309" s="463"/>
    </row>
    <row r="8310" spans="2:3" x14ac:dyDescent="0.25">
      <c r="B8310" s="463"/>
      <c r="C8310" s="463"/>
    </row>
    <row r="8311" spans="2:3" x14ac:dyDescent="0.25">
      <c r="B8311" s="463"/>
      <c r="C8311" s="463"/>
    </row>
    <row r="8312" spans="2:3" x14ac:dyDescent="0.25">
      <c r="B8312" s="463"/>
      <c r="C8312" s="463"/>
    </row>
    <row r="8313" spans="2:3" x14ac:dyDescent="0.25">
      <c r="B8313" s="463"/>
      <c r="C8313" s="463"/>
    </row>
    <row r="8314" spans="2:3" x14ac:dyDescent="0.25">
      <c r="B8314" s="463"/>
      <c r="C8314" s="463"/>
    </row>
    <row r="8315" spans="2:3" x14ac:dyDescent="0.25">
      <c r="B8315" s="463"/>
      <c r="C8315" s="463"/>
    </row>
    <row r="8316" spans="2:3" x14ac:dyDescent="0.25">
      <c r="B8316" s="463"/>
      <c r="C8316" s="463"/>
    </row>
    <row r="8317" spans="2:3" x14ac:dyDescent="0.25">
      <c r="B8317" s="463"/>
      <c r="C8317" s="463"/>
    </row>
    <row r="8318" spans="2:3" x14ac:dyDescent="0.25">
      <c r="B8318" s="463"/>
      <c r="C8318" s="463"/>
    </row>
    <row r="8319" spans="2:3" x14ac:dyDescent="0.25">
      <c r="B8319" s="463"/>
      <c r="C8319" s="463"/>
    </row>
    <row r="8320" spans="2:3" x14ac:dyDescent="0.25">
      <c r="B8320" s="463"/>
      <c r="C8320" s="463"/>
    </row>
    <row r="8321" spans="2:3" x14ac:dyDescent="0.25">
      <c r="B8321" s="463"/>
      <c r="C8321" s="463"/>
    </row>
    <row r="8322" spans="2:3" x14ac:dyDescent="0.25">
      <c r="B8322" s="463"/>
      <c r="C8322" s="463"/>
    </row>
    <row r="8323" spans="2:3" x14ac:dyDescent="0.25">
      <c r="B8323" s="463"/>
      <c r="C8323" s="463"/>
    </row>
    <row r="8324" spans="2:3" x14ac:dyDescent="0.25">
      <c r="B8324" s="463"/>
      <c r="C8324" s="463"/>
    </row>
    <row r="8325" spans="2:3" x14ac:dyDescent="0.25">
      <c r="B8325" s="463"/>
      <c r="C8325" s="463"/>
    </row>
    <row r="8326" spans="2:3" x14ac:dyDescent="0.25">
      <c r="B8326" s="463"/>
      <c r="C8326" s="463"/>
    </row>
    <row r="8327" spans="2:3" x14ac:dyDescent="0.25">
      <c r="B8327" s="463"/>
      <c r="C8327" s="463"/>
    </row>
    <row r="8328" spans="2:3" x14ac:dyDescent="0.25">
      <c r="B8328" s="463"/>
      <c r="C8328" s="463"/>
    </row>
    <row r="8329" spans="2:3" x14ac:dyDescent="0.25">
      <c r="B8329" s="463"/>
      <c r="C8329" s="463"/>
    </row>
    <row r="8330" spans="2:3" x14ac:dyDescent="0.25">
      <c r="B8330" s="463"/>
      <c r="C8330" s="463"/>
    </row>
    <row r="8331" spans="2:3" x14ac:dyDescent="0.25">
      <c r="B8331" s="463"/>
      <c r="C8331" s="463"/>
    </row>
    <row r="8332" spans="2:3" x14ac:dyDescent="0.25">
      <c r="B8332" s="463"/>
      <c r="C8332" s="463"/>
    </row>
    <row r="8333" spans="2:3" x14ac:dyDescent="0.25">
      <c r="B8333" s="463"/>
      <c r="C8333" s="463"/>
    </row>
    <row r="8334" spans="2:3" x14ac:dyDescent="0.25">
      <c r="B8334" s="463"/>
      <c r="C8334" s="463"/>
    </row>
    <row r="8335" spans="2:3" x14ac:dyDescent="0.25">
      <c r="B8335" s="463"/>
      <c r="C8335" s="463"/>
    </row>
    <row r="8336" spans="2:3" x14ac:dyDescent="0.25">
      <c r="B8336" s="463"/>
      <c r="C8336" s="463"/>
    </row>
    <row r="8337" spans="2:3" x14ac:dyDescent="0.25">
      <c r="B8337" s="463"/>
      <c r="C8337" s="463"/>
    </row>
    <row r="8338" spans="2:3" x14ac:dyDescent="0.25">
      <c r="B8338" s="463"/>
      <c r="C8338" s="463"/>
    </row>
    <row r="8339" spans="2:3" x14ac:dyDescent="0.25">
      <c r="B8339" s="463"/>
      <c r="C8339" s="463"/>
    </row>
    <row r="8340" spans="2:3" x14ac:dyDescent="0.25">
      <c r="B8340" s="463"/>
      <c r="C8340" s="463"/>
    </row>
    <row r="8341" spans="2:3" x14ac:dyDescent="0.25">
      <c r="B8341" s="463"/>
      <c r="C8341" s="463"/>
    </row>
    <row r="8342" spans="2:3" x14ac:dyDescent="0.25">
      <c r="B8342" s="463"/>
      <c r="C8342" s="463"/>
    </row>
    <row r="8343" spans="2:3" x14ac:dyDescent="0.25">
      <c r="B8343" s="463"/>
      <c r="C8343" s="463"/>
    </row>
    <row r="8344" spans="2:3" x14ac:dyDescent="0.25">
      <c r="B8344" s="463"/>
      <c r="C8344" s="463"/>
    </row>
    <row r="8345" spans="2:3" x14ac:dyDescent="0.25">
      <c r="B8345" s="463"/>
      <c r="C8345" s="463"/>
    </row>
    <row r="8346" spans="2:3" x14ac:dyDescent="0.25">
      <c r="B8346" s="463"/>
      <c r="C8346" s="463"/>
    </row>
    <row r="8347" spans="2:3" x14ac:dyDescent="0.25">
      <c r="B8347" s="463"/>
      <c r="C8347" s="463"/>
    </row>
    <row r="8348" spans="2:3" x14ac:dyDescent="0.25">
      <c r="B8348" s="463"/>
      <c r="C8348" s="463"/>
    </row>
    <row r="8349" spans="2:3" x14ac:dyDescent="0.25">
      <c r="B8349" s="463"/>
      <c r="C8349" s="463"/>
    </row>
    <row r="8350" spans="2:3" x14ac:dyDescent="0.25">
      <c r="B8350" s="463"/>
      <c r="C8350" s="463"/>
    </row>
    <row r="8351" spans="2:3" x14ac:dyDescent="0.25">
      <c r="B8351" s="463"/>
      <c r="C8351" s="463"/>
    </row>
    <row r="8352" spans="2:3" x14ac:dyDescent="0.25">
      <c r="B8352" s="463"/>
      <c r="C8352" s="463"/>
    </row>
    <row r="8353" spans="2:3" x14ac:dyDescent="0.25">
      <c r="B8353" s="463"/>
      <c r="C8353" s="463"/>
    </row>
    <row r="8354" spans="2:3" x14ac:dyDescent="0.25">
      <c r="B8354" s="463"/>
      <c r="C8354" s="463"/>
    </row>
    <row r="8355" spans="2:3" x14ac:dyDescent="0.25">
      <c r="B8355" s="463"/>
      <c r="C8355" s="463"/>
    </row>
    <row r="8356" spans="2:3" x14ac:dyDescent="0.25">
      <c r="B8356" s="463"/>
      <c r="C8356" s="463"/>
    </row>
    <row r="8357" spans="2:3" x14ac:dyDescent="0.25">
      <c r="B8357" s="463"/>
      <c r="C8357" s="463"/>
    </row>
    <row r="8358" spans="2:3" x14ac:dyDescent="0.25">
      <c r="B8358" s="463"/>
      <c r="C8358" s="463"/>
    </row>
    <row r="8359" spans="2:3" x14ac:dyDescent="0.25">
      <c r="B8359" s="463"/>
      <c r="C8359" s="463"/>
    </row>
    <row r="8360" spans="2:3" x14ac:dyDescent="0.25">
      <c r="B8360" s="463"/>
      <c r="C8360" s="463"/>
    </row>
    <row r="8361" spans="2:3" x14ac:dyDescent="0.25">
      <c r="B8361" s="463"/>
      <c r="C8361" s="463"/>
    </row>
    <row r="8362" spans="2:3" x14ac:dyDescent="0.25">
      <c r="B8362" s="463"/>
      <c r="C8362" s="463"/>
    </row>
    <row r="8363" spans="2:3" x14ac:dyDescent="0.25">
      <c r="B8363" s="463"/>
      <c r="C8363" s="463"/>
    </row>
    <row r="8364" spans="2:3" x14ac:dyDescent="0.25">
      <c r="B8364" s="463"/>
      <c r="C8364" s="463"/>
    </row>
    <row r="8365" spans="2:3" x14ac:dyDescent="0.25">
      <c r="B8365" s="463"/>
      <c r="C8365" s="463"/>
    </row>
    <row r="8366" spans="2:3" x14ac:dyDescent="0.25">
      <c r="B8366" s="463"/>
      <c r="C8366" s="463"/>
    </row>
    <row r="8367" spans="2:3" x14ac:dyDescent="0.25">
      <c r="B8367" s="463"/>
      <c r="C8367" s="463"/>
    </row>
    <row r="8368" spans="2:3" x14ac:dyDescent="0.25">
      <c r="B8368" s="463"/>
      <c r="C8368" s="463"/>
    </row>
    <row r="8369" spans="2:3" x14ac:dyDescent="0.25">
      <c r="B8369" s="463"/>
      <c r="C8369" s="463"/>
    </row>
    <row r="8370" spans="2:3" x14ac:dyDescent="0.25">
      <c r="B8370" s="463"/>
      <c r="C8370" s="463"/>
    </row>
    <row r="8371" spans="2:3" x14ac:dyDescent="0.25">
      <c r="B8371" s="463"/>
      <c r="C8371" s="463"/>
    </row>
    <row r="8372" spans="2:3" x14ac:dyDescent="0.25">
      <c r="B8372" s="463"/>
      <c r="C8372" s="463"/>
    </row>
    <row r="8373" spans="2:3" x14ac:dyDescent="0.25">
      <c r="B8373" s="463"/>
      <c r="C8373" s="463"/>
    </row>
    <row r="8374" spans="2:3" x14ac:dyDescent="0.25">
      <c r="B8374" s="463"/>
      <c r="C8374" s="463"/>
    </row>
    <row r="8375" spans="2:3" x14ac:dyDescent="0.25">
      <c r="B8375" s="463"/>
      <c r="C8375" s="463"/>
    </row>
    <row r="8376" spans="2:3" x14ac:dyDescent="0.25">
      <c r="B8376" s="463"/>
      <c r="C8376" s="463"/>
    </row>
    <row r="8377" spans="2:3" x14ac:dyDescent="0.25">
      <c r="B8377" s="463"/>
      <c r="C8377" s="463"/>
    </row>
    <row r="8378" spans="2:3" x14ac:dyDescent="0.25">
      <c r="B8378" s="463"/>
      <c r="C8378" s="463"/>
    </row>
    <row r="8379" spans="2:3" x14ac:dyDescent="0.25">
      <c r="B8379" s="463"/>
      <c r="C8379" s="463"/>
    </row>
    <row r="8380" spans="2:3" x14ac:dyDescent="0.25">
      <c r="B8380" s="463"/>
      <c r="C8380" s="463"/>
    </row>
    <row r="8381" spans="2:3" x14ac:dyDescent="0.25">
      <c r="B8381" s="463"/>
      <c r="C8381" s="463"/>
    </row>
    <row r="8382" spans="2:3" x14ac:dyDescent="0.25">
      <c r="B8382" s="463"/>
      <c r="C8382" s="463"/>
    </row>
    <row r="8383" spans="2:3" x14ac:dyDescent="0.25">
      <c r="B8383" s="463"/>
      <c r="C8383" s="463"/>
    </row>
    <row r="8384" spans="2:3" x14ac:dyDescent="0.25">
      <c r="B8384" s="463"/>
      <c r="C8384" s="463"/>
    </row>
    <row r="8385" spans="2:3" x14ac:dyDescent="0.25">
      <c r="B8385" s="463"/>
      <c r="C8385" s="463"/>
    </row>
    <row r="8386" spans="2:3" x14ac:dyDescent="0.25">
      <c r="B8386" s="463"/>
      <c r="C8386" s="463"/>
    </row>
    <row r="8387" spans="2:3" x14ac:dyDescent="0.25">
      <c r="B8387" s="463"/>
      <c r="C8387" s="463"/>
    </row>
    <row r="8388" spans="2:3" x14ac:dyDescent="0.25">
      <c r="B8388" s="463"/>
      <c r="C8388" s="463"/>
    </row>
    <row r="8389" spans="2:3" x14ac:dyDescent="0.25">
      <c r="B8389" s="463"/>
      <c r="C8389" s="463"/>
    </row>
    <row r="8390" spans="2:3" x14ac:dyDescent="0.25">
      <c r="B8390" s="463"/>
      <c r="C8390" s="463"/>
    </row>
    <row r="8391" spans="2:3" x14ac:dyDescent="0.25">
      <c r="B8391" s="463"/>
      <c r="C8391" s="463"/>
    </row>
    <row r="8392" spans="2:3" x14ac:dyDescent="0.25">
      <c r="B8392" s="463"/>
      <c r="C8392" s="463"/>
    </row>
    <row r="8393" spans="2:3" x14ac:dyDescent="0.25">
      <c r="B8393" s="463"/>
      <c r="C8393" s="463"/>
    </row>
    <row r="8394" spans="2:3" x14ac:dyDescent="0.25">
      <c r="B8394" s="463"/>
      <c r="C8394" s="463"/>
    </row>
    <row r="8395" spans="2:3" x14ac:dyDescent="0.25">
      <c r="B8395" s="463"/>
      <c r="C8395" s="463"/>
    </row>
    <row r="8396" spans="2:3" x14ac:dyDescent="0.25">
      <c r="B8396" s="463"/>
      <c r="C8396" s="463"/>
    </row>
    <row r="8397" spans="2:3" x14ac:dyDescent="0.25">
      <c r="B8397" s="463"/>
      <c r="C8397" s="463"/>
    </row>
    <row r="8398" spans="2:3" x14ac:dyDescent="0.25">
      <c r="B8398" s="463"/>
      <c r="C8398" s="463"/>
    </row>
    <row r="8399" spans="2:3" x14ac:dyDescent="0.25">
      <c r="B8399" s="463"/>
      <c r="C8399" s="463"/>
    </row>
    <row r="8400" spans="2:3" x14ac:dyDescent="0.25">
      <c r="B8400" s="463"/>
      <c r="C8400" s="463"/>
    </row>
    <row r="8401" spans="2:3" x14ac:dyDescent="0.25">
      <c r="B8401" s="463"/>
      <c r="C8401" s="463"/>
    </row>
    <row r="8402" spans="2:3" x14ac:dyDescent="0.25">
      <c r="B8402" s="463"/>
      <c r="C8402" s="463"/>
    </row>
    <row r="8403" spans="2:3" x14ac:dyDescent="0.25">
      <c r="B8403" s="463"/>
      <c r="C8403" s="463"/>
    </row>
    <row r="8404" spans="2:3" x14ac:dyDescent="0.25">
      <c r="B8404" s="463"/>
      <c r="C8404" s="463"/>
    </row>
    <row r="8405" spans="2:3" x14ac:dyDescent="0.25">
      <c r="B8405" s="463"/>
      <c r="C8405" s="463"/>
    </row>
    <row r="8406" spans="2:3" x14ac:dyDescent="0.25">
      <c r="B8406" s="463"/>
      <c r="C8406" s="463"/>
    </row>
    <row r="8407" spans="2:3" x14ac:dyDescent="0.25">
      <c r="B8407" s="463"/>
      <c r="C8407" s="463"/>
    </row>
    <row r="8408" spans="2:3" x14ac:dyDescent="0.25">
      <c r="B8408" s="463"/>
      <c r="C8408" s="463"/>
    </row>
    <row r="8409" spans="2:3" x14ac:dyDescent="0.25">
      <c r="B8409" s="463"/>
      <c r="C8409" s="463"/>
    </row>
    <row r="8410" spans="2:3" x14ac:dyDescent="0.25">
      <c r="B8410" s="463"/>
      <c r="C8410" s="463"/>
    </row>
    <row r="8411" spans="2:3" x14ac:dyDescent="0.25">
      <c r="B8411" s="463"/>
      <c r="C8411" s="463"/>
    </row>
    <row r="8412" spans="2:3" x14ac:dyDescent="0.25">
      <c r="B8412" s="463"/>
      <c r="C8412" s="463"/>
    </row>
    <row r="8413" spans="2:3" x14ac:dyDescent="0.25">
      <c r="B8413" s="463"/>
      <c r="C8413" s="463"/>
    </row>
    <row r="8414" spans="2:3" x14ac:dyDescent="0.25">
      <c r="B8414" s="463"/>
      <c r="C8414" s="463"/>
    </row>
    <row r="8415" spans="2:3" x14ac:dyDescent="0.25">
      <c r="B8415" s="463"/>
      <c r="C8415" s="463"/>
    </row>
    <row r="8416" spans="2:3" x14ac:dyDescent="0.25">
      <c r="B8416" s="463"/>
      <c r="C8416" s="463"/>
    </row>
    <row r="8417" spans="2:3" x14ac:dyDescent="0.25">
      <c r="B8417" s="463"/>
      <c r="C8417" s="463"/>
    </row>
    <row r="8418" spans="2:3" x14ac:dyDescent="0.25">
      <c r="B8418" s="463"/>
      <c r="C8418" s="463"/>
    </row>
    <row r="8419" spans="2:3" x14ac:dyDescent="0.25">
      <c r="B8419" s="463"/>
      <c r="C8419" s="463"/>
    </row>
    <row r="8420" spans="2:3" x14ac:dyDescent="0.25">
      <c r="B8420" s="463"/>
      <c r="C8420" s="463"/>
    </row>
    <row r="8421" spans="2:3" x14ac:dyDescent="0.25">
      <c r="B8421" s="463"/>
      <c r="C8421" s="463"/>
    </row>
    <row r="8422" spans="2:3" x14ac:dyDescent="0.25">
      <c r="B8422" s="463"/>
      <c r="C8422" s="463"/>
    </row>
    <row r="8423" spans="2:3" x14ac:dyDescent="0.25">
      <c r="B8423" s="463"/>
      <c r="C8423" s="463"/>
    </row>
    <row r="8424" spans="2:3" x14ac:dyDescent="0.25">
      <c r="B8424" s="463"/>
      <c r="C8424" s="463"/>
    </row>
    <row r="8425" spans="2:3" x14ac:dyDescent="0.25">
      <c r="B8425" s="463"/>
      <c r="C8425" s="463"/>
    </row>
    <row r="8426" spans="2:3" x14ac:dyDescent="0.25">
      <c r="B8426" s="463"/>
      <c r="C8426" s="463"/>
    </row>
    <row r="8427" spans="2:3" x14ac:dyDescent="0.25">
      <c r="B8427" s="463"/>
      <c r="C8427" s="463"/>
    </row>
    <row r="8428" spans="2:3" x14ac:dyDescent="0.25">
      <c r="B8428" s="463"/>
      <c r="C8428" s="463"/>
    </row>
    <row r="8429" spans="2:3" x14ac:dyDescent="0.25">
      <c r="B8429" s="463"/>
      <c r="C8429" s="463"/>
    </row>
    <row r="8430" spans="2:3" x14ac:dyDescent="0.25">
      <c r="B8430" s="463"/>
      <c r="C8430" s="463"/>
    </row>
    <row r="8431" spans="2:3" x14ac:dyDescent="0.25">
      <c r="B8431" s="463"/>
      <c r="C8431" s="463"/>
    </row>
    <row r="8432" spans="2:3" x14ac:dyDescent="0.25">
      <c r="B8432" s="463"/>
      <c r="C8432" s="463"/>
    </row>
    <row r="8433" spans="2:3" x14ac:dyDescent="0.25">
      <c r="B8433" s="463"/>
      <c r="C8433" s="463"/>
    </row>
    <row r="8434" spans="2:3" x14ac:dyDescent="0.25">
      <c r="B8434" s="463"/>
      <c r="C8434" s="463"/>
    </row>
    <row r="8435" spans="2:3" x14ac:dyDescent="0.25">
      <c r="B8435" s="463"/>
      <c r="C8435" s="463"/>
    </row>
    <row r="8436" spans="2:3" x14ac:dyDescent="0.25">
      <c r="B8436" s="463"/>
      <c r="C8436" s="463"/>
    </row>
    <row r="8437" spans="2:3" x14ac:dyDescent="0.25">
      <c r="B8437" s="463"/>
      <c r="C8437" s="463"/>
    </row>
    <row r="8438" spans="2:3" x14ac:dyDescent="0.25">
      <c r="B8438" s="463"/>
      <c r="C8438" s="463"/>
    </row>
    <row r="8439" spans="2:3" x14ac:dyDescent="0.25">
      <c r="B8439" s="463"/>
      <c r="C8439" s="463"/>
    </row>
    <row r="8440" spans="2:3" x14ac:dyDescent="0.25">
      <c r="B8440" s="463"/>
      <c r="C8440" s="463"/>
    </row>
    <row r="8441" spans="2:3" x14ac:dyDescent="0.25">
      <c r="B8441" s="463"/>
      <c r="C8441" s="463"/>
    </row>
    <row r="8442" spans="2:3" x14ac:dyDescent="0.25">
      <c r="B8442" s="463"/>
      <c r="C8442" s="463"/>
    </row>
    <row r="8443" spans="2:3" x14ac:dyDescent="0.25">
      <c r="B8443" s="463"/>
      <c r="C8443" s="463"/>
    </row>
    <row r="8444" spans="2:3" x14ac:dyDescent="0.25">
      <c r="B8444" s="463"/>
      <c r="C8444" s="463"/>
    </row>
    <row r="8445" spans="2:3" x14ac:dyDescent="0.25">
      <c r="B8445" s="463"/>
      <c r="C8445" s="463"/>
    </row>
    <row r="8446" spans="2:3" x14ac:dyDescent="0.25">
      <c r="B8446" s="463"/>
      <c r="C8446" s="463"/>
    </row>
    <row r="8447" spans="2:3" x14ac:dyDescent="0.25">
      <c r="B8447" s="463"/>
      <c r="C8447" s="463"/>
    </row>
    <row r="8448" spans="2:3" x14ac:dyDescent="0.25">
      <c r="B8448" s="463"/>
      <c r="C8448" s="463"/>
    </row>
    <row r="8449" spans="2:3" x14ac:dyDescent="0.25">
      <c r="B8449" s="463"/>
      <c r="C8449" s="463"/>
    </row>
    <row r="8450" spans="2:3" x14ac:dyDescent="0.25">
      <c r="B8450" s="463"/>
      <c r="C8450" s="463"/>
    </row>
    <row r="8451" spans="2:3" x14ac:dyDescent="0.25">
      <c r="B8451" s="463"/>
      <c r="C8451" s="463"/>
    </row>
    <row r="8452" spans="2:3" x14ac:dyDescent="0.25">
      <c r="B8452" s="463"/>
      <c r="C8452" s="463"/>
    </row>
    <row r="8453" spans="2:3" x14ac:dyDescent="0.25">
      <c r="B8453" s="463"/>
      <c r="C8453" s="463"/>
    </row>
    <row r="8454" spans="2:3" x14ac:dyDescent="0.25">
      <c r="B8454" s="463"/>
      <c r="C8454" s="463"/>
    </row>
    <row r="8455" spans="2:3" x14ac:dyDescent="0.25">
      <c r="B8455" s="463"/>
      <c r="C8455" s="463"/>
    </row>
    <row r="8456" spans="2:3" x14ac:dyDescent="0.25">
      <c r="B8456" s="463"/>
      <c r="C8456" s="463"/>
    </row>
    <row r="8457" spans="2:3" x14ac:dyDescent="0.25">
      <c r="B8457" s="463"/>
      <c r="C8457" s="463"/>
    </row>
    <row r="8458" spans="2:3" x14ac:dyDescent="0.25">
      <c r="B8458" s="463"/>
      <c r="C8458" s="463"/>
    </row>
    <row r="8459" spans="2:3" x14ac:dyDescent="0.25">
      <c r="B8459" s="463"/>
      <c r="C8459" s="463"/>
    </row>
    <row r="8460" spans="2:3" x14ac:dyDescent="0.25">
      <c r="B8460" s="463"/>
      <c r="C8460" s="463"/>
    </row>
    <row r="8461" spans="2:3" x14ac:dyDescent="0.25">
      <c r="B8461" s="463"/>
      <c r="C8461" s="463"/>
    </row>
    <row r="8462" spans="2:3" x14ac:dyDescent="0.25">
      <c r="B8462" s="463"/>
      <c r="C8462" s="463"/>
    </row>
    <row r="8463" spans="2:3" x14ac:dyDescent="0.25">
      <c r="B8463" s="463"/>
      <c r="C8463" s="463"/>
    </row>
    <row r="8464" spans="2:3" x14ac:dyDescent="0.25">
      <c r="B8464" s="463"/>
      <c r="C8464" s="463"/>
    </row>
    <row r="8465" spans="2:3" x14ac:dyDescent="0.25">
      <c r="B8465" s="463"/>
      <c r="C8465" s="463"/>
    </row>
    <row r="8466" spans="2:3" x14ac:dyDescent="0.25">
      <c r="B8466" s="463"/>
      <c r="C8466" s="463"/>
    </row>
    <row r="8467" spans="2:3" x14ac:dyDescent="0.25">
      <c r="B8467" s="463"/>
      <c r="C8467" s="463"/>
    </row>
    <row r="8468" spans="2:3" x14ac:dyDescent="0.25">
      <c r="B8468" s="463"/>
      <c r="C8468" s="463"/>
    </row>
    <row r="8469" spans="2:3" x14ac:dyDescent="0.25">
      <c r="B8469" s="463"/>
      <c r="C8469" s="463"/>
    </row>
    <row r="8470" spans="2:3" x14ac:dyDescent="0.25">
      <c r="B8470" s="463"/>
      <c r="C8470" s="463"/>
    </row>
    <row r="8471" spans="2:3" x14ac:dyDescent="0.25">
      <c r="B8471" s="463"/>
      <c r="C8471" s="463"/>
    </row>
    <row r="8472" spans="2:3" x14ac:dyDescent="0.25">
      <c r="B8472" s="463"/>
      <c r="C8472" s="463"/>
    </row>
    <row r="8473" spans="2:3" x14ac:dyDescent="0.25">
      <c r="B8473" s="463"/>
      <c r="C8473" s="463"/>
    </row>
    <row r="8474" spans="2:3" x14ac:dyDescent="0.25">
      <c r="B8474" s="463"/>
      <c r="C8474" s="463"/>
    </row>
    <row r="8475" spans="2:3" x14ac:dyDescent="0.25">
      <c r="B8475" s="463"/>
      <c r="C8475" s="463"/>
    </row>
    <row r="8476" spans="2:3" x14ac:dyDescent="0.25">
      <c r="B8476" s="463"/>
      <c r="C8476" s="463"/>
    </row>
    <row r="8477" spans="2:3" x14ac:dyDescent="0.25">
      <c r="B8477" s="463"/>
      <c r="C8477" s="463"/>
    </row>
    <row r="8478" spans="2:3" x14ac:dyDescent="0.25">
      <c r="B8478" s="463"/>
      <c r="C8478" s="463"/>
    </row>
    <row r="8479" spans="2:3" x14ac:dyDescent="0.25">
      <c r="B8479" s="463"/>
      <c r="C8479" s="463"/>
    </row>
    <row r="8480" spans="2:3" x14ac:dyDescent="0.25">
      <c r="B8480" s="463"/>
      <c r="C8480" s="463"/>
    </row>
    <row r="8481" spans="2:3" x14ac:dyDescent="0.25">
      <c r="B8481" s="463"/>
      <c r="C8481" s="463"/>
    </row>
    <row r="8482" spans="2:3" x14ac:dyDescent="0.25">
      <c r="B8482" s="463"/>
      <c r="C8482" s="463"/>
    </row>
    <row r="8483" spans="2:3" x14ac:dyDescent="0.25">
      <c r="B8483" s="463"/>
      <c r="C8483" s="463"/>
    </row>
    <row r="8484" spans="2:3" x14ac:dyDescent="0.25">
      <c r="B8484" s="463"/>
      <c r="C8484" s="463"/>
    </row>
    <row r="8485" spans="2:3" x14ac:dyDescent="0.25">
      <c r="B8485" s="463"/>
      <c r="C8485" s="463"/>
    </row>
    <row r="8486" spans="2:3" x14ac:dyDescent="0.25">
      <c r="B8486" s="463"/>
      <c r="C8486" s="463"/>
    </row>
    <row r="8487" spans="2:3" x14ac:dyDescent="0.25">
      <c r="B8487" s="463"/>
      <c r="C8487" s="463"/>
    </row>
    <row r="8488" spans="2:3" x14ac:dyDescent="0.25">
      <c r="B8488" s="463"/>
      <c r="C8488" s="463"/>
    </row>
    <row r="8489" spans="2:3" x14ac:dyDescent="0.25">
      <c r="B8489" s="463"/>
      <c r="C8489" s="463"/>
    </row>
    <row r="8490" spans="2:3" x14ac:dyDescent="0.25">
      <c r="B8490" s="463"/>
      <c r="C8490" s="463"/>
    </row>
    <row r="8491" spans="2:3" x14ac:dyDescent="0.25">
      <c r="B8491" s="463"/>
      <c r="C8491" s="463"/>
    </row>
    <row r="8492" spans="2:3" x14ac:dyDescent="0.25">
      <c r="B8492" s="463"/>
      <c r="C8492" s="463"/>
    </row>
    <row r="8493" spans="2:3" x14ac:dyDescent="0.25">
      <c r="B8493" s="463"/>
      <c r="C8493" s="463"/>
    </row>
    <row r="8494" spans="2:3" x14ac:dyDescent="0.25">
      <c r="B8494" s="463"/>
      <c r="C8494" s="463"/>
    </row>
    <row r="8495" spans="2:3" x14ac:dyDescent="0.25">
      <c r="B8495" s="463"/>
      <c r="C8495" s="463"/>
    </row>
    <row r="8496" spans="2:3" x14ac:dyDescent="0.25">
      <c r="B8496" s="463"/>
      <c r="C8496" s="463"/>
    </row>
    <row r="8497" spans="2:3" x14ac:dyDescent="0.25">
      <c r="B8497" s="463"/>
      <c r="C8497" s="463"/>
    </row>
    <row r="8498" spans="2:3" x14ac:dyDescent="0.25">
      <c r="B8498" s="463"/>
      <c r="C8498" s="463"/>
    </row>
    <row r="8499" spans="2:3" x14ac:dyDescent="0.25">
      <c r="B8499" s="463"/>
      <c r="C8499" s="463"/>
    </row>
    <row r="8500" spans="2:3" x14ac:dyDescent="0.25">
      <c r="B8500" s="463"/>
      <c r="C8500" s="463"/>
    </row>
    <row r="8501" spans="2:3" x14ac:dyDescent="0.25">
      <c r="B8501" s="463"/>
      <c r="C8501" s="463"/>
    </row>
    <row r="8502" spans="2:3" x14ac:dyDescent="0.25">
      <c r="B8502" s="463"/>
      <c r="C8502" s="463"/>
    </row>
    <row r="8503" spans="2:3" x14ac:dyDescent="0.25">
      <c r="B8503" s="463"/>
      <c r="C8503" s="463"/>
    </row>
    <row r="8504" spans="2:3" x14ac:dyDescent="0.25">
      <c r="B8504" s="463"/>
      <c r="C8504" s="463"/>
    </row>
    <row r="8505" spans="2:3" x14ac:dyDescent="0.25">
      <c r="B8505" s="463"/>
      <c r="C8505" s="463"/>
    </row>
    <row r="8506" spans="2:3" x14ac:dyDescent="0.25">
      <c r="B8506" s="463"/>
      <c r="C8506" s="463"/>
    </row>
    <row r="8507" spans="2:3" x14ac:dyDescent="0.25">
      <c r="B8507" s="463"/>
      <c r="C8507" s="463"/>
    </row>
    <row r="8508" spans="2:3" x14ac:dyDescent="0.25">
      <c r="B8508" s="463"/>
      <c r="C8508" s="463"/>
    </row>
    <row r="8509" spans="2:3" x14ac:dyDescent="0.25">
      <c r="B8509" s="463"/>
      <c r="C8509" s="463"/>
    </row>
    <row r="8510" spans="2:3" x14ac:dyDescent="0.25">
      <c r="B8510" s="463"/>
      <c r="C8510" s="463"/>
    </row>
    <row r="8511" spans="2:3" x14ac:dyDescent="0.25">
      <c r="B8511" s="463"/>
      <c r="C8511" s="463"/>
    </row>
    <row r="8512" spans="2:3" x14ac:dyDescent="0.25">
      <c r="B8512" s="463"/>
      <c r="C8512" s="463"/>
    </row>
    <row r="8513" spans="2:3" x14ac:dyDescent="0.25">
      <c r="B8513" s="463"/>
      <c r="C8513" s="463"/>
    </row>
    <row r="8514" spans="2:3" x14ac:dyDescent="0.25">
      <c r="B8514" s="463"/>
      <c r="C8514" s="463"/>
    </row>
    <row r="8515" spans="2:3" x14ac:dyDescent="0.25">
      <c r="B8515" s="463"/>
      <c r="C8515" s="463"/>
    </row>
    <row r="8516" spans="2:3" x14ac:dyDescent="0.25">
      <c r="B8516" s="463"/>
      <c r="C8516" s="463"/>
    </row>
    <row r="8517" spans="2:3" x14ac:dyDescent="0.25">
      <c r="B8517" s="463"/>
      <c r="C8517" s="463"/>
    </row>
    <row r="8518" spans="2:3" x14ac:dyDescent="0.25">
      <c r="B8518" s="463"/>
      <c r="C8518" s="463"/>
    </row>
    <row r="8519" spans="2:3" x14ac:dyDescent="0.25">
      <c r="B8519" s="463"/>
      <c r="C8519" s="463"/>
    </row>
    <row r="8520" spans="2:3" x14ac:dyDescent="0.25">
      <c r="B8520" s="463"/>
      <c r="C8520" s="463"/>
    </row>
    <row r="8521" spans="2:3" x14ac:dyDescent="0.25">
      <c r="B8521" s="463"/>
      <c r="C8521" s="463"/>
    </row>
    <row r="8522" spans="2:3" x14ac:dyDescent="0.25">
      <c r="B8522" s="463"/>
      <c r="C8522" s="463"/>
    </row>
    <row r="8523" spans="2:3" x14ac:dyDescent="0.25">
      <c r="B8523" s="463"/>
      <c r="C8523" s="463"/>
    </row>
    <row r="8524" spans="2:3" x14ac:dyDescent="0.25">
      <c r="B8524" s="463"/>
      <c r="C8524" s="463"/>
    </row>
    <row r="8525" spans="2:3" x14ac:dyDescent="0.25">
      <c r="B8525" s="463"/>
      <c r="C8525" s="463"/>
    </row>
    <row r="8526" spans="2:3" x14ac:dyDescent="0.25">
      <c r="B8526" s="463"/>
      <c r="C8526" s="463"/>
    </row>
    <row r="8527" spans="2:3" x14ac:dyDescent="0.25">
      <c r="B8527" s="463"/>
      <c r="C8527" s="463"/>
    </row>
    <row r="8528" spans="2:3" x14ac:dyDescent="0.25">
      <c r="B8528" s="463"/>
      <c r="C8528" s="463"/>
    </row>
    <row r="8529" spans="2:3" x14ac:dyDescent="0.25">
      <c r="B8529" s="463"/>
      <c r="C8529" s="463"/>
    </row>
    <row r="8530" spans="2:3" x14ac:dyDescent="0.25">
      <c r="B8530" s="463"/>
      <c r="C8530" s="463"/>
    </row>
    <row r="8531" spans="2:3" x14ac:dyDescent="0.25">
      <c r="B8531" s="463"/>
      <c r="C8531" s="463"/>
    </row>
    <row r="8532" spans="2:3" x14ac:dyDescent="0.25">
      <c r="B8532" s="463"/>
      <c r="C8532" s="463"/>
    </row>
    <row r="8533" spans="2:3" x14ac:dyDescent="0.25">
      <c r="B8533" s="463"/>
      <c r="C8533" s="463"/>
    </row>
    <row r="8534" spans="2:3" x14ac:dyDescent="0.25">
      <c r="B8534" s="463"/>
      <c r="C8534" s="463"/>
    </row>
    <row r="8535" spans="2:3" x14ac:dyDescent="0.25">
      <c r="B8535" s="463"/>
      <c r="C8535" s="463"/>
    </row>
    <row r="8536" spans="2:3" x14ac:dyDescent="0.25">
      <c r="B8536" s="463"/>
      <c r="C8536" s="463"/>
    </row>
    <row r="8537" spans="2:3" x14ac:dyDescent="0.25">
      <c r="B8537" s="463"/>
      <c r="C8537" s="463"/>
    </row>
    <row r="8538" spans="2:3" x14ac:dyDescent="0.25">
      <c r="B8538" s="463"/>
      <c r="C8538" s="463"/>
    </row>
    <row r="8539" spans="2:3" x14ac:dyDescent="0.25">
      <c r="B8539" s="463"/>
      <c r="C8539" s="463"/>
    </row>
    <row r="8540" spans="2:3" x14ac:dyDescent="0.25">
      <c r="B8540" s="463"/>
      <c r="C8540" s="463"/>
    </row>
    <row r="8541" spans="2:3" x14ac:dyDescent="0.25">
      <c r="B8541" s="463"/>
      <c r="C8541" s="463"/>
    </row>
    <row r="8542" spans="2:3" x14ac:dyDescent="0.25">
      <c r="B8542" s="463"/>
      <c r="C8542" s="463"/>
    </row>
    <row r="8543" spans="2:3" x14ac:dyDescent="0.25">
      <c r="B8543" s="463"/>
      <c r="C8543" s="463"/>
    </row>
    <row r="8544" spans="2:3" x14ac:dyDescent="0.25">
      <c r="B8544" s="463"/>
      <c r="C8544" s="463"/>
    </row>
    <row r="8545" spans="2:3" x14ac:dyDescent="0.25">
      <c r="B8545" s="463"/>
      <c r="C8545" s="463"/>
    </row>
    <row r="8546" spans="2:3" x14ac:dyDescent="0.25">
      <c r="B8546" s="463"/>
      <c r="C8546" s="463"/>
    </row>
    <row r="8547" spans="2:3" x14ac:dyDescent="0.25">
      <c r="B8547" s="463"/>
      <c r="C8547" s="463"/>
    </row>
    <row r="8548" spans="2:3" x14ac:dyDescent="0.25">
      <c r="B8548" s="463"/>
      <c r="C8548" s="463"/>
    </row>
    <row r="8549" spans="2:3" x14ac:dyDescent="0.25">
      <c r="B8549" s="463"/>
      <c r="C8549" s="463"/>
    </row>
    <row r="8550" spans="2:3" x14ac:dyDescent="0.25">
      <c r="B8550" s="463"/>
      <c r="C8550" s="463"/>
    </row>
    <row r="8551" spans="2:3" x14ac:dyDescent="0.25">
      <c r="B8551" s="463"/>
      <c r="C8551" s="463"/>
    </row>
    <row r="8552" spans="2:3" x14ac:dyDescent="0.25">
      <c r="B8552" s="463"/>
      <c r="C8552" s="463"/>
    </row>
    <row r="8553" spans="2:3" x14ac:dyDescent="0.25">
      <c r="B8553" s="463"/>
      <c r="C8553" s="463"/>
    </row>
    <row r="8554" spans="2:3" x14ac:dyDescent="0.25">
      <c r="B8554" s="463"/>
      <c r="C8554" s="463"/>
    </row>
    <row r="8555" spans="2:3" x14ac:dyDescent="0.25">
      <c r="B8555" s="463"/>
      <c r="C8555" s="463"/>
    </row>
    <row r="8556" spans="2:3" x14ac:dyDescent="0.25">
      <c r="B8556" s="463"/>
      <c r="C8556" s="463"/>
    </row>
    <row r="8557" spans="2:3" x14ac:dyDescent="0.25">
      <c r="B8557" s="463"/>
      <c r="C8557" s="463"/>
    </row>
    <row r="8558" spans="2:3" x14ac:dyDescent="0.25">
      <c r="B8558" s="463"/>
      <c r="C8558" s="463"/>
    </row>
    <row r="8559" spans="2:3" x14ac:dyDescent="0.25">
      <c r="B8559" s="463"/>
      <c r="C8559" s="463"/>
    </row>
    <row r="8560" spans="2:3" x14ac:dyDescent="0.25">
      <c r="B8560" s="463"/>
      <c r="C8560" s="463"/>
    </row>
    <row r="8561" spans="2:3" x14ac:dyDescent="0.25">
      <c r="B8561" s="463"/>
      <c r="C8561" s="463"/>
    </row>
    <row r="8562" spans="2:3" x14ac:dyDescent="0.25">
      <c r="B8562" s="463"/>
      <c r="C8562" s="463"/>
    </row>
    <row r="8563" spans="2:3" x14ac:dyDescent="0.25">
      <c r="B8563" s="463"/>
      <c r="C8563" s="463"/>
    </row>
    <row r="8564" spans="2:3" x14ac:dyDescent="0.25">
      <c r="B8564" s="463"/>
      <c r="C8564" s="463"/>
    </row>
    <row r="8565" spans="2:3" x14ac:dyDescent="0.25">
      <c r="B8565" s="463"/>
      <c r="C8565" s="463"/>
    </row>
    <row r="8566" spans="2:3" x14ac:dyDescent="0.25">
      <c r="B8566" s="463"/>
      <c r="C8566" s="463"/>
    </row>
    <row r="8567" spans="2:3" x14ac:dyDescent="0.25">
      <c r="B8567" s="463"/>
      <c r="C8567" s="463"/>
    </row>
    <row r="8568" spans="2:3" x14ac:dyDescent="0.25">
      <c r="B8568" s="463"/>
      <c r="C8568" s="463"/>
    </row>
    <row r="8569" spans="2:3" x14ac:dyDescent="0.25">
      <c r="B8569" s="463"/>
      <c r="C8569" s="463"/>
    </row>
    <row r="8570" spans="2:3" x14ac:dyDescent="0.25">
      <c r="B8570" s="463"/>
      <c r="C8570" s="463"/>
    </row>
    <row r="8571" spans="2:3" x14ac:dyDescent="0.25">
      <c r="B8571" s="463"/>
      <c r="C8571" s="463"/>
    </row>
    <row r="8572" spans="2:3" x14ac:dyDescent="0.25">
      <c r="B8572" s="463"/>
      <c r="C8572" s="463"/>
    </row>
    <row r="8573" spans="2:3" x14ac:dyDescent="0.25">
      <c r="B8573" s="463"/>
      <c r="C8573" s="463"/>
    </row>
    <row r="8574" spans="2:3" x14ac:dyDescent="0.25">
      <c r="B8574" s="463"/>
      <c r="C8574" s="463"/>
    </row>
    <row r="8575" spans="2:3" x14ac:dyDescent="0.25">
      <c r="B8575" s="463"/>
      <c r="C8575" s="463"/>
    </row>
    <row r="8576" spans="2:3" x14ac:dyDescent="0.25">
      <c r="B8576" s="463"/>
      <c r="C8576" s="463"/>
    </row>
    <row r="8577" spans="2:3" x14ac:dyDescent="0.25">
      <c r="B8577" s="463"/>
      <c r="C8577" s="463"/>
    </row>
    <row r="8578" spans="2:3" x14ac:dyDescent="0.25">
      <c r="B8578" s="463"/>
      <c r="C8578" s="463"/>
    </row>
    <row r="8579" spans="2:3" x14ac:dyDescent="0.25">
      <c r="B8579" s="463"/>
      <c r="C8579" s="463"/>
    </row>
    <row r="8580" spans="2:3" x14ac:dyDescent="0.25">
      <c r="B8580" s="463"/>
      <c r="C8580" s="463"/>
    </row>
    <row r="8581" spans="2:3" x14ac:dyDescent="0.25">
      <c r="B8581" s="463"/>
      <c r="C8581" s="463"/>
    </row>
    <row r="8582" spans="2:3" x14ac:dyDescent="0.25">
      <c r="B8582" s="463"/>
      <c r="C8582" s="463"/>
    </row>
    <row r="8583" spans="2:3" x14ac:dyDescent="0.25">
      <c r="B8583" s="463"/>
      <c r="C8583" s="463"/>
    </row>
    <row r="8584" spans="2:3" x14ac:dyDescent="0.25">
      <c r="B8584" s="463"/>
      <c r="C8584" s="463"/>
    </row>
    <row r="8585" spans="2:3" x14ac:dyDescent="0.25">
      <c r="B8585" s="463"/>
      <c r="C8585" s="463"/>
    </row>
    <row r="8586" spans="2:3" x14ac:dyDescent="0.25">
      <c r="B8586" s="463"/>
      <c r="C8586" s="463"/>
    </row>
    <row r="8587" spans="2:3" x14ac:dyDescent="0.25">
      <c r="B8587" s="463"/>
      <c r="C8587" s="463"/>
    </row>
    <row r="8588" spans="2:3" x14ac:dyDescent="0.25">
      <c r="B8588" s="463"/>
      <c r="C8588" s="463"/>
    </row>
    <row r="8589" spans="2:3" x14ac:dyDescent="0.25">
      <c r="B8589" s="463"/>
      <c r="C8589" s="463"/>
    </row>
    <row r="8590" spans="2:3" x14ac:dyDescent="0.25">
      <c r="B8590" s="463"/>
      <c r="C8590" s="463"/>
    </row>
    <row r="8591" spans="2:3" x14ac:dyDescent="0.25">
      <c r="B8591" s="463"/>
      <c r="C8591" s="463"/>
    </row>
    <row r="8592" spans="2:3" x14ac:dyDescent="0.25">
      <c r="B8592" s="463"/>
      <c r="C8592" s="463"/>
    </row>
    <row r="8593" spans="2:3" x14ac:dyDescent="0.25">
      <c r="B8593" s="463"/>
      <c r="C8593" s="463"/>
    </row>
    <row r="8594" spans="2:3" x14ac:dyDescent="0.25">
      <c r="B8594" s="463"/>
      <c r="C8594" s="463"/>
    </row>
    <row r="8595" spans="2:3" x14ac:dyDescent="0.25">
      <c r="B8595" s="463"/>
      <c r="C8595" s="463"/>
    </row>
    <row r="8596" spans="2:3" x14ac:dyDescent="0.25">
      <c r="B8596" s="463"/>
      <c r="C8596" s="463"/>
    </row>
    <row r="8597" spans="2:3" x14ac:dyDescent="0.25">
      <c r="B8597" s="463"/>
      <c r="C8597" s="463"/>
    </row>
    <row r="8598" spans="2:3" x14ac:dyDescent="0.25">
      <c r="B8598" s="463"/>
      <c r="C8598" s="463"/>
    </row>
    <row r="8599" spans="2:3" x14ac:dyDescent="0.25">
      <c r="B8599" s="463"/>
      <c r="C8599" s="463"/>
    </row>
    <row r="8600" spans="2:3" x14ac:dyDescent="0.25">
      <c r="B8600" s="463"/>
      <c r="C8600" s="463"/>
    </row>
    <row r="8601" spans="2:3" x14ac:dyDescent="0.25">
      <c r="B8601" s="463"/>
      <c r="C8601" s="463"/>
    </row>
    <row r="8602" spans="2:3" x14ac:dyDescent="0.25">
      <c r="B8602" s="463"/>
      <c r="C8602" s="463"/>
    </row>
    <row r="8603" spans="2:3" x14ac:dyDescent="0.25">
      <c r="B8603" s="463"/>
      <c r="C8603" s="463"/>
    </row>
    <row r="8604" spans="2:3" x14ac:dyDescent="0.25">
      <c r="B8604" s="463"/>
      <c r="C8604" s="463"/>
    </row>
    <row r="8605" spans="2:3" x14ac:dyDescent="0.25">
      <c r="B8605" s="463"/>
      <c r="C8605" s="463"/>
    </row>
    <row r="8606" spans="2:3" x14ac:dyDescent="0.25">
      <c r="B8606" s="463"/>
      <c r="C8606" s="463"/>
    </row>
    <row r="8607" spans="2:3" x14ac:dyDescent="0.25">
      <c r="B8607" s="463"/>
      <c r="C8607" s="463"/>
    </row>
    <row r="8608" spans="2:3" x14ac:dyDescent="0.25">
      <c r="B8608" s="463"/>
      <c r="C8608" s="463"/>
    </row>
    <row r="8609" spans="2:3" x14ac:dyDescent="0.25">
      <c r="B8609" s="463"/>
      <c r="C8609" s="463"/>
    </row>
    <row r="8610" spans="2:3" x14ac:dyDescent="0.25">
      <c r="B8610" s="463"/>
      <c r="C8610" s="463"/>
    </row>
    <row r="8611" spans="2:3" x14ac:dyDescent="0.25">
      <c r="B8611" s="463"/>
      <c r="C8611" s="463"/>
    </row>
    <row r="8612" spans="2:3" x14ac:dyDescent="0.25">
      <c r="B8612" s="463"/>
      <c r="C8612" s="463"/>
    </row>
    <row r="8613" spans="2:3" x14ac:dyDescent="0.25">
      <c r="B8613" s="463"/>
      <c r="C8613" s="463"/>
    </row>
    <row r="8614" spans="2:3" x14ac:dyDescent="0.25">
      <c r="B8614" s="463"/>
      <c r="C8614" s="463"/>
    </row>
    <row r="8615" spans="2:3" x14ac:dyDescent="0.25">
      <c r="B8615" s="463"/>
      <c r="C8615" s="463"/>
    </row>
    <row r="8616" spans="2:3" x14ac:dyDescent="0.25">
      <c r="B8616" s="463"/>
      <c r="C8616" s="463"/>
    </row>
    <row r="8617" spans="2:3" x14ac:dyDescent="0.25">
      <c r="B8617" s="463"/>
      <c r="C8617" s="463"/>
    </row>
    <row r="8618" spans="2:3" x14ac:dyDescent="0.25">
      <c r="B8618" s="463"/>
      <c r="C8618" s="463"/>
    </row>
    <row r="8619" spans="2:3" x14ac:dyDescent="0.25">
      <c r="B8619" s="463"/>
      <c r="C8619" s="463"/>
    </row>
    <row r="8620" spans="2:3" x14ac:dyDescent="0.25">
      <c r="B8620" s="463"/>
      <c r="C8620" s="463"/>
    </row>
    <row r="8621" spans="2:3" x14ac:dyDescent="0.25">
      <c r="B8621" s="463"/>
      <c r="C8621" s="463"/>
    </row>
    <row r="8622" spans="2:3" x14ac:dyDescent="0.25">
      <c r="B8622" s="463"/>
      <c r="C8622" s="463"/>
    </row>
    <row r="8623" spans="2:3" x14ac:dyDescent="0.25">
      <c r="B8623" s="463"/>
      <c r="C8623" s="463"/>
    </row>
    <row r="8624" spans="2:3" x14ac:dyDescent="0.25">
      <c r="B8624" s="463"/>
      <c r="C8624" s="463"/>
    </row>
    <row r="8625" spans="2:3" x14ac:dyDescent="0.25">
      <c r="B8625" s="463"/>
      <c r="C8625" s="463"/>
    </row>
    <row r="8626" spans="2:3" x14ac:dyDescent="0.25">
      <c r="B8626" s="463"/>
      <c r="C8626" s="463"/>
    </row>
    <row r="8627" spans="2:3" x14ac:dyDescent="0.25">
      <c r="B8627" s="463"/>
      <c r="C8627" s="463"/>
    </row>
    <row r="8628" spans="2:3" x14ac:dyDescent="0.25">
      <c r="B8628" s="463"/>
      <c r="C8628" s="463"/>
    </row>
    <row r="8629" spans="2:3" x14ac:dyDescent="0.25">
      <c r="B8629" s="463"/>
      <c r="C8629" s="463"/>
    </row>
    <row r="8630" spans="2:3" x14ac:dyDescent="0.25">
      <c r="B8630" s="463"/>
      <c r="C8630" s="463"/>
    </row>
    <row r="8631" spans="2:3" x14ac:dyDescent="0.25">
      <c r="B8631" s="463"/>
      <c r="C8631" s="463"/>
    </row>
    <row r="8632" spans="2:3" x14ac:dyDescent="0.25">
      <c r="B8632" s="463"/>
      <c r="C8632" s="463"/>
    </row>
    <row r="8633" spans="2:3" x14ac:dyDescent="0.25">
      <c r="B8633" s="463"/>
      <c r="C8633" s="463"/>
    </row>
    <row r="8634" spans="2:3" x14ac:dyDescent="0.25">
      <c r="B8634" s="463"/>
      <c r="C8634" s="463"/>
    </row>
    <row r="8635" spans="2:3" x14ac:dyDescent="0.25">
      <c r="B8635" s="463"/>
      <c r="C8635" s="463"/>
    </row>
    <row r="8636" spans="2:3" x14ac:dyDescent="0.25">
      <c r="B8636" s="463"/>
      <c r="C8636" s="463"/>
    </row>
    <row r="8637" spans="2:3" x14ac:dyDescent="0.25">
      <c r="B8637" s="463"/>
      <c r="C8637" s="463"/>
    </row>
    <row r="8638" spans="2:3" x14ac:dyDescent="0.25">
      <c r="B8638" s="463"/>
      <c r="C8638" s="463"/>
    </row>
    <row r="8639" spans="2:3" x14ac:dyDescent="0.25">
      <c r="B8639" s="463"/>
      <c r="C8639" s="463"/>
    </row>
    <row r="8640" spans="2:3" x14ac:dyDescent="0.25">
      <c r="B8640" s="463"/>
      <c r="C8640" s="463"/>
    </row>
    <row r="8641" spans="2:3" x14ac:dyDescent="0.25">
      <c r="B8641" s="463"/>
      <c r="C8641" s="463"/>
    </row>
    <row r="8642" spans="2:3" x14ac:dyDescent="0.25">
      <c r="B8642" s="463"/>
      <c r="C8642" s="463"/>
    </row>
    <row r="8643" spans="2:3" x14ac:dyDescent="0.25">
      <c r="B8643" s="463"/>
      <c r="C8643" s="463"/>
    </row>
    <row r="8644" spans="2:3" x14ac:dyDescent="0.25">
      <c r="B8644" s="463"/>
      <c r="C8644" s="463"/>
    </row>
    <row r="8645" spans="2:3" x14ac:dyDescent="0.25">
      <c r="B8645" s="463"/>
      <c r="C8645" s="463"/>
    </row>
    <row r="8646" spans="2:3" x14ac:dyDescent="0.25">
      <c r="B8646" s="463"/>
      <c r="C8646" s="463"/>
    </row>
    <row r="8647" spans="2:3" x14ac:dyDescent="0.25">
      <c r="B8647" s="463"/>
      <c r="C8647" s="463"/>
    </row>
    <row r="8648" spans="2:3" x14ac:dyDescent="0.25">
      <c r="B8648" s="463"/>
      <c r="C8648" s="463"/>
    </row>
    <row r="8649" spans="2:3" x14ac:dyDescent="0.25">
      <c r="B8649" s="463"/>
      <c r="C8649" s="463"/>
    </row>
    <row r="8650" spans="2:3" x14ac:dyDescent="0.25">
      <c r="B8650" s="463"/>
      <c r="C8650" s="463"/>
    </row>
    <row r="8651" spans="2:3" x14ac:dyDescent="0.25">
      <c r="B8651" s="463"/>
      <c r="C8651" s="463"/>
    </row>
    <row r="8652" spans="2:3" x14ac:dyDescent="0.25">
      <c r="B8652" s="463"/>
      <c r="C8652" s="463"/>
    </row>
    <row r="8653" spans="2:3" x14ac:dyDescent="0.25">
      <c r="B8653" s="463"/>
      <c r="C8653" s="463"/>
    </row>
    <row r="8654" spans="2:3" x14ac:dyDescent="0.25">
      <c r="B8654" s="463"/>
      <c r="C8654" s="463"/>
    </row>
    <row r="8655" spans="2:3" x14ac:dyDescent="0.25">
      <c r="B8655" s="463"/>
      <c r="C8655" s="463"/>
    </row>
    <row r="8656" spans="2:3" x14ac:dyDescent="0.25">
      <c r="B8656" s="463"/>
      <c r="C8656" s="463"/>
    </row>
    <row r="8657" spans="2:3" x14ac:dyDescent="0.25">
      <c r="B8657" s="463"/>
      <c r="C8657" s="463"/>
    </row>
    <row r="8658" spans="2:3" x14ac:dyDescent="0.25">
      <c r="B8658" s="463"/>
      <c r="C8658" s="463"/>
    </row>
    <row r="8659" spans="2:3" x14ac:dyDescent="0.25">
      <c r="B8659" s="463"/>
      <c r="C8659" s="463"/>
    </row>
    <row r="8660" spans="2:3" x14ac:dyDescent="0.25">
      <c r="B8660" s="463"/>
      <c r="C8660" s="463"/>
    </row>
    <row r="8661" spans="2:3" x14ac:dyDescent="0.25">
      <c r="B8661" s="463"/>
      <c r="C8661" s="463"/>
    </row>
    <row r="8662" spans="2:3" x14ac:dyDescent="0.25">
      <c r="B8662" s="463"/>
      <c r="C8662" s="463"/>
    </row>
    <row r="8663" spans="2:3" x14ac:dyDescent="0.25">
      <c r="B8663" s="463"/>
      <c r="C8663" s="463"/>
    </row>
    <row r="8664" spans="2:3" x14ac:dyDescent="0.25">
      <c r="B8664" s="463"/>
      <c r="C8664" s="463"/>
    </row>
    <row r="8665" spans="2:3" x14ac:dyDescent="0.25">
      <c r="B8665" s="463"/>
      <c r="C8665" s="463"/>
    </row>
    <row r="8666" spans="2:3" x14ac:dyDescent="0.25">
      <c r="B8666" s="463"/>
      <c r="C8666" s="463"/>
    </row>
    <row r="8667" spans="2:3" x14ac:dyDescent="0.25">
      <c r="B8667" s="463"/>
      <c r="C8667" s="463"/>
    </row>
    <row r="8668" spans="2:3" x14ac:dyDescent="0.25">
      <c r="B8668" s="463"/>
      <c r="C8668" s="463"/>
    </row>
    <row r="8669" spans="2:3" x14ac:dyDescent="0.25">
      <c r="B8669" s="463"/>
      <c r="C8669" s="463"/>
    </row>
    <row r="8670" spans="2:3" x14ac:dyDescent="0.25">
      <c r="B8670" s="463"/>
      <c r="C8670" s="463"/>
    </row>
    <row r="8671" spans="2:3" x14ac:dyDescent="0.25">
      <c r="B8671" s="463"/>
      <c r="C8671" s="463"/>
    </row>
    <row r="8672" spans="2:3" x14ac:dyDescent="0.25">
      <c r="B8672" s="463"/>
      <c r="C8672" s="463"/>
    </row>
    <row r="8673" spans="2:3" x14ac:dyDescent="0.25">
      <c r="B8673" s="463"/>
      <c r="C8673" s="463"/>
    </row>
    <row r="8674" spans="2:3" x14ac:dyDescent="0.25">
      <c r="B8674" s="463"/>
      <c r="C8674" s="463"/>
    </row>
    <row r="8675" spans="2:3" x14ac:dyDescent="0.25">
      <c r="B8675" s="463"/>
      <c r="C8675" s="463"/>
    </row>
    <row r="8676" spans="2:3" x14ac:dyDescent="0.25">
      <c r="B8676" s="463"/>
      <c r="C8676" s="463"/>
    </row>
    <row r="8677" spans="2:3" x14ac:dyDescent="0.25">
      <c r="B8677" s="463"/>
      <c r="C8677" s="463"/>
    </row>
    <row r="8678" spans="2:3" x14ac:dyDescent="0.25">
      <c r="B8678" s="463"/>
      <c r="C8678" s="463"/>
    </row>
    <row r="8679" spans="2:3" x14ac:dyDescent="0.25">
      <c r="B8679" s="463"/>
      <c r="C8679" s="463"/>
    </row>
    <row r="8680" spans="2:3" x14ac:dyDescent="0.25">
      <c r="B8680" s="463"/>
      <c r="C8680" s="463"/>
    </row>
    <row r="8681" spans="2:3" x14ac:dyDescent="0.25">
      <c r="B8681" s="463"/>
      <c r="C8681" s="463"/>
    </row>
    <row r="8682" spans="2:3" x14ac:dyDescent="0.25">
      <c r="B8682" s="463"/>
      <c r="C8682" s="463"/>
    </row>
    <row r="8683" spans="2:3" x14ac:dyDescent="0.25">
      <c r="B8683" s="463"/>
      <c r="C8683" s="463"/>
    </row>
    <row r="8684" spans="2:3" x14ac:dyDescent="0.25">
      <c r="B8684" s="463"/>
      <c r="C8684" s="463"/>
    </row>
    <row r="8685" spans="2:3" x14ac:dyDescent="0.25">
      <c r="B8685" s="463"/>
      <c r="C8685" s="463"/>
    </row>
    <row r="8686" spans="2:3" x14ac:dyDescent="0.25">
      <c r="B8686" s="463"/>
      <c r="C8686" s="463"/>
    </row>
    <row r="8687" spans="2:3" x14ac:dyDescent="0.25">
      <c r="B8687" s="463"/>
      <c r="C8687" s="463"/>
    </row>
    <row r="8688" spans="2:3" x14ac:dyDescent="0.25">
      <c r="B8688" s="463"/>
      <c r="C8688" s="463"/>
    </row>
    <row r="8689" spans="2:3" x14ac:dyDescent="0.25">
      <c r="B8689" s="463"/>
      <c r="C8689" s="463"/>
    </row>
    <row r="8690" spans="2:3" x14ac:dyDescent="0.25">
      <c r="B8690" s="463"/>
      <c r="C8690" s="463"/>
    </row>
    <row r="8691" spans="2:3" x14ac:dyDescent="0.25">
      <c r="B8691" s="463"/>
      <c r="C8691" s="463"/>
    </row>
    <row r="8692" spans="2:3" x14ac:dyDescent="0.25">
      <c r="B8692" s="463"/>
      <c r="C8692" s="463"/>
    </row>
    <row r="8693" spans="2:3" x14ac:dyDescent="0.25">
      <c r="B8693" s="463"/>
      <c r="C8693" s="463"/>
    </row>
    <row r="8694" spans="2:3" x14ac:dyDescent="0.25">
      <c r="B8694" s="463"/>
      <c r="C8694" s="463"/>
    </row>
    <row r="8695" spans="2:3" x14ac:dyDescent="0.25">
      <c r="B8695" s="463"/>
      <c r="C8695" s="463"/>
    </row>
    <row r="8696" spans="2:3" x14ac:dyDescent="0.25">
      <c r="B8696" s="463"/>
      <c r="C8696" s="463"/>
    </row>
    <row r="8697" spans="2:3" x14ac:dyDescent="0.25">
      <c r="B8697" s="463"/>
      <c r="C8697" s="463"/>
    </row>
    <row r="8698" spans="2:3" x14ac:dyDescent="0.25">
      <c r="B8698" s="463"/>
      <c r="C8698" s="463"/>
    </row>
    <row r="8699" spans="2:3" x14ac:dyDescent="0.25">
      <c r="B8699" s="463"/>
      <c r="C8699" s="463"/>
    </row>
    <row r="8700" spans="2:3" x14ac:dyDescent="0.25">
      <c r="B8700" s="463"/>
      <c r="C8700" s="463"/>
    </row>
    <row r="8701" spans="2:3" x14ac:dyDescent="0.25">
      <c r="B8701" s="463"/>
      <c r="C8701" s="463"/>
    </row>
    <row r="8702" spans="2:3" x14ac:dyDescent="0.25">
      <c r="B8702" s="463"/>
      <c r="C8702" s="463"/>
    </row>
    <row r="8703" spans="2:3" x14ac:dyDescent="0.25">
      <c r="B8703" s="463"/>
      <c r="C8703" s="463"/>
    </row>
    <row r="8704" spans="2:3" x14ac:dyDescent="0.25">
      <c r="B8704" s="463"/>
      <c r="C8704" s="463"/>
    </row>
    <row r="8705" spans="2:3" x14ac:dyDescent="0.25">
      <c r="B8705" s="463"/>
      <c r="C8705" s="463"/>
    </row>
    <row r="8706" spans="2:3" x14ac:dyDescent="0.25">
      <c r="B8706" s="463"/>
      <c r="C8706" s="463"/>
    </row>
    <row r="8707" spans="2:3" x14ac:dyDescent="0.25">
      <c r="B8707" s="463"/>
      <c r="C8707" s="463"/>
    </row>
    <row r="8708" spans="2:3" x14ac:dyDescent="0.25">
      <c r="B8708" s="463"/>
      <c r="C8708" s="463"/>
    </row>
    <row r="8709" spans="2:3" x14ac:dyDescent="0.25">
      <c r="B8709" s="463"/>
      <c r="C8709" s="463"/>
    </row>
    <row r="8710" spans="2:3" x14ac:dyDescent="0.25">
      <c r="B8710" s="463"/>
      <c r="C8710" s="463"/>
    </row>
    <row r="8711" spans="2:3" x14ac:dyDescent="0.25">
      <c r="B8711" s="463"/>
      <c r="C8711" s="463"/>
    </row>
    <row r="8712" spans="2:3" x14ac:dyDescent="0.25">
      <c r="B8712" s="463"/>
      <c r="C8712" s="463"/>
    </row>
    <row r="8713" spans="2:3" x14ac:dyDescent="0.25">
      <c r="B8713" s="463"/>
      <c r="C8713" s="463"/>
    </row>
    <row r="8714" spans="2:3" x14ac:dyDescent="0.25">
      <c r="B8714" s="463"/>
      <c r="C8714" s="463"/>
    </row>
    <row r="8715" spans="2:3" x14ac:dyDescent="0.25">
      <c r="B8715" s="463"/>
      <c r="C8715" s="463"/>
    </row>
    <row r="8716" spans="2:3" x14ac:dyDescent="0.25">
      <c r="B8716" s="463"/>
      <c r="C8716" s="463"/>
    </row>
    <row r="8717" spans="2:3" x14ac:dyDescent="0.25">
      <c r="B8717" s="463"/>
      <c r="C8717" s="463"/>
    </row>
    <row r="8718" spans="2:3" x14ac:dyDescent="0.25">
      <c r="B8718" s="463"/>
      <c r="C8718" s="463"/>
    </row>
    <row r="8719" spans="2:3" x14ac:dyDescent="0.25">
      <c r="B8719" s="463"/>
      <c r="C8719" s="463"/>
    </row>
    <row r="8720" spans="2:3" x14ac:dyDescent="0.25">
      <c r="B8720" s="463"/>
      <c r="C8720" s="463"/>
    </row>
    <row r="8721" spans="2:3" x14ac:dyDescent="0.25">
      <c r="B8721" s="463"/>
      <c r="C8721" s="463"/>
    </row>
    <row r="8722" spans="2:3" x14ac:dyDescent="0.25">
      <c r="B8722" s="463"/>
      <c r="C8722" s="463"/>
    </row>
    <row r="8723" spans="2:3" x14ac:dyDescent="0.25">
      <c r="B8723" s="463"/>
      <c r="C8723" s="463"/>
    </row>
    <row r="8724" spans="2:3" x14ac:dyDescent="0.25">
      <c r="B8724" s="463"/>
      <c r="C8724" s="463"/>
    </row>
    <row r="8725" spans="2:3" x14ac:dyDescent="0.25">
      <c r="B8725" s="463"/>
      <c r="C8725" s="463"/>
    </row>
    <row r="8726" spans="2:3" x14ac:dyDescent="0.25">
      <c r="B8726" s="463"/>
      <c r="C8726" s="463"/>
    </row>
    <row r="8727" spans="2:3" x14ac:dyDescent="0.25">
      <c r="B8727" s="463"/>
      <c r="C8727" s="463"/>
    </row>
    <row r="8728" spans="2:3" x14ac:dyDescent="0.25">
      <c r="B8728" s="463"/>
      <c r="C8728" s="463"/>
    </row>
    <row r="8729" spans="2:3" x14ac:dyDescent="0.25">
      <c r="B8729" s="463"/>
      <c r="C8729" s="463"/>
    </row>
    <row r="8730" spans="2:3" x14ac:dyDescent="0.25">
      <c r="B8730" s="463"/>
      <c r="C8730" s="463"/>
    </row>
    <row r="8731" spans="2:3" x14ac:dyDescent="0.25">
      <c r="B8731" s="463"/>
      <c r="C8731" s="463"/>
    </row>
    <row r="8732" spans="2:3" x14ac:dyDescent="0.25">
      <c r="B8732" s="463"/>
      <c r="C8732" s="463"/>
    </row>
    <row r="8733" spans="2:3" x14ac:dyDescent="0.25">
      <c r="B8733" s="463"/>
      <c r="C8733" s="463"/>
    </row>
    <row r="8734" spans="2:3" x14ac:dyDescent="0.25">
      <c r="B8734" s="463"/>
      <c r="C8734" s="463"/>
    </row>
    <row r="8735" spans="2:3" x14ac:dyDescent="0.25">
      <c r="B8735" s="463"/>
      <c r="C8735" s="463"/>
    </row>
    <row r="8736" spans="2:3" x14ac:dyDescent="0.25">
      <c r="B8736" s="463"/>
      <c r="C8736" s="463"/>
    </row>
    <row r="8737" spans="2:3" x14ac:dyDescent="0.25">
      <c r="B8737" s="463"/>
      <c r="C8737" s="463"/>
    </row>
    <row r="8738" spans="2:3" x14ac:dyDescent="0.25">
      <c r="B8738" s="463"/>
      <c r="C8738" s="463"/>
    </row>
    <row r="8739" spans="2:3" x14ac:dyDescent="0.25">
      <c r="B8739" s="463"/>
      <c r="C8739" s="463"/>
    </row>
    <row r="8740" spans="2:3" x14ac:dyDescent="0.25">
      <c r="B8740" s="463"/>
      <c r="C8740" s="463"/>
    </row>
    <row r="8741" spans="2:3" x14ac:dyDescent="0.25">
      <c r="B8741" s="463"/>
      <c r="C8741" s="463"/>
    </row>
    <row r="8742" spans="2:3" x14ac:dyDescent="0.25">
      <c r="B8742" s="463"/>
      <c r="C8742" s="463"/>
    </row>
    <row r="8743" spans="2:3" x14ac:dyDescent="0.25">
      <c r="B8743" s="463"/>
      <c r="C8743" s="463"/>
    </row>
    <row r="8744" spans="2:3" x14ac:dyDescent="0.25">
      <c r="B8744" s="463"/>
      <c r="C8744" s="463"/>
    </row>
    <row r="8745" spans="2:3" x14ac:dyDescent="0.25">
      <c r="B8745" s="463"/>
      <c r="C8745" s="463"/>
    </row>
    <row r="8746" spans="2:3" x14ac:dyDescent="0.25">
      <c r="B8746" s="463"/>
      <c r="C8746" s="463"/>
    </row>
    <row r="8747" spans="2:3" x14ac:dyDescent="0.25">
      <c r="B8747" s="463"/>
      <c r="C8747" s="463"/>
    </row>
    <row r="8748" spans="2:3" x14ac:dyDescent="0.25">
      <c r="B8748" s="463"/>
      <c r="C8748" s="463"/>
    </row>
    <row r="8749" spans="2:3" x14ac:dyDescent="0.25">
      <c r="B8749" s="463"/>
      <c r="C8749" s="463"/>
    </row>
    <row r="8750" spans="2:3" x14ac:dyDescent="0.25">
      <c r="B8750" s="463"/>
      <c r="C8750" s="463"/>
    </row>
    <row r="8751" spans="2:3" x14ac:dyDescent="0.25">
      <c r="B8751" s="463"/>
      <c r="C8751" s="463"/>
    </row>
    <row r="8752" spans="2:3" x14ac:dyDescent="0.25">
      <c r="B8752" s="463"/>
      <c r="C8752" s="463"/>
    </row>
    <row r="8753" spans="2:3" x14ac:dyDescent="0.25">
      <c r="B8753" s="463"/>
      <c r="C8753" s="463"/>
    </row>
    <row r="8754" spans="2:3" x14ac:dyDescent="0.25">
      <c r="B8754" s="463"/>
      <c r="C8754" s="463"/>
    </row>
    <row r="8755" spans="2:3" x14ac:dyDescent="0.25">
      <c r="B8755" s="463"/>
      <c r="C8755" s="463"/>
    </row>
    <row r="8756" spans="2:3" x14ac:dyDescent="0.25">
      <c r="B8756" s="463"/>
      <c r="C8756" s="463"/>
    </row>
    <row r="8757" spans="2:3" x14ac:dyDescent="0.25">
      <c r="B8757" s="463"/>
      <c r="C8757" s="463"/>
    </row>
    <row r="8758" spans="2:3" x14ac:dyDescent="0.25">
      <c r="B8758" s="463"/>
      <c r="C8758" s="463"/>
    </row>
    <row r="8759" spans="2:3" x14ac:dyDescent="0.25">
      <c r="B8759" s="463"/>
      <c r="C8759" s="463"/>
    </row>
    <row r="8760" spans="2:3" x14ac:dyDescent="0.25">
      <c r="B8760" s="463"/>
      <c r="C8760" s="463"/>
    </row>
    <row r="8761" spans="2:3" x14ac:dyDescent="0.25">
      <c r="B8761" s="463"/>
      <c r="C8761" s="463"/>
    </row>
    <row r="8762" spans="2:3" x14ac:dyDescent="0.25">
      <c r="B8762" s="463"/>
      <c r="C8762" s="463"/>
    </row>
    <row r="8763" spans="2:3" x14ac:dyDescent="0.25">
      <c r="B8763" s="463"/>
      <c r="C8763" s="463"/>
    </row>
    <row r="8764" spans="2:3" x14ac:dyDescent="0.25">
      <c r="B8764" s="463"/>
      <c r="C8764" s="463"/>
    </row>
    <row r="8765" spans="2:3" x14ac:dyDescent="0.25">
      <c r="B8765" s="463"/>
      <c r="C8765" s="463"/>
    </row>
    <row r="8766" spans="2:3" x14ac:dyDescent="0.25">
      <c r="B8766" s="463"/>
      <c r="C8766" s="463"/>
    </row>
    <row r="8767" spans="2:3" x14ac:dyDescent="0.25">
      <c r="B8767" s="463"/>
      <c r="C8767" s="463"/>
    </row>
    <row r="8768" spans="2:3" x14ac:dyDescent="0.25">
      <c r="B8768" s="463"/>
      <c r="C8768" s="463"/>
    </row>
    <row r="8769" spans="2:3" x14ac:dyDescent="0.25">
      <c r="B8769" s="463"/>
      <c r="C8769" s="463"/>
    </row>
    <row r="8770" spans="2:3" x14ac:dyDescent="0.25">
      <c r="B8770" s="463"/>
      <c r="C8770" s="463"/>
    </row>
    <row r="8771" spans="2:3" x14ac:dyDescent="0.25">
      <c r="B8771" s="463"/>
      <c r="C8771" s="463"/>
    </row>
    <row r="8772" spans="2:3" x14ac:dyDescent="0.25">
      <c r="B8772" s="463"/>
      <c r="C8772" s="463"/>
    </row>
    <row r="8773" spans="2:3" x14ac:dyDescent="0.25">
      <c r="B8773" s="463"/>
      <c r="C8773" s="463"/>
    </row>
    <row r="8774" spans="2:3" x14ac:dyDescent="0.25">
      <c r="B8774" s="463"/>
      <c r="C8774" s="463"/>
    </row>
    <row r="8775" spans="2:3" x14ac:dyDescent="0.25">
      <c r="B8775" s="463"/>
      <c r="C8775" s="463"/>
    </row>
    <row r="8776" spans="2:3" x14ac:dyDescent="0.25">
      <c r="B8776" s="463"/>
      <c r="C8776" s="463"/>
    </row>
    <row r="8777" spans="2:3" x14ac:dyDescent="0.25">
      <c r="B8777" s="463"/>
      <c r="C8777" s="463"/>
    </row>
    <row r="8778" spans="2:3" x14ac:dyDescent="0.25">
      <c r="B8778" s="463"/>
      <c r="C8778" s="463"/>
    </row>
    <row r="8779" spans="2:3" x14ac:dyDescent="0.25">
      <c r="B8779" s="463"/>
      <c r="C8779" s="463"/>
    </row>
    <row r="8780" spans="2:3" x14ac:dyDescent="0.25">
      <c r="B8780" s="463"/>
      <c r="C8780" s="463"/>
    </row>
    <row r="8781" spans="2:3" x14ac:dyDescent="0.25">
      <c r="B8781" s="463"/>
      <c r="C8781" s="463"/>
    </row>
    <row r="8782" spans="2:3" x14ac:dyDescent="0.25">
      <c r="B8782" s="463"/>
      <c r="C8782" s="463"/>
    </row>
    <row r="8783" spans="2:3" x14ac:dyDescent="0.25">
      <c r="B8783" s="463"/>
      <c r="C8783" s="463"/>
    </row>
    <row r="8784" spans="2:3" x14ac:dyDescent="0.25">
      <c r="B8784" s="463"/>
      <c r="C8784" s="463"/>
    </row>
    <row r="8785" spans="2:3" x14ac:dyDescent="0.25">
      <c r="B8785" s="463"/>
      <c r="C8785" s="463"/>
    </row>
    <row r="8786" spans="2:3" x14ac:dyDescent="0.25">
      <c r="B8786" s="463"/>
      <c r="C8786" s="463"/>
    </row>
    <row r="8787" spans="2:3" x14ac:dyDescent="0.25">
      <c r="B8787" s="463"/>
      <c r="C8787" s="463"/>
    </row>
    <row r="8788" spans="2:3" x14ac:dyDescent="0.25">
      <c r="B8788" s="463"/>
      <c r="C8788" s="463"/>
    </row>
    <row r="8789" spans="2:3" x14ac:dyDescent="0.25">
      <c r="B8789" s="463"/>
      <c r="C8789" s="463"/>
    </row>
    <row r="8790" spans="2:3" x14ac:dyDescent="0.25">
      <c r="B8790" s="463"/>
      <c r="C8790" s="463"/>
    </row>
    <row r="8791" spans="2:3" x14ac:dyDescent="0.25">
      <c r="B8791" s="463"/>
      <c r="C8791" s="463"/>
    </row>
    <row r="8792" spans="2:3" x14ac:dyDescent="0.25">
      <c r="B8792" s="463"/>
      <c r="C8792" s="463"/>
    </row>
    <row r="8793" spans="2:3" x14ac:dyDescent="0.25">
      <c r="B8793" s="463"/>
      <c r="C8793" s="463"/>
    </row>
    <row r="8794" spans="2:3" x14ac:dyDescent="0.25">
      <c r="B8794" s="463"/>
      <c r="C8794" s="463"/>
    </row>
    <row r="8795" spans="2:3" x14ac:dyDescent="0.25">
      <c r="B8795" s="463"/>
      <c r="C8795" s="463"/>
    </row>
    <row r="8796" spans="2:3" x14ac:dyDescent="0.25">
      <c r="B8796" s="463"/>
      <c r="C8796" s="463"/>
    </row>
    <row r="8797" spans="2:3" x14ac:dyDescent="0.25">
      <c r="B8797" s="463"/>
      <c r="C8797" s="463"/>
    </row>
    <row r="8798" spans="2:3" x14ac:dyDescent="0.25">
      <c r="B8798" s="463"/>
      <c r="C8798" s="463"/>
    </row>
    <row r="8799" spans="2:3" x14ac:dyDescent="0.25">
      <c r="B8799" s="463"/>
      <c r="C8799" s="463"/>
    </row>
    <row r="8800" spans="2:3" x14ac:dyDescent="0.25">
      <c r="B8800" s="463"/>
      <c r="C8800" s="463"/>
    </row>
    <row r="8801" spans="2:3" x14ac:dyDescent="0.25">
      <c r="B8801" s="463"/>
      <c r="C8801" s="463"/>
    </row>
    <row r="8802" spans="2:3" x14ac:dyDescent="0.25">
      <c r="B8802" s="463"/>
      <c r="C8802" s="463"/>
    </row>
    <row r="8803" spans="2:3" x14ac:dyDescent="0.25">
      <c r="B8803" s="463"/>
      <c r="C8803" s="463"/>
    </row>
    <row r="8804" spans="2:3" x14ac:dyDescent="0.25">
      <c r="B8804" s="463"/>
      <c r="C8804" s="463"/>
    </row>
    <row r="8805" spans="2:3" x14ac:dyDescent="0.25">
      <c r="B8805" s="463"/>
      <c r="C8805" s="463"/>
    </row>
    <row r="8806" spans="2:3" x14ac:dyDescent="0.25">
      <c r="B8806" s="463"/>
      <c r="C8806" s="463"/>
    </row>
    <row r="8807" spans="2:3" x14ac:dyDescent="0.25">
      <c r="B8807" s="463"/>
      <c r="C8807" s="463"/>
    </row>
    <row r="8808" spans="2:3" x14ac:dyDescent="0.25">
      <c r="B8808" s="463"/>
      <c r="C8808" s="463"/>
    </row>
    <row r="8809" spans="2:3" x14ac:dyDescent="0.25">
      <c r="B8809" s="463"/>
      <c r="C8809" s="463"/>
    </row>
    <row r="8810" spans="2:3" x14ac:dyDescent="0.25">
      <c r="B8810" s="463"/>
      <c r="C8810" s="463"/>
    </row>
    <row r="8811" spans="2:3" x14ac:dyDescent="0.25">
      <c r="B8811" s="463"/>
      <c r="C8811" s="463"/>
    </row>
    <row r="8812" spans="2:3" x14ac:dyDescent="0.25">
      <c r="B8812" s="463"/>
      <c r="C8812" s="463"/>
    </row>
    <row r="8813" spans="2:3" x14ac:dyDescent="0.25">
      <c r="B8813" s="463"/>
      <c r="C8813" s="463"/>
    </row>
    <row r="8814" spans="2:3" x14ac:dyDescent="0.25">
      <c r="B8814" s="463"/>
      <c r="C8814" s="463"/>
    </row>
    <row r="8815" spans="2:3" x14ac:dyDescent="0.25">
      <c r="B8815" s="463"/>
      <c r="C8815" s="463"/>
    </row>
    <row r="8816" spans="2:3" x14ac:dyDescent="0.25">
      <c r="B8816" s="463"/>
      <c r="C8816" s="463"/>
    </row>
    <row r="8817" spans="2:3" x14ac:dyDescent="0.25">
      <c r="B8817" s="463"/>
      <c r="C8817" s="463"/>
    </row>
    <row r="8818" spans="2:3" x14ac:dyDescent="0.25">
      <c r="B8818" s="463"/>
      <c r="C8818" s="463"/>
    </row>
    <row r="8819" spans="2:3" x14ac:dyDescent="0.25">
      <c r="B8819" s="463"/>
      <c r="C8819" s="463"/>
    </row>
    <row r="8820" spans="2:3" x14ac:dyDescent="0.25">
      <c r="B8820" s="463"/>
      <c r="C8820" s="463"/>
    </row>
    <row r="8821" spans="2:3" x14ac:dyDescent="0.25">
      <c r="B8821" s="463"/>
      <c r="C8821" s="463"/>
    </row>
    <row r="8822" spans="2:3" x14ac:dyDescent="0.25">
      <c r="B8822" s="463"/>
      <c r="C8822" s="463"/>
    </row>
    <row r="8823" spans="2:3" x14ac:dyDescent="0.25">
      <c r="B8823" s="463"/>
      <c r="C8823" s="463"/>
    </row>
    <row r="8824" spans="2:3" x14ac:dyDescent="0.25">
      <c r="B8824" s="463"/>
      <c r="C8824" s="463"/>
    </row>
    <row r="8825" spans="2:3" x14ac:dyDescent="0.25">
      <c r="B8825" s="463"/>
      <c r="C8825" s="463"/>
    </row>
    <row r="8826" spans="2:3" x14ac:dyDescent="0.25">
      <c r="B8826" s="463"/>
      <c r="C8826" s="463"/>
    </row>
    <row r="8827" spans="2:3" x14ac:dyDescent="0.25">
      <c r="B8827" s="463"/>
      <c r="C8827" s="463"/>
    </row>
    <row r="8828" spans="2:3" x14ac:dyDescent="0.25">
      <c r="B8828" s="463"/>
      <c r="C8828" s="463"/>
    </row>
    <row r="8829" spans="2:3" x14ac:dyDescent="0.25">
      <c r="B8829" s="463"/>
      <c r="C8829" s="463"/>
    </row>
    <row r="8830" spans="2:3" x14ac:dyDescent="0.25">
      <c r="B8830" s="463"/>
      <c r="C8830" s="463"/>
    </row>
    <row r="8831" spans="2:3" x14ac:dyDescent="0.25">
      <c r="B8831" s="463"/>
      <c r="C8831" s="463"/>
    </row>
    <row r="8832" spans="2:3" x14ac:dyDescent="0.25">
      <c r="B8832" s="463"/>
      <c r="C8832" s="463"/>
    </row>
    <row r="8833" spans="2:3" x14ac:dyDescent="0.25">
      <c r="B8833" s="463"/>
      <c r="C8833" s="463"/>
    </row>
    <row r="8834" spans="2:3" x14ac:dyDescent="0.25">
      <c r="B8834" s="463"/>
      <c r="C8834" s="463"/>
    </row>
    <row r="8835" spans="2:3" x14ac:dyDescent="0.25">
      <c r="B8835" s="463"/>
      <c r="C8835" s="463"/>
    </row>
    <row r="8836" spans="2:3" x14ac:dyDescent="0.25">
      <c r="B8836" s="463"/>
      <c r="C8836" s="463"/>
    </row>
    <row r="8837" spans="2:3" x14ac:dyDescent="0.25">
      <c r="B8837" s="463"/>
      <c r="C8837" s="463"/>
    </row>
    <row r="8838" spans="2:3" x14ac:dyDescent="0.25">
      <c r="B8838" s="463"/>
      <c r="C8838" s="463"/>
    </row>
    <row r="8839" spans="2:3" x14ac:dyDescent="0.25">
      <c r="B8839" s="463"/>
      <c r="C8839" s="463"/>
    </row>
    <row r="8840" spans="2:3" x14ac:dyDescent="0.25">
      <c r="B8840" s="463"/>
      <c r="C8840" s="463"/>
    </row>
    <row r="8841" spans="2:3" x14ac:dyDescent="0.25">
      <c r="B8841" s="463"/>
      <c r="C8841" s="463"/>
    </row>
    <row r="8842" spans="2:3" x14ac:dyDescent="0.25">
      <c r="B8842" s="463"/>
      <c r="C8842" s="463"/>
    </row>
    <row r="8843" spans="2:3" x14ac:dyDescent="0.25">
      <c r="B8843" s="463"/>
      <c r="C8843" s="463"/>
    </row>
    <row r="8844" spans="2:3" x14ac:dyDescent="0.25">
      <c r="B8844" s="463"/>
      <c r="C8844" s="463"/>
    </row>
    <row r="8845" spans="2:3" x14ac:dyDescent="0.25">
      <c r="B8845" s="463"/>
      <c r="C8845" s="463"/>
    </row>
    <row r="8846" spans="2:3" x14ac:dyDescent="0.25">
      <c r="B8846" s="463"/>
      <c r="C8846" s="463"/>
    </row>
    <row r="8847" spans="2:3" x14ac:dyDescent="0.25">
      <c r="B8847" s="463"/>
      <c r="C8847" s="463"/>
    </row>
    <row r="8848" spans="2:3" x14ac:dyDescent="0.25">
      <c r="B8848" s="463"/>
      <c r="C8848" s="463"/>
    </row>
    <row r="8849" spans="2:3" x14ac:dyDescent="0.25">
      <c r="B8849" s="463"/>
      <c r="C8849" s="463"/>
    </row>
    <row r="8850" spans="2:3" x14ac:dyDescent="0.25">
      <c r="B8850" s="463"/>
      <c r="C8850" s="463"/>
    </row>
    <row r="8851" spans="2:3" x14ac:dyDescent="0.25">
      <c r="B8851" s="463"/>
      <c r="C8851" s="463"/>
    </row>
    <row r="8852" spans="2:3" x14ac:dyDescent="0.25">
      <c r="B8852" s="463"/>
      <c r="C8852" s="463"/>
    </row>
    <row r="8853" spans="2:3" x14ac:dyDescent="0.25">
      <c r="B8853" s="463"/>
      <c r="C8853" s="463"/>
    </row>
    <row r="8854" spans="2:3" x14ac:dyDescent="0.25">
      <c r="B8854" s="463"/>
      <c r="C8854" s="463"/>
    </row>
    <row r="8855" spans="2:3" x14ac:dyDescent="0.25">
      <c r="B8855" s="463"/>
      <c r="C8855" s="463"/>
    </row>
    <row r="8856" spans="2:3" x14ac:dyDescent="0.25">
      <c r="B8856" s="463"/>
      <c r="C8856" s="463"/>
    </row>
    <row r="8857" spans="2:3" x14ac:dyDescent="0.25">
      <c r="B8857" s="463"/>
      <c r="C8857" s="463"/>
    </row>
    <row r="8858" spans="2:3" x14ac:dyDescent="0.25">
      <c r="B8858" s="463"/>
      <c r="C8858" s="463"/>
    </row>
    <row r="8859" spans="2:3" x14ac:dyDescent="0.25">
      <c r="B8859" s="463"/>
      <c r="C8859" s="463"/>
    </row>
    <row r="8860" spans="2:3" x14ac:dyDescent="0.25">
      <c r="B8860" s="463"/>
      <c r="C8860" s="463"/>
    </row>
    <row r="8861" spans="2:3" x14ac:dyDescent="0.25">
      <c r="B8861" s="463"/>
      <c r="C8861" s="463"/>
    </row>
    <row r="8862" spans="2:3" x14ac:dyDescent="0.25">
      <c r="B8862" s="463"/>
      <c r="C8862" s="463"/>
    </row>
    <row r="8863" spans="2:3" x14ac:dyDescent="0.25">
      <c r="B8863" s="463"/>
      <c r="C8863" s="463"/>
    </row>
    <row r="8864" spans="2:3" x14ac:dyDescent="0.25">
      <c r="B8864" s="463"/>
      <c r="C8864" s="463"/>
    </row>
    <row r="8865" spans="2:3" x14ac:dyDescent="0.25">
      <c r="B8865" s="463"/>
      <c r="C8865" s="463"/>
    </row>
    <row r="8866" spans="2:3" x14ac:dyDescent="0.25">
      <c r="B8866" s="463"/>
      <c r="C8866" s="463"/>
    </row>
    <row r="8867" spans="2:3" x14ac:dyDescent="0.25">
      <c r="B8867" s="463"/>
      <c r="C8867" s="463"/>
    </row>
    <row r="8868" spans="2:3" x14ac:dyDescent="0.25">
      <c r="B8868" s="463"/>
      <c r="C8868" s="463"/>
    </row>
    <row r="8869" spans="2:3" x14ac:dyDescent="0.25">
      <c r="B8869" s="463"/>
      <c r="C8869" s="463"/>
    </row>
    <row r="8870" spans="2:3" x14ac:dyDescent="0.25">
      <c r="B8870" s="463"/>
      <c r="C8870" s="463"/>
    </row>
    <row r="8871" spans="2:3" x14ac:dyDescent="0.25">
      <c r="B8871" s="463"/>
      <c r="C8871" s="463"/>
    </row>
    <row r="8872" spans="2:3" x14ac:dyDescent="0.25">
      <c r="B8872" s="463"/>
      <c r="C8872" s="463"/>
    </row>
    <row r="8873" spans="2:3" x14ac:dyDescent="0.25">
      <c r="B8873" s="463"/>
      <c r="C8873" s="463"/>
    </row>
    <row r="8874" spans="2:3" x14ac:dyDescent="0.25">
      <c r="B8874" s="463"/>
      <c r="C8874" s="463"/>
    </row>
    <row r="8875" spans="2:3" x14ac:dyDescent="0.25">
      <c r="B8875" s="463"/>
      <c r="C8875" s="463"/>
    </row>
    <row r="8876" spans="2:3" x14ac:dyDescent="0.25">
      <c r="B8876" s="463"/>
      <c r="C8876" s="463"/>
    </row>
    <row r="8877" spans="2:3" x14ac:dyDescent="0.25">
      <c r="B8877" s="463"/>
      <c r="C8877" s="463"/>
    </row>
    <row r="8878" spans="2:3" x14ac:dyDescent="0.25">
      <c r="B8878" s="463"/>
      <c r="C8878" s="463"/>
    </row>
    <row r="8879" spans="2:3" x14ac:dyDescent="0.25">
      <c r="B8879" s="463"/>
      <c r="C8879" s="463"/>
    </row>
    <row r="8880" spans="2:3" x14ac:dyDescent="0.25">
      <c r="B8880" s="463"/>
      <c r="C8880" s="463"/>
    </row>
    <row r="8881" spans="2:3" x14ac:dyDescent="0.25">
      <c r="B8881" s="463"/>
      <c r="C8881" s="463"/>
    </row>
    <row r="8882" spans="2:3" x14ac:dyDescent="0.25">
      <c r="B8882" s="463"/>
      <c r="C8882" s="463"/>
    </row>
    <row r="8883" spans="2:3" x14ac:dyDescent="0.25">
      <c r="B8883" s="463"/>
      <c r="C8883" s="463"/>
    </row>
    <row r="8884" spans="2:3" x14ac:dyDescent="0.25">
      <c r="B8884" s="463"/>
      <c r="C8884" s="463"/>
    </row>
    <row r="8885" spans="2:3" x14ac:dyDescent="0.25">
      <c r="B8885" s="463"/>
      <c r="C8885" s="463"/>
    </row>
    <row r="8886" spans="2:3" x14ac:dyDescent="0.25">
      <c r="B8886" s="463"/>
      <c r="C8886" s="463"/>
    </row>
    <row r="8887" spans="2:3" x14ac:dyDescent="0.25">
      <c r="B8887" s="463"/>
      <c r="C8887" s="463"/>
    </row>
    <row r="8888" spans="2:3" x14ac:dyDescent="0.25">
      <c r="B8888" s="463"/>
      <c r="C8888" s="463"/>
    </row>
    <row r="8889" spans="2:3" x14ac:dyDescent="0.25">
      <c r="B8889" s="463"/>
      <c r="C8889" s="463"/>
    </row>
    <row r="8890" spans="2:3" x14ac:dyDescent="0.25">
      <c r="B8890" s="463"/>
      <c r="C8890" s="463"/>
    </row>
    <row r="8891" spans="2:3" x14ac:dyDescent="0.25">
      <c r="B8891" s="463"/>
      <c r="C8891" s="463"/>
    </row>
    <row r="8892" spans="2:3" x14ac:dyDescent="0.25">
      <c r="B8892" s="463"/>
      <c r="C8892" s="463"/>
    </row>
    <row r="8893" spans="2:3" x14ac:dyDescent="0.25">
      <c r="B8893" s="463"/>
      <c r="C8893" s="463"/>
    </row>
    <row r="8894" spans="2:3" x14ac:dyDescent="0.25">
      <c r="B8894" s="463"/>
      <c r="C8894" s="463"/>
    </row>
    <row r="8895" spans="2:3" x14ac:dyDescent="0.25">
      <c r="B8895" s="463"/>
      <c r="C8895" s="463"/>
    </row>
    <row r="8896" spans="2:3" x14ac:dyDescent="0.25">
      <c r="B8896" s="463"/>
      <c r="C8896" s="463"/>
    </row>
    <row r="8897" spans="2:3" x14ac:dyDescent="0.25">
      <c r="B8897" s="463"/>
      <c r="C8897" s="463"/>
    </row>
    <row r="8898" spans="2:3" x14ac:dyDescent="0.25">
      <c r="B8898" s="463"/>
      <c r="C8898" s="463"/>
    </row>
    <row r="8899" spans="2:3" x14ac:dyDescent="0.25">
      <c r="B8899" s="463"/>
      <c r="C8899" s="463"/>
    </row>
    <row r="8900" spans="2:3" x14ac:dyDescent="0.25">
      <c r="B8900" s="463"/>
      <c r="C8900" s="463"/>
    </row>
    <row r="8901" spans="2:3" x14ac:dyDescent="0.25">
      <c r="B8901" s="463"/>
      <c r="C8901" s="463"/>
    </row>
    <row r="8902" spans="2:3" x14ac:dyDescent="0.25">
      <c r="B8902" s="463"/>
      <c r="C8902" s="463"/>
    </row>
    <row r="8903" spans="2:3" x14ac:dyDescent="0.25">
      <c r="B8903" s="463"/>
      <c r="C8903" s="463"/>
    </row>
    <row r="8904" spans="2:3" x14ac:dyDescent="0.25">
      <c r="B8904" s="463"/>
      <c r="C8904" s="463"/>
    </row>
    <row r="8905" spans="2:3" x14ac:dyDescent="0.25">
      <c r="B8905" s="463"/>
      <c r="C8905" s="463"/>
    </row>
    <row r="8906" spans="2:3" x14ac:dyDescent="0.25">
      <c r="B8906" s="463"/>
      <c r="C8906" s="463"/>
    </row>
    <row r="8907" spans="2:3" x14ac:dyDescent="0.25">
      <c r="B8907" s="463"/>
      <c r="C8907" s="463"/>
    </row>
    <row r="8908" spans="2:3" x14ac:dyDescent="0.25">
      <c r="B8908" s="463"/>
      <c r="C8908" s="463"/>
    </row>
    <row r="8909" spans="2:3" x14ac:dyDescent="0.25">
      <c r="B8909" s="463"/>
      <c r="C8909" s="463"/>
    </row>
    <row r="8910" spans="2:3" x14ac:dyDescent="0.25">
      <c r="B8910" s="463"/>
      <c r="C8910" s="463"/>
    </row>
    <row r="8911" spans="2:3" x14ac:dyDescent="0.25">
      <c r="B8911" s="463"/>
      <c r="C8911" s="463"/>
    </row>
    <row r="8912" spans="2:3" x14ac:dyDescent="0.25">
      <c r="B8912" s="463"/>
      <c r="C8912" s="463"/>
    </row>
    <row r="8913" spans="2:3" x14ac:dyDescent="0.25">
      <c r="B8913" s="463"/>
      <c r="C8913" s="463"/>
    </row>
    <row r="8914" spans="2:3" x14ac:dyDescent="0.25">
      <c r="B8914" s="463"/>
      <c r="C8914" s="463"/>
    </row>
    <row r="8915" spans="2:3" x14ac:dyDescent="0.25">
      <c r="B8915" s="463"/>
      <c r="C8915" s="463"/>
    </row>
    <row r="8916" spans="2:3" x14ac:dyDescent="0.25">
      <c r="B8916" s="463"/>
      <c r="C8916" s="463"/>
    </row>
    <row r="8917" spans="2:3" x14ac:dyDescent="0.25">
      <c r="B8917" s="463"/>
      <c r="C8917" s="463"/>
    </row>
    <row r="8918" spans="2:3" x14ac:dyDescent="0.25">
      <c r="B8918" s="463"/>
      <c r="C8918" s="463"/>
    </row>
    <row r="8919" spans="2:3" x14ac:dyDescent="0.25">
      <c r="B8919" s="463"/>
      <c r="C8919" s="463"/>
    </row>
    <row r="8920" spans="2:3" x14ac:dyDescent="0.25">
      <c r="B8920" s="463"/>
      <c r="C8920" s="463"/>
    </row>
    <row r="8921" spans="2:3" x14ac:dyDescent="0.25">
      <c r="B8921" s="463"/>
      <c r="C8921" s="463"/>
    </row>
    <row r="8922" spans="2:3" x14ac:dyDescent="0.25">
      <c r="B8922" s="463"/>
      <c r="C8922" s="463"/>
    </row>
    <row r="8923" spans="2:3" x14ac:dyDescent="0.25">
      <c r="B8923" s="463"/>
      <c r="C8923" s="463"/>
    </row>
    <row r="8924" spans="2:3" x14ac:dyDescent="0.25">
      <c r="B8924" s="463"/>
      <c r="C8924" s="463"/>
    </row>
    <row r="8925" spans="2:3" x14ac:dyDescent="0.25">
      <c r="B8925" s="463"/>
      <c r="C8925" s="463"/>
    </row>
    <row r="8926" spans="2:3" x14ac:dyDescent="0.25">
      <c r="B8926" s="463"/>
      <c r="C8926" s="463"/>
    </row>
    <row r="8927" spans="2:3" x14ac:dyDescent="0.25">
      <c r="B8927" s="463"/>
      <c r="C8927" s="463"/>
    </row>
    <row r="8928" spans="2:3" x14ac:dyDescent="0.25">
      <c r="B8928" s="463"/>
      <c r="C8928" s="463"/>
    </row>
    <row r="8929" spans="2:3" x14ac:dyDescent="0.25">
      <c r="B8929" s="463"/>
      <c r="C8929" s="463"/>
    </row>
    <row r="8930" spans="2:3" x14ac:dyDescent="0.25">
      <c r="B8930" s="463"/>
      <c r="C8930" s="463"/>
    </row>
    <row r="8931" spans="2:3" x14ac:dyDescent="0.25">
      <c r="B8931" s="463"/>
      <c r="C8931" s="463"/>
    </row>
    <row r="8932" spans="2:3" x14ac:dyDescent="0.25">
      <c r="B8932" s="463"/>
      <c r="C8932" s="463"/>
    </row>
    <row r="8933" spans="2:3" x14ac:dyDescent="0.25">
      <c r="B8933" s="463"/>
      <c r="C8933" s="463"/>
    </row>
    <row r="8934" spans="2:3" x14ac:dyDescent="0.25">
      <c r="B8934" s="463"/>
      <c r="C8934" s="463"/>
    </row>
    <row r="8935" spans="2:3" x14ac:dyDescent="0.25">
      <c r="B8935" s="463"/>
      <c r="C8935" s="463"/>
    </row>
    <row r="8936" spans="2:3" x14ac:dyDescent="0.25">
      <c r="B8936" s="463"/>
      <c r="C8936" s="463"/>
    </row>
    <row r="8937" spans="2:3" x14ac:dyDescent="0.25">
      <c r="B8937" s="463"/>
      <c r="C8937" s="463"/>
    </row>
    <row r="8938" spans="2:3" x14ac:dyDescent="0.25">
      <c r="B8938" s="463"/>
      <c r="C8938" s="463"/>
    </row>
    <row r="8939" spans="2:3" x14ac:dyDescent="0.25">
      <c r="B8939" s="463"/>
      <c r="C8939" s="463"/>
    </row>
    <row r="8940" spans="2:3" x14ac:dyDescent="0.25">
      <c r="B8940" s="463"/>
      <c r="C8940" s="463"/>
    </row>
    <row r="8941" spans="2:3" x14ac:dyDescent="0.25">
      <c r="B8941" s="463"/>
      <c r="C8941" s="463"/>
    </row>
    <row r="8942" spans="2:3" x14ac:dyDescent="0.25">
      <c r="B8942" s="463"/>
      <c r="C8942" s="463"/>
    </row>
    <row r="8943" spans="2:3" x14ac:dyDescent="0.25">
      <c r="B8943" s="463"/>
      <c r="C8943" s="463"/>
    </row>
    <row r="8944" spans="2:3" x14ac:dyDescent="0.25">
      <c r="B8944" s="463"/>
      <c r="C8944" s="463"/>
    </row>
    <row r="8945" spans="2:3" x14ac:dyDescent="0.25">
      <c r="B8945" s="463"/>
      <c r="C8945" s="463"/>
    </row>
    <row r="8946" spans="2:3" x14ac:dyDescent="0.25">
      <c r="B8946" s="463"/>
      <c r="C8946" s="463"/>
    </row>
    <row r="8947" spans="2:3" x14ac:dyDescent="0.25">
      <c r="B8947" s="463"/>
      <c r="C8947" s="463"/>
    </row>
    <row r="8948" spans="2:3" x14ac:dyDescent="0.25">
      <c r="B8948" s="463"/>
      <c r="C8948" s="463"/>
    </row>
    <row r="8949" spans="2:3" x14ac:dyDescent="0.25">
      <c r="B8949" s="463"/>
      <c r="C8949" s="463"/>
    </row>
    <row r="8950" spans="2:3" x14ac:dyDescent="0.25">
      <c r="B8950" s="463"/>
      <c r="C8950" s="463"/>
    </row>
    <row r="8951" spans="2:3" x14ac:dyDescent="0.25">
      <c r="B8951" s="463"/>
      <c r="C8951" s="463"/>
    </row>
    <row r="8952" spans="2:3" x14ac:dyDescent="0.25">
      <c r="B8952" s="463"/>
      <c r="C8952" s="463"/>
    </row>
    <row r="8953" spans="2:3" x14ac:dyDescent="0.25">
      <c r="B8953" s="463"/>
      <c r="C8953" s="463"/>
    </row>
    <row r="8954" spans="2:3" x14ac:dyDescent="0.25">
      <c r="B8954" s="463"/>
      <c r="C8954" s="463"/>
    </row>
    <row r="8955" spans="2:3" x14ac:dyDescent="0.25">
      <c r="B8955" s="463"/>
      <c r="C8955" s="463"/>
    </row>
    <row r="8956" spans="2:3" x14ac:dyDescent="0.25">
      <c r="B8956" s="463"/>
      <c r="C8956" s="463"/>
    </row>
    <row r="8957" spans="2:3" x14ac:dyDescent="0.25">
      <c r="B8957" s="463"/>
      <c r="C8957" s="463"/>
    </row>
    <row r="8958" spans="2:3" x14ac:dyDescent="0.25">
      <c r="B8958" s="463"/>
      <c r="C8958" s="463"/>
    </row>
    <row r="8959" spans="2:3" x14ac:dyDescent="0.25">
      <c r="B8959" s="463"/>
      <c r="C8959" s="463"/>
    </row>
    <row r="8960" spans="2:3" x14ac:dyDescent="0.25">
      <c r="B8960" s="463"/>
      <c r="C8960" s="463"/>
    </row>
    <row r="8961" spans="2:3" x14ac:dyDescent="0.25">
      <c r="B8961" s="463"/>
      <c r="C8961" s="463"/>
    </row>
    <row r="8962" spans="2:3" x14ac:dyDescent="0.25">
      <c r="B8962" s="463"/>
      <c r="C8962" s="463"/>
    </row>
    <row r="8963" spans="2:3" x14ac:dyDescent="0.25">
      <c r="B8963" s="463"/>
      <c r="C8963" s="463"/>
    </row>
    <row r="8964" spans="2:3" x14ac:dyDescent="0.25">
      <c r="B8964" s="463"/>
      <c r="C8964" s="463"/>
    </row>
    <row r="8965" spans="2:3" x14ac:dyDescent="0.25">
      <c r="B8965" s="463"/>
      <c r="C8965" s="463"/>
    </row>
    <row r="8966" spans="2:3" x14ac:dyDescent="0.25">
      <c r="B8966" s="463"/>
      <c r="C8966" s="463"/>
    </row>
    <row r="8967" spans="2:3" x14ac:dyDescent="0.25">
      <c r="B8967" s="463"/>
      <c r="C8967" s="463"/>
    </row>
    <row r="8968" spans="2:3" x14ac:dyDescent="0.25">
      <c r="B8968" s="463"/>
      <c r="C8968" s="463"/>
    </row>
    <row r="8969" spans="2:3" x14ac:dyDescent="0.25">
      <c r="B8969" s="463"/>
      <c r="C8969" s="463"/>
    </row>
    <row r="8970" spans="2:3" x14ac:dyDescent="0.25">
      <c r="B8970" s="463"/>
      <c r="C8970" s="463"/>
    </row>
    <row r="8971" spans="2:3" x14ac:dyDescent="0.25">
      <c r="B8971" s="463"/>
      <c r="C8971" s="463"/>
    </row>
    <row r="8972" spans="2:3" x14ac:dyDescent="0.25">
      <c r="B8972" s="463"/>
      <c r="C8972" s="463"/>
    </row>
    <row r="8973" spans="2:3" x14ac:dyDescent="0.25">
      <c r="B8973" s="463"/>
      <c r="C8973" s="463"/>
    </row>
    <row r="8974" spans="2:3" x14ac:dyDescent="0.25">
      <c r="B8974" s="463"/>
      <c r="C8974" s="463"/>
    </row>
    <row r="8975" spans="2:3" x14ac:dyDescent="0.25">
      <c r="B8975" s="463"/>
      <c r="C8975" s="463"/>
    </row>
    <row r="8976" spans="2:3" x14ac:dyDescent="0.25">
      <c r="B8976" s="463"/>
      <c r="C8976" s="463"/>
    </row>
    <row r="8977" spans="2:3" x14ac:dyDescent="0.25">
      <c r="B8977" s="463"/>
      <c r="C8977" s="463"/>
    </row>
    <row r="8978" spans="2:3" x14ac:dyDescent="0.25">
      <c r="B8978" s="463"/>
      <c r="C8978" s="463"/>
    </row>
    <row r="8979" spans="2:3" x14ac:dyDescent="0.25">
      <c r="B8979" s="463"/>
      <c r="C8979" s="463"/>
    </row>
    <row r="8980" spans="2:3" x14ac:dyDescent="0.25">
      <c r="B8980" s="463"/>
      <c r="C8980" s="463"/>
    </row>
    <row r="8981" spans="2:3" x14ac:dyDescent="0.25">
      <c r="B8981" s="463"/>
      <c r="C8981" s="463"/>
    </row>
    <row r="8982" spans="2:3" x14ac:dyDescent="0.25">
      <c r="B8982" s="463"/>
      <c r="C8982" s="463"/>
    </row>
    <row r="8983" spans="2:3" x14ac:dyDescent="0.25">
      <c r="B8983" s="463"/>
      <c r="C8983" s="463"/>
    </row>
    <row r="8984" spans="2:3" x14ac:dyDescent="0.25">
      <c r="B8984" s="463"/>
      <c r="C8984" s="463"/>
    </row>
    <row r="8985" spans="2:3" x14ac:dyDescent="0.25">
      <c r="B8985" s="463"/>
      <c r="C8985" s="463"/>
    </row>
    <row r="8986" spans="2:3" x14ac:dyDescent="0.25">
      <c r="B8986" s="463"/>
      <c r="C8986" s="463"/>
    </row>
    <row r="8987" spans="2:3" x14ac:dyDescent="0.25">
      <c r="B8987" s="463"/>
      <c r="C8987" s="463"/>
    </row>
    <row r="8988" spans="2:3" x14ac:dyDescent="0.25">
      <c r="B8988" s="463"/>
      <c r="C8988" s="463"/>
    </row>
    <row r="8989" spans="2:3" x14ac:dyDescent="0.25">
      <c r="B8989" s="463"/>
      <c r="C8989" s="463"/>
    </row>
    <row r="8990" spans="2:3" x14ac:dyDescent="0.25">
      <c r="B8990" s="463"/>
      <c r="C8990" s="463"/>
    </row>
    <row r="8991" spans="2:3" x14ac:dyDescent="0.25">
      <c r="B8991" s="463"/>
      <c r="C8991" s="463"/>
    </row>
    <row r="8992" spans="2:3" x14ac:dyDescent="0.25">
      <c r="B8992" s="463"/>
      <c r="C8992" s="463"/>
    </row>
    <row r="8993" spans="2:3" x14ac:dyDescent="0.25">
      <c r="B8993" s="463"/>
      <c r="C8993" s="463"/>
    </row>
    <row r="8994" spans="2:3" x14ac:dyDescent="0.25">
      <c r="B8994" s="463"/>
      <c r="C8994" s="463"/>
    </row>
    <row r="8995" spans="2:3" x14ac:dyDescent="0.25">
      <c r="B8995" s="463"/>
      <c r="C8995" s="463"/>
    </row>
    <row r="8996" spans="2:3" x14ac:dyDescent="0.25">
      <c r="B8996" s="463"/>
      <c r="C8996" s="463"/>
    </row>
    <row r="8997" spans="2:3" x14ac:dyDescent="0.25">
      <c r="B8997" s="463"/>
      <c r="C8997" s="463"/>
    </row>
    <row r="8998" spans="2:3" x14ac:dyDescent="0.25">
      <c r="B8998" s="463"/>
      <c r="C8998" s="463"/>
    </row>
    <row r="8999" spans="2:3" x14ac:dyDescent="0.25">
      <c r="B8999" s="463"/>
      <c r="C8999" s="463"/>
    </row>
    <row r="9000" spans="2:3" x14ac:dyDescent="0.25">
      <c r="B9000" s="463"/>
      <c r="C9000" s="463"/>
    </row>
    <row r="9001" spans="2:3" x14ac:dyDescent="0.25">
      <c r="B9001" s="463"/>
      <c r="C9001" s="463"/>
    </row>
    <row r="9002" spans="2:3" x14ac:dyDescent="0.25">
      <c r="B9002" s="463"/>
      <c r="C9002" s="463"/>
    </row>
    <row r="9003" spans="2:3" x14ac:dyDescent="0.25">
      <c r="B9003" s="463"/>
      <c r="C9003" s="463"/>
    </row>
    <row r="9004" spans="2:3" x14ac:dyDescent="0.25">
      <c r="B9004" s="463"/>
      <c r="C9004" s="463"/>
    </row>
    <row r="9005" spans="2:3" x14ac:dyDescent="0.25">
      <c r="B9005" s="463"/>
      <c r="C9005" s="463"/>
    </row>
  </sheetData>
  <sheetProtection selectLockedCells="1"/>
  <conditionalFormatting sqref="C7:D7">
    <cfRule type="expression" dxfId="0" priority="334">
      <formula>$D$7&lt;#REF!</formula>
    </cfRule>
  </conditionalFormatting>
  <pageMargins left="0.70866141732283472" right="0.70866141732283472" top="0.74803149606299213" bottom="0.74803149606299213" header="0.31496062992125984" footer="0.31496062992125984"/>
  <pageSetup paperSize="9" scale="58" orientation="landscape" verticalDpi="0" r:id="rId1"/>
  <headerFooter>
    <oddFooter>&amp;L&amp;8Printed &amp;D &amp;T&amp;C&amp;8OddsPredictor</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P110"/>
  <sheetViews>
    <sheetView workbookViewId="0">
      <pane xSplit="9" ySplit="2" topLeftCell="U52" activePane="bottomRight" state="frozen"/>
      <selection activeCell="J3" sqref="J3"/>
      <selection pane="topRight" activeCell="J3" sqref="J3"/>
      <selection pane="bottomLeft" activeCell="J3" sqref="J3"/>
      <selection pane="bottomRight" activeCell="J3" sqref="J3"/>
    </sheetView>
  </sheetViews>
  <sheetFormatPr defaultRowHeight="15" x14ac:dyDescent="0.25"/>
  <cols>
    <col min="1" max="1" width="10.7109375" style="30" customWidth="1"/>
    <col min="2" max="3" width="10.7109375" style="18" customWidth="1"/>
    <col min="4" max="4" width="30.7109375" style="10" customWidth="1"/>
    <col min="5" max="6" width="10.140625" style="10" customWidth="1"/>
    <col min="7" max="7" width="30.7109375" style="10" customWidth="1"/>
    <col min="8" max="13" width="10.7109375" style="18" customWidth="1"/>
    <col min="14" max="15" width="10.7109375" style="10" customWidth="1"/>
    <col min="16" max="17" width="10.7109375" style="93" customWidth="1"/>
    <col min="18" max="18" width="10.7109375" style="69" customWidth="1"/>
    <col min="19" max="22" width="10.7109375" style="18" customWidth="1"/>
    <col min="23" max="26" width="8.7109375" style="31" customWidth="1"/>
    <col min="27" max="27" width="9.140625" style="31"/>
    <col min="28" max="28" width="9.140625" style="31" customWidth="1"/>
    <col min="29" max="29" width="9.140625" style="31"/>
    <col min="30" max="32" width="9.140625" style="10" customWidth="1"/>
    <col min="33" max="33" width="12.42578125" style="10" bestFit="1" customWidth="1"/>
    <col min="34" max="40" width="9.140625" style="10" customWidth="1"/>
    <col min="41" max="41" width="20.7109375" style="33" customWidth="1"/>
    <col min="42" max="16384" width="9.140625" style="10"/>
  </cols>
  <sheetData>
    <row r="1" spans="1:42" x14ac:dyDescent="0.25">
      <c r="D1" s="12" t="str">
        <f>League</f>
        <v>2026 FIFA World Cup Americas</v>
      </c>
      <c r="H1" s="87" t="s">
        <v>347</v>
      </c>
      <c r="I1" s="87" t="s">
        <v>347</v>
      </c>
      <c r="J1" s="87" t="s">
        <v>341</v>
      </c>
      <c r="K1" s="87" t="s">
        <v>341</v>
      </c>
      <c r="L1" s="87" t="s">
        <v>1350</v>
      </c>
      <c r="M1" s="87" t="s">
        <v>1350</v>
      </c>
      <c r="O1" s="64">
        <v>2.5</v>
      </c>
      <c r="X1" s="745" t="s">
        <v>101</v>
      </c>
      <c r="Y1" s="746"/>
      <c r="Z1" s="747"/>
      <c r="AA1" s="745" t="s">
        <v>101</v>
      </c>
      <c r="AB1" s="746"/>
      <c r="AC1" s="747"/>
      <c r="AD1" s="746" t="s">
        <v>104</v>
      </c>
      <c r="AE1" s="746"/>
      <c r="AF1" s="747"/>
      <c r="AG1" s="67" t="s">
        <v>103</v>
      </c>
      <c r="AH1" s="745" t="s">
        <v>105</v>
      </c>
      <c r="AI1" s="746"/>
      <c r="AJ1" s="747"/>
      <c r="AK1" s="748" t="s">
        <v>106</v>
      </c>
      <c r="AL1" s="748"/>
      <c r="AM1" s="749"/>
      <c r="AN1" s="32" t="s">
        <v>25</v>
      </c>
      <c r="AP1" s="32" t="s">
        <v>25</v>
      </c>
    </row>
    <row r="2" spans="1:42" x14ac:dyDescent="0.25">
      <c r="A2" s="34" t="s">
        <v>9</v>
      </c>
      <c r="B2" s="34" t="s">
        <v>8</v>
      </c>
      <c r="C2" s="34" t="s">
        <v>4</v>
      </c>
      <c r="D2" s="35" t="s">
        <v>2</v>
      </c>
      <c r="E2" s="34" t="s">
        <v>8</v>
      </c>
      <c r="F2" s="34" t="s">
        <v>4</v>
      </c>
      <c r="G2" s="35" t="s">
        <v>3</v>
      </c>
      <c r="H2" s="304" t="s">
        <v>1</v>
      </c>
      <c r="I2" s="304" t="s">
        <v>0</v>
      </c>
      <c r="J2" s="304" t="s">
        <v>1</v>
      </c>
      <c r="K2" s="304" t="s">
        <v>0</v>
      </c>
      <c r="L2" s="304" t="s">
        <v>1</v>
      </c>
      <c r="M2" s="304" t="s">
        <v>0</v>
      </c>
      <c r="N2" s="11" t="s">
        <v>7</v>
      </c>
      <c r="O2" s="11" t="s">
        <v>115</v>
      </c>
      <c r="P2" s="94" t="s">
        <v>10</v>
      </c>
      <c r="Q2" s="94" t="s">
        <v>11</v>
      </c>
      <c r="R2" s="91" t="s">
        <v>12</v>
      </c>
      <c r="S2" s="67" t="s">
        <v>24</v>
      </c>
      <c r="T2" s="67" t="s">
        <v>21</v>
      </c>
      <c r="U2" s="67" t="s">
        <v>24</v>
      </c>
      <c r="V2" s="67" t="s">
        <v>22</v>
      </c>
      <c r="W2" s="34" t="s">
        <v>20</v>
      </c>
      <c r="X2" s="34" t="s">
        <v>1</v>
      </c>
      <c r="Y2" s="34" t="s">
        <v>25</v>
      </c>
      <c r="Z2" s="34" t="s">
        <v>0</v>
      </c>
      <c r="AA2" s="36" t="s">
        <v>98</v>
      </c>
      <c r="AB2" s="37" t="s">
        <v>99</v>
      </c>
      <c r="AC2" s="38" t="s">
        <v>100</v>
      </c>
      <c r="AD2" s="39" t="s">
        <v>1</v>
      </c>
      <c r="AE2" s="34" t="s">
        <v>25</v>
      </c>
      <c r="AF2" s="34" t="s">
        <v>0</v>
      </c>
      <c r="AG2" s="67" t="s">
        <v>102</v>
      </c>
      <c r="AH2" s="34" t="s">
        <v>1</v>
      </c>
      <c r="AI2" s="34" t="s">
        <v>25</v>
      </c>
      <c r="AJ2" s="34" t="s">
        <v>0</v>
      </c>
      <c r="AK2" s="40" t="s">
        <v>1</v>
      </c>
      <c r="AL2" s="41" t="s">
        <v>25</v>
      </c>
      <c r="AM2" s="41" t="s">
        <v>0</v>
      </c>
      <c r="AN2" s="42" t="s">
        <v>109</v>
      </c>
      <c r="AO2" s="43" t="s">
        <v>111</v>
      </c>
      <c r="AP2" s="42" t="s">
        <v>109</v>
      </c>
    </row>
    <row r="3" spans="1:42" x14ac:dyDescent="0.25">
      <c r="A3" s="44" t="s">
        <v>1276</v>
      </c>
      <c r="B3" s="1">
        <f>IFERROR(VLOOKUP(Poster!$E8,Lookup03,2,FALSE),"")</f>
        <v>13</v>
      </c>
      <c r="C3" s="45">
        <f>COUNTIF(D$2:D3,D3)+COUNTIF(G$2:G3,D3)</f>
        <v>1</v>
      </c>
      <c r="D3" s="46" t="str">
        <f t="shared" ref="D3" si="0">IFERROR(VLOOKUP(B3,Team,2,FALSE),"")</f>
        <v>Mexico</v>
      </c>
      <c r="E3" s="1">
        <f>IFERROR(VLOOKUP(Poster!$I8,Lookup03,2,FALSE),"")</f>
        <v>40</v>
      </c>
      <c r="F3" s="45">
        <f>COUNTIF(D$2:D3,G3)+COUNTIF(G$2:G3,G3)</f>
        <v>1</v>
      </c>
      <c r="G3" s="46" t="str">
        <f t="shared" ref="G3" si="1">IFERROR(VLOOKUP(E3,Team,2,FALSE),"")</f>
        <v>South Africa</v>
      </c>
      <c r="H3" s="1">
        <f>IF(Poster!$F8="","",Poster!$F8)</f>
        <v>2</v>
      </c>
      <c r="I3" s="1">
        <f>IF(Poster!$H8="","",Poster!$H8)</f>
        <v>0</v>
      </c>
      <c r="J3" s="305"/>
      <c r="K3" s="305"/>
      <c r="L3" s="305"/>
      <c r="M3" s="305"/>
      <c r="N3" s="66">
        <f t="shared" ref="N3" si="2">IF(OR(H3="",H3="P"),"",IF(H3&gt;I3,1,IF(H3=I3,2,3)))</f>
        <v>1</v>
      </c>
      <c r="O3" s="65">
        <f t="shared" ref="O3" si="3">IFERROR(IF(ABS(H3-I3)&gt;GoalDiff,Bonus,0),0)</f>
        <v>0</v>
      </c>
      <c r="P3" s="89">
        <f t="shared" ref="P3:P34" si="4">IFERROR(VLOOKUP(B3,Team,3+C3,FALSE),"")</f>
        <v>1702</v>
      </c>
      <c r="Q3" s="89">
        <f t="shared" ref="Q3:Q34" si="5">IFERROR(VLOOKUP(E3,Team,3+F3,FALSE),"")</f>
        <v>1428</v>
      </c>
      <c r="R3" s="92">
        <f>IFERROR(IF(P3-Q3&gt;735,735,IF(P3-Q3&lt;-735,-735,P3-Q3)),"")</f>
        <v>274</v>
      </c>
      <c r="S3" s="15" t="str">
        <f>CONCATENATE("T",B3,"G",C3)</f>
        <v>T13G1</v>
      </c>
      <c r="T3" s="95">
        <f t="shared" ref="T3" si="6">IF(H3="P",0,IF(N3="","",(KFactor+O3)/KFactor*VLOOKUP(R3,Ratings,N3+2,TRUE)))</f>
        <v>4.9364999999999988</v>
      </c>
      <c r="U3" s="15" t="str">
        <f>CONCATENATE("T",E3,"G",F3)</f>
        <v>T40G1</v>
      </c>
      <c r="V3" s="95">
        <f t="shared" ref="V3" si="7">IF(H3="P",0,IF(N3="","",(KFactor+O3)/KFactor*VLOOKUP(R3,Ratings,N3+5,TRUE)))</f>
        <v>-4.9364999999999988</v>
      </c>
      <c r="W3" s="50">
        <f t="shared" ref="W3:W106" si="8">IFERROR(VLOOKUP($R3,Ratings,2,TRUE),"")</f>
        <v>0.83545000000000003</v>
      </c>
      <c r="X3" s="50">
        <f t="shared" ref="X3:X34" si="9">IFERROR(IF(W3-AN3/2&lt;0.01,0.01,W3-AN3/2),"")</f>
        <v>0.77452585125000006</v>
      </c>
      <c r="Y3" s="50">
        <f t="shared" ref="Y3:Y34" si="10">IFERROR(IF(N3&gt;0,1-Z3-X3,""),"")</f>
        <v>0.12184829750000004</v>
      </c>
      <c r="Z3" s="50">
        <f t="shared" ref="Z3:Z34" si="11">IFERROR(IF(1-X3-AN3&lt;0.01,0.01,1-X3-AN3),"")</f>
        <v>0.10362585124999996</v>
      </c>
      <c r="AA3" s="51" t="str">
        <f t="shared" ref="AA3:AA34" si="12">IFERROR(VLOOKUP(1/X3,Odds,5,TRUE),"")</f>
        <v>2/7</v>
      </c>
      <c r="AB3" s="51" t="str">
        <f t="shared" ref="AB3:AB34" si="13">IFERROR(VLOOKUP(1/Y3,Odds,5,TRUE),"")</f>
        <v>7/1</v>
      </c>
      <c r="AC3" s="51" t="str">
        <f t="shared" ref="AC3:AC34" si="14">IFERROR(VLOOKUP(1/Z3,Odds,5,TRUE),"")</f>
        <v>17/2</v>
      </c>
      <c r="AD3" s="52">
        <f t="shared" ref="AD3:AD34" si="15">IF(N3=1,1,0)</f>
        <v>1</v>
      </c>
      <c r="AE3" s="52">
        <f t="shared" ref="AE3:AE34" si="16">IF(N3=2,1,0)</f>
        <v>0</v>
      </c>
      <c r="AF3" s="52">
        <f t="shared" ref="AF3:AF34" si="17">IF(N3=3,1,0)</f>
        <v>0</v>
      </c>
      <c r="AG3" s="53">
        <f t="shared" ref="AG3:AG34" si="18">IFERROR(IF(N3="","",X3*AD3+Y3*AE3+Z3*AF3),"")</f>
        <v>0.77452585125000006</v>
      </c>
      <c r="AH3" s="53">
        <f t="shared" ref="AH3:AH34" si="19">IF(AND(SUM($AD3:$AF3)=1,SUM($X3:$Z3)=1),X3,"")</f>
        <v>0.77452585125000006</v>
      </c>
      <c r="AI3" s="53">
        <f t="shared" ref="AI3:AI34" si="20">IF(AND(SUM($AD3:$AF3)=1,SUM($X3:$Z3)=1),Y3,"")</f>
        <v>0.12184829750000004</v>
      </c>
      <c r="AJ3" s="53">
        <f t="shared" ref="AJ3:AJ34" si="21">IF(AND(SUM($AD3:$AF3)=1,SUM($X3:$Z3)=1),Z3,"")</f>
        <v>0.10362585124999996</v>
      </c>
      <c r="AK3" s="54">
        <f t="shared" ref="AK3:AK34" si="22">IF(AH3="","",AD3)</f>
        <v>1</v>
      </c>
      <c r="AL3" s="54">
        <f t="shared" ref="AL3:AL34" si="23">IF(AI3="","",AE3)</f>
        <v>0</v>
      </c>
      <c r="AM3" s="54">
        <f t="shared" ref="AM3:AM34" si="24">IF(AJ3="","",AF3)</f>
        <v>0</v>
      </c>
      <c r="AN3" s="55">
        <f t="shared" ref="AN3:AN34" si="25">IFERROR(AP3-(W3-0.5)*(W3-0.5),"")</f>
        <v>0.12184829749999998</v>
      </c>
      <c r="AO3" s="124">
        <f>Poster!B8</f>
        <v>46184.833333333336</v>
      </c>
      <c r="AP3" s="55">
        <f t="shared" ref="AP3:AP34" si="26">DFactor</f>
        <v>0.234375</v>
      </c>
    </row>
    <row r="4" spans="1:42" x14ac:dyDescent="0.25">
      <c r="A4" s="44" t="s">
        <v>1277</v>
      </c>
      <c r="B4" s="1">
        <f>IFERROR(VLOOKUP(Poster!$E9,Lookup03,2,FALSE),"")</f>
        <v>23</v>
      </c>
      <c r="C4" s="45">
        <f>COUNTIF(D$2:D4,D4)+COUNTIF(G$2:G4,D4)</f>
        <v>1</v>
      </c>
      <c r="D4" s="46" t="str">
        <f t="shared" ref="D4:D67" si="27">IFERROR(VLOOKUP(B4,Team,2,FALSE),"")</f>
        <v>Korea Republic</v>
      </c>
      <c r="E4" s="1">
        <f>IFERROR(VLOOKUP(Poster!$I9,Lookup03,2,FALSE),"")</f>
        <v>32</v>
      </c>
      <c r="F4" s="45">
        <f>COUNTIF(D$2:D4,G4)+COUNTIF(G$2:G4,G4)</f>
        <v>1</v>
      </c>
      <c r="G4" s="46" t="str">
        <f t="shared" ref="G4:G67" si="28">IFERROR(VLOOKUP(E4,Team,2,FALSE),"")</f>
        <v>Czechia</v>
      </c>
      <c r="H4" s="1">
        <f>IF(Poster!$F9="","",Poster!$F9)</f>
        <v>2</v>
      </c>
      <c r="I4" s="1">
        <f>IF(Poster!$H9="","",Poster!$H9)</f>
        <v>1</v>
      </c>
      <c r="J4" s="305"/>
      <c r="K4" s="305"/>
      <c r="L4" s="305"/>
      <c r="M4" s="305"/>
      <c r="N4" s="66">
        <f t="shared" ref="N4:N67" si="29">IF(OR(H4="",H4="P"),"",IF(H4&gt;I4,1,IF(H4=I4,2,3)))</f>
        <v>1</v>
      </c>
      <c r="O4" s="65">
        <f t="shared" ref="O4:O67" si="30">IFERROR(IF(ABS(H4-I4)&gt;GoalDiff,Bonus,0),0)</f>
        <v>0</v>
      </c>
      <c r="P4" s="89">
        <f t="shared" si="4"/>
        <v>1592</v>
      </c>
      <c r="Q4" s="89">
        <f t="shared" si="5"/>
        <v>1506</v>
      </c>
      <c r="R4" s="92">
        <f t="shared" ref="R4:R67" si="31">IFERROR(IF(P4-Q4&gt;735,735,IF(P4-Q4&lt;-735,-735,P4-Q4)),"")</f>
        <v>86</v>
      </c>
      <c r="S4" s="15" t="str">
        <f t="shared" ref="S4:S67" si="32">CONCATENATE("T",B4,"G",C4)</f>
        <v>T23G1</v>
      </c>
      <c r="T4" s="95">
        <f t="shared" ref="T4:T67" si="33">IF(H4="P",0,IF(N4="","",(KFactor+O4)/KFactor*VLOOKUP(R4,Ratings,N4+2,TRUE)))</f>
        <v>11.324999999999999</v>
      </c>
      <c r="U4" s="15" t="str">
        <f t="shared" ref="U4:U67" si="34">CONCATENATE("T",E4,"G",F4)</f>
        <v>T32G1</v>
      </c>
      <c r="V4" s="95">
        <f t="shared" ref="V4:V67" si="35">IF(H4="P",0,IF(N4="","",(KFactor+O4)/KFactor*VLOOKUP(R4,Ratings,N4+5,TRUE)))</f>
        <v>-11.324999999999999</v>
      </c>
      <c r="W4" s="50">
        <f t="shared" si="8"/>
        <v>0.62250000000000005</v>
      </c>
      <c r="X4" s="50">
        <f t="shared" si="9"/>
        <v>0.512815625</v>
      </c>
      <c r="Y4" s="50">
        <f t="shared" si="10"/>
        <v>0.21936875</v>
      </c>
      <c r="Z4" s="50">
        <f t="shared" si="11"/>
        <v>0.267815625</v>
      </c>
      <c r="AA4" s="51" t="str">
        <f t="shared" si="12"/>
        <v>47/50</v>
      </c>
      <c r="AB4" s="51" t="str">
        <f t="shared" si="13"/>
        <v>7/2</v>
      </c>
      <c r="AC4" s="51" t="str">
        <f t="shared" si="14"/>
        <v>13/5</v>
      </c>
      <c r="AD4" s="52">
        <f t="shared" si="15"/>
        <v>1</v>
      </c>
      <c r="AE4" s="52">
        <f t="shared" si="16"/>
        <v>0</v>
      </c>
      <c r="AF4" s="52">
        <f t="shared" si="17"/>
        <v>0</v>
      </c>
      <c r="AG4" s="53">
        <f t="shared" si="18"/>
        <v>0.512815625</v>
      </c>
      <c r="AH4" s="53">
        <f t="shared" si="19"/>
        <v>0.512815625</v>
      </c>
      <c r="AI4" s="53">
        <f t="shared" si="20"/>
        <v>0.21936875</v>
      </c>
      <c r="AJ4" s="53">
        <f t="shared" si="21"/>
        <v>0.267815625</v>
      </c>
      <c r="AK4" s="54">
        <f t="shared" si="22"/>
        <v>1</v>
      </c>
      <c r="AL4" s="54">
        <f t="shared" si="23"/>
        <v>0</v>
      </c>
      <c r="AM4" s="54">
        <f t="shared" si="24"/>
        <v>0</v>
      </c>
      <c r="AN4" s="55">
        <f t="shared" si="25"/>
        <v>0.21936875</v>
      </c>
      <c r="AO4" s="124">
        <f>Poster!B9</f>
        <v>46185.125</v>
      </c>
      <c r="AP4" s="55">
        <f t="shared" si="26"/>
        <v>0.234375</v>
      </c>
    </row>
    <row r="5" spans="1:42" x14ac:dyDescent="0.25">
      <c r="A5" s="44" t="s">
        <v>1278</v>
      </c>
      <c r="B5" s="1">
        <f>IFERROR(VLOOKUP(Poster!$E10,Lookup03,2,FALSE),"")</f>
        <v>27</v>
      </c>
      <c r="C5" s="45">
        <f>COUNTIF(D$2:D5,D5)+COUNTIF(G$2:G5,D5)</f>
        <v>1</v>
      </c>
      <c r="D5" s="46" t="str">
        <f t="shared" si="27"/>
        <v>Canada</v>
      </c>
      <c r="E5" s="1">
        <f>IFERROR(VLOOKUP(Poster!$I10,Lookup03,2,FALSE),"")</f>
        <v>43</v>
      </c>
      <c r="F5" s="45">
        <f>COUNTIF(D$2:D5,G5)+COUNTIF(G$2:G5,G5)</f>
        <v>1</v>
      </c>
      <c r="G5" s="46" t="str">
        <f t="shared" si="28"/>
        <v>Bosnia-Herzegovina</v>
      </c>
      <c r="H5" s="1">
        <f>IF(Poster!$F10="","",Poster!$F10)</f>
        <v>1</v>
      </c>
      <c r="I5" s="1">
        <f>IF(Poster!$H10="","",Poster!$H10)</f>
        <v>1</v>
      </c>
      <c r="J5" s="305"/>
      <c r="K5" s="305"/>
      <c r="L5" s="305"/>
      <c r="M5" s="305"/>
      <c r="N5" s="66">
        <f t="shared" si="29"/>
        <v>2</v>
      </c>
      <c r="O5" s="65">
        <f t="shared" si="30"/>
        <v>0</v>
      </c>
      <c r="P5" s="89">
        <f t="shared" si="4"/>
        <v>1589</v>
      </c>
      <c r="Q5" s="89">
        <f t="shared" si="5"/>
        <v>1407</v>
      </c>
      <c r="R5" s="92">
        <f t="shared" si="31"/>
        <v>182</v>
      </c>
      <c r="S5" s="15" t="str">
        <f t="shared" si="32"/>
        <v>T27G1</v>
      </c>
      <c r="T5" s="95">
        <f t="shared" si="33"/>
        <v>-7.2666000000000004</v>
      </c>
      <c r="U5" s="15" t="str">
        <f t="shared" si="34"/>
        <v>T43G1</v>
      </c>
      <c r="V5" s="95">
        <f t="shared" si="35"/>
        <v>7.2666000000000004</v>
      </c>
      <c r="W5" s="50">
        <f t="shared" si="8"/>
        <v>0.74221999999999999</v>
      </c>
      <c r="X5" s="50">
        <f t="shared" si="9"/>
        <v>0.65436776419999998</v>
      </c>
      <c r="Y5" s="50">
        <f t="shared" si="10"/>
        <v>0.17570447160000002</v>
      </c>
      <c r="Z5" s="50">
        <f t="shared" si="11"/>
        <v>0.16992776420000003</v>
      </c>
      <c r="AA5" s="51" t="str">
        <f t="shared" si="12"/>
        <v>13/25</v>
      </c>
      <c r="AB5" s="51" t="str">
        <f t="shared" si="13"/>
        <v>9/2</v>
      </c>
      <c r="AC5" s="51" t="str">
        <f t="shared" si="14"/>
        <v>9/2</v>
      </c>
      <c r="AD5" s="52">
        <f t="shared" si="15"/>
        <v>0</v>
      </c>
      <c r="AE5" s="52">
        <f t="shared" si="16"/>
        <v>1</v>
      </c>
      <c r="AF5" s="52">
        <f t="shared" si="17"/>
        <v>0</v>
      </c>
      <c r="AG5" s="53">
        <f t="shared" si="18"/>
        <v>0.17570447160000002</v>
      </c>
      <c r="AH5" s="53">
        <f t="shared" si="19"/>
        <v>0.65436776419999998</v>
      </c>
      <c r="AI5" s="53">
        <f t="shared" si="20"/>
        <v>0.17570447160000002</v>
      </c>
      <c r="AJ5" s="53">
        <f t="shared" si="21"/>
        <v>0.16992776420000003</v>
      </c>
      <c r="AK5" s="54">
        <f t="shared" si="22"/>
        <v>0</v>
      </c>
      <c r="AL5" s="54">
        <f t="shared" si="23"/>
        <v>1</v>
      </c>
      <c r="AM5" s="54">
        <f t="shared" si="24"/>
        <v>0</v>
      </c>
      <c r="AN5" s="55">
        <f t="shared" si="25"/>
        <v>0.1757044716</v>
      </c>
      <c r="AO5" s="124">
        <f>Poster!B10</f>
        <v>46185.833333333336</v>
      </c>
      <c r="AP5" s="55">
        <f t="shared" si="26"/>
        <v>0.234375</v>
      </c>
    </row>
    <row r="6" spans="1:42" x14ac:dyDescent="0.25">
      <c r="A6" s="44" t="s">
        <v>1279</v>
      </c>
      <c r="B6" s="1">
        <f>IFERROR(VLOOKUP(Poster!$E11,Lookup03,2,FALSE),"")</f>
        <v>16</v>
      </c>
      <c r="C6" s="45">
        <f>COUNTIF(D$2:D6,D6)+COUNTIF(G$2:G6,D6)</f>
        <v>1</v>
      </c>
      <c r="D6" s="46" t="str">
        <f t="shared" si="27"/>
        <v>USA</v>
      </c>
      <c r="E6" s="1">
        <f>IFERROR(VLOOKUP(Poster!$I11,Lookup03,2,FALSE),"")</f>
        <v>33</v>
      </c>
      <c r="F6" s="45">
        <f>COUNTIF(D$2:D6,G6)+COUNTIF(G$2:G6,G6)</f>
        <v>1</v>
      </c>
      <c r="G6" s="46" t="str">
        <f t="shared" si="28"/>
        <v>Paraguay</v>
      </c>
      <c r="H6" s="1">
        <f>IF(Poster!$F11="","",Poster!$F11)</f>
        <v>4</v>
      </c>
      <c r="I6" s="1">
        <f>IF(Poster!$H11="","",Poster!$H11)</f>
        <v>1</v>
      </c>
      <c r="J6" s="305"/>
      <c r="K6" s="305"/>
      <c r="L6" s="305"/>
      <c r="M6" s="305"/>
      <c r="N6" s="66">
        <f t="shared" si="29"/>
        <v>1</v>
      </c>
      <c r="O6" s="65">
        <f t="shared" si="30"/>
        <v>2</v>
      </c>
      <c r="P6" s="89">
        <f t="shared" si="4"/>
        <v>1671</v>
      </c>
      <c r="Q6" s="89">
        <f t="shared" si="5"/>
        <v>1545</v>
      </c>
      <c r="R6" s="92">
        <f t="shared" si="31"/>
        <v>126</v>
      </c>
      <c r="S6" s="15" t="str">
        <f t="shared" si="32"/>
        <v>T16G1</v>
      </c>
      <c r="T6" s="95">
        <f t="shared" si="33"/>
        <v>10.4</v>
      </c>
      <c r="U6" s="15" t="str">
        <f t="shared" si="34"/>
        <v>T33G1</v>
      </c>
      <c r="V6" s="95">
        <f t="shared" si="35"/>
        <v>-10.4</v>
      </c>
      <c r="W6" s="50">
        <f t="shared" si="8"/>
        <v>0.67500000000000004</v>
      </c>
      <c r="X6" s="50">
        <f t="shared" si="9"/>
        <v>0.57312500000000011</v>
      </c>
      <c r="Y6" s="50">
        <f t="shared" si="10"/>
        <v>0.20374999999999999</v>
      </c>
      <c r="Z6" s="50">
        <f t="shared" si="11"/>
        <v>0.22312499999999991</v>
      </c>
      <c r="AA6" s="51" t="str">
        <f t="shared" si="12"/>
        <v>37/50</v>
      </c>
      <c r="AB6" s="51" t="str">
        <f t="shared" si="13"/>
        <v>7/2</v>
      </c>
      <c r="AC6" s="51" t="str">
        <f t="shared" si="14"/>
        <v>10/3</v>
      </c>
      <c r="AD6" s="52">
        <f t="shared" si="15"/>
        <v>1</v>
      </c>
      <c r="AE6" s="52">
        <f t="shared" si="16"/>
        <v>0</v>
      </c>
      <c r="AF6" s="52">
        <f t="shared" si="17"/>
        <v>0</v>
      </c>
      <c r="AG6" s="53">
        <f t="shared" si="18"/>
        <v>0.57312500000000011</v>
      </c>
      <c r="AH6" s="53">
        <f t="shared" si="19"/>
        <v>0.57312500000000011</v>
      </c>
      <c r="AI6" s="53">
        <f t="shared" si="20"/>
        <v>0.20374999999999999</v>
      </c>
      <c r="AJ6" s="53">
        <f t="shared" si="21"/>
        <v>0.22312499999999991</v>
      </c>
      <c r="AK6" s="54">
        <f t="shared" si="22"/>
        <v>1</v>
      </c>
      <c r="AL6" s="54">
        <f t="shared" si="23"/>
        <v>0</v>
      </c>
      <c r="AM6" s="54">
        <f t="shared" si="24"/>
        <v>0</v>
      </c>
      <c r="AN6" s="55">
        <f t="shared" si="25"/>
        <v>0.20374999999999999</v>
      </c>
      <c r="AO6" s="124">
        <f>Poster!B11</f>
        <v>46186.083333333336</v>
      </c>
      <c r="AP6" s="55">
        <f t="shared" si="26"/>
        <v>0.234375</v>
      </c>
    </row>
    <row r="7" spans="1:42" x14ac:dyDescent="0.25">
      <c r="A7" s="44" t="s">
        <v>1280</v>
      </c>
      <c r="B7" s="1">
        <f>IFERROR(VLOOKUP(Poster!$E12,Lookup03,2,FALSE),"")</f>
        <v>38</v>
      </c>
      <c r="C7" s="45">
        <f>COUNTIF(D$2:D7,D7)+COUNTIF(G$2:G7,D7)</f>
        <v>1</v>
      </c>
      <c r="D7" s="46" t="str">
        <f t="shared" si="27"/>
        <v>Qatar</v>
      </c>
      <c r="E7" s="1">
        <f>IFERROR(VLOOKUP(Poster!$I12,Lookup03,2,FALSE),"")</f>
        <v>18</v>
      </c>
      <c r="F7" s="45">
        <f>COUNTIF(D$2:D7,G7)+COUNTIF(G$2:G7,G7)</f>
        <v>1</v>
      </c>
      <c r="G7" s="46" t="str">
        <f t="shared" si="28"/>
        <v>Switzerland</v>
      </c>
      <c r="H7" s="1">
        <f>IF(Poster!$F12="","",Poster!$F12)</f>
        <v>1</v>
      </c>
      <c r="I7" s="1">
        <f>IF(Poster!$H12="","",Poster!$H12)</f>
        <v>1</v>
      </c>
      <c r="J7" s="305"/>
      <c r="K7" s="305"/>
      <c r="L7" s="305"/>
      <c r="M7" s="305"/>
      <c r="N7" s="66">
        <f t="shared" si="29"/>
        <v>2</v>
      </c>
      <c r="O7" s="65">
        <f t="shared" si="30"/>
        <v>0</v>
      </c>
      <c r="P7" s="89">
        <f t="shared" si="4"/>
        <v>1450</v>
      </c>
      <c r="Q7" s="89">
        <f t="shared" si="5"/>
        <v>1650</v>
      </c>
      <c r="R7" s="92">
        <f t="shared" si="31"/>
        <v>-200</v>
      </c>
      <c r="S7" s="15" t="str">
        <f t="shared" si="32"/>
        <v>T38G1</v>
      </c>
      <c r="T7" s="95">
        <f t="shared" si="33"/>
        <v>7.8333000000000004</v>
      </c>
      <c r="U7" s="15" t="str">
        <f t="shared" si="34"/>
        <v>T18G1</v>
      </c>
      <c r="V7" s="95">
        <f t="shared" si="35"/>
        <v>-7.8333000000000004</v>
      </c>
      <c r="W7" s="50">
        <f t="shared" si="8"/>
        <v>0.23888999999999999</v>
      </c>
      <c r="X7" s="50">
        <f t="shared" si="9"/>
        <v>0.15579171605</v>
      </c>
      <c r="Y7" s="50">
        <f t="shared" si="10"/>
        <v>0.1661965678999999</v>
      </c>
      <c r="Z7" s="50">
        <f t="shared" si="11"/>
        <v>0.6780117160500001</v>
      </c>
      <c r="AA7" s="51" t="str">
        <f t="shared" si="12"/>
        <v>5/1</v>
      </c>
      <c r="AB7" s="51" t="str">
        <f t="shared" si="13"/>
        <v>5/1</v>
      </c>
      <c r="AC7" s="51" t="str">
        <f t="shared" si="14"/>
        <v>23/50</v>
      </c>
      <c r="AD7" s="52">
        <f t="shared" si="15"/>
        <v>0</v>
      </c>
      <c r="AE7" s="52">
        <f t="shared" si="16"/>
        <v>1</v>
      </c>
      <c r="AF7" s="52">
        <f t="shared" si="17"/>
        <v>0</v>
      </c>
      <c r="AG7" s="53">
        <f t="shared" si="18"/>
        <v>0.1661965678999999</v>
      </c>
      <c r="AH7" s="53">
        <f t="shared" si="19"/>
        <v>0.15579171605</v>
      </c>
      <c r="AI7" s="53">
        <f t="shared" si="20"/>
        <v>0.1661965678999999</v>
      </c>
      <c r="AJ7" s="53">
        <f t="shared" si="21"/>
        <v>0.6780117160500001</v>
      </c>
      <c r="AK7" s="54">
        <f t="shared" si="22"/>
        <v>0</v>
      </c>
      <c r="AL7" s="54">
        <f t="shared" si="23"/>
        <v>1</v>
      </c>
      <c r="AM7" s="54">
        <f t="shared" si="24"/>
        <v>0</v>
      </c>
      <c r="AN7" s="55">
        <f t="shared" si="25"/>
        <v>0.16619656789999998</v>
      </c>
      <c r="AO7" s="124">
        <f>Poster!B12</f>
        <v>46186.833333333336</v>
      </c>
      <c r="AP7" s="55">
        <f t="shared" si="26"/>
        <v>0.234375</v>
      </c>
    </row>
    <row r="8" spans="1:42" x14ac:dyDescent="0.25">
      <c r="A8" s="44" t="s">
        <v>1281</v>
      </c>
      <c r="B8" s="1">
        <f>IFERROR(VLOOKUP(Poster!$E13,Lookup03,2,FALSE),"")</f>
        <v>6</v>
      </c>
      <c r="C8" s="45">
        <f>COUNTIF(D$2:D8,D8)+COUNTIF(G$2:G8,D8)</f>
        <v>1</v>
      </c>
      <c r="D8" s="46" t="str">
        <f t="shared" si="27"/>
        <v>Brazil</v>
      </c>
      <c r="E8" s="1">
        <f>IFERROR(VLOOKUP(Poster!$I13,Lookup03,2,FALSE),"")</f>
        <v>7</v>
      </c>
      <c r="F8" s="45">
        <f>COUNTIF(D$2:D8,G8)+COUNTIF(G$2:G8,G8)</f>
        <v>1</v>
      </c>
      <c r="G8" s="46" t="str">
        <f t="shared" si="28"/>
        <v>Morocco</v>
      </c>
      <c r="H8" s="1">
        <f>IF(Poster!$F13="","",Poster!$F13)</f>
        <v>1</v>
      </c>
      <c r="I8" s="1">
        <f>IF(Poster!$H13="","",Poster!$H13)</f>
        <v>1</v>
      </c>
      <c r="J8" s="305"/>
      <c r="K8" s="305"/>
      <c r="L8" s="305"/>
      <c r="M8" s="305"/>
      <c r="N8" s="66">
        <f t="shared" si="29"/>
        <v>2</v>
      </c>
      <c r="O8" s="65">
        <f t="shared" si="30"/>
        <v>0</v>
      </c>
      <c r="P8" s="89">
        <f t="shared" si="4"/>
        <v>1788</v>
      </c>
      <c r="Q8" s="89">
        <f t="shared" si="5"/>
        <v>1695</v>
      </c>
      <c r="R8" s="92">
        <f t="shared" si="31"/>
        <v>93</v>
      </c>
      <c r="S8" s="15" t="str">
        <f t="shared" si="32"/>
        <v>T6G1</v>
      </c>
      <c r="T8" s="95">
        <f t="shared" si="33"/>
        <v>-3.9429000000000016</v>
      </c>
      <c r="U8" s="15" t="str">
        <f t="shared" si="34"/>
        <v>T7G1</v>
      </c>
      <c r="V8" s="95">
        <f t="shared" si="35"/>
        <v>3.9429000000000016</v>
      </c>
      <c r="W8" s="50">
        <f t="shared" si="8"/>
        <v>0.63143000000000005</v>
      </c>
      <c r="X8" s="50">
        <f t="shared" si="9"/>
        <v>0.52287942245000008</v>
      </c>
      <c r="Y8" s="50">
        <f t="shared" si="10"/>
        <v>0.21710115510000005</v>
      </c>
      <c r="Z8" s="50">
        <f t="shared" si="11"/>
        <v>0.26001942244999993</v>
      </c>
      <c r="AA8" s="51" t="str">
        <f t="shared" si="12"/>
        <v>10/11</v>
      </c>
      <c r="AB8" s="51" t="str">
        <f t="shared" si="13"/>
        <v>7/2</v>
      </c>
      <c r="AC8" s="51" t="str">
        <f t="shared" si="14"/>
        <v>14/5</v>
      </c>
      <c r="AD8" s="52">
        <f t="shared" si="15"/>
        <v>0</v>
      </c>
      <c r="AE8" s="52">
        <f t="shared" si="16"/>
        <v>1</v>
      </c>
      <c r="AF8" s="52">
        <f t="shared" si="17"/>
        <v>0</v>
      </c>
      <c r="AG8" s="53">
        <f t="shared" si="18"/>
        <v>0.21710115510000005</v>
      </c>
      <c r="AH8" s="53">
        <f t="shared" si="19"/>
        <v>0.52287942245000008</v>
      </c>
      <c r="AI8" s="53">
        <f t="shared" si="20"/>
        <v>0.21710115510000005</v>
      </c>
      <c r="AJ8" s="53">
        <f t="shared" si="21"/>
        <v>0.26001942244999993</v>
      </c>
      <c r="AK8" s="54">
        <f t="shared" si="22"/>
        <v>0</v>
      </c>
      <c r="AL8" s="54">
        <f t="shared" si="23"/>
        <v>1</v>
      </c>
      <c r="AM8" s="54">
        <f t="shared" si="24"/>
        <v>0</v>
      </c>
      <c r="AN8" s="55">
        <f t="shared" si="25"/>
        <v>0.2171011551</v>
      </c>
      <c r="AO8" s="124">
        <f>Poster!B13</f>
        <v>46186.958333333336</v>
      </c>
      <c r="AP8" s="55">
        <f t="shared" si="26"/>
        <v>0.234375</v>
      </c>
    </row>
    <row r="9" spans="1:42" x14ac:dyDescent="0.25">
      <c r="A9" s="44" t="s">
        <v>1282</v>
      </c>
      <c r="B9" s="1">
        <f>IFERROR(VLOOKUP(Poster!$E14,Lookup03,2,FALSE),"")</f>
        <v>47</v>
      </c>
      <c r="C9" s="45">
        <f>COUNTIF(D$2:D9,D9)+COUNTIF(G$2:G9,D9)</f>
        <v>1</v>
      </c>
      <c r="D9" s="46" t="str">
        <f t="shared" si="27"/>
        <v>Haiti</v>
      </c>
      <c r="E9" s="1">
        <f>IFERROR(VLOOKUP(Poster!$I14,Lookup03,2,FALSE),"")</f>
        <v>34</v>
      </c>
      <c r="F9" s="45">
        <f>COUNTIF(D$2:D9,G9)+COUNTIF(G$2:G9,G9)</f>
        <v>1</v>
      </c>
      <c r="G9" s="46" t="str">
        <f t="shared" si="28"/>
        <v>Scotland</v>
      </c>
      <c r="H9" s="1">
        <f>IF(Poster!$F14="","",Poster!$F14)</f>
        <v>0</v>
      </c>
      <c r="I9" s="1">
        <f>IF(Poster!$H14="","",Poster!$H14)</f>
        <v>1</v>
      </c>
      <c r="J9" s="305"/>
      <c r="K9" s="305"/>
      <c r="L9" s="305"/>
      <c r="M9" s="305"/>
      <c r="N9" s="66">
        <f t="shared" si="29"/>
        <v>3</v>
      </c>
      <c r="O9" s="65">
        <f t="shared" si="30"/>
        <v>0</v>
      </c>
      <c r="P9" s="89">
        <f t="shared" si="4"/>
        <v>1293</v>
      </c>
      <c r="Q9" s="89">
        <f t="shared" si="5"/>
        <v>1533</v>
      </c>
      <c r="R9" s="92">
        <f t="shared" si="31"/>
        <v>-240</v>
      </c>
      <c r="S9" s="15" t="str">
        <f t="shared" si="32"/>
        <v>T47G1</v>
      </c>
      <c r="T9" s="95">
        <f t="shared" si="33"/>
        <v>-5.91</v>
      </c>
      <c r="U9" s="15" t="str">
        <f t="shared" si="34"/>
        <v>T34G1</v>
      </c>
      <c r="V9" s="95">
        <f t="shared" si="35"/>
        <v>5.91</v>
      </c>
      <c r="W9" s="50">
        <f t="shared" si="8"/>
        <v>0.19700000000000001</v>
      </c>
      <c r="X9" s="50">
        <f t="shared" si="9"/>
        <v>0.12571700000000002</v>
      </c>
      <c r="Y9" s="50">
        <f t="shared" si="10"/>
        <v>0.14256600000000003</v>
      </c>
      <c r="Z9" s="50">
        <f t="shared" si="11"/>
        <v>0.73171699999999995</v>
      </c>
      <c r="AA9" s="51" t="str">
        <f t="shared" si="12"/>
        <v>13/2</v>
      </c>
      <c r="AB9" s="51" t="str">
        <f t="shared" si="13"/>
        <v>6/1</v>
      </c>
      <c r="AC9" s="51" t="str">
        <f t="shared" si="14"/>
        <v>4/11</v>
      </c>
      <c r="AD9" s="52">
        <f t="shared" si="15"/>
        <v>0</v>
      </c>
      <c r="AE9" s="52">
        <f t="shared" si="16"/>
        <v>0</v>
      </c>
      <c r="AF9" s="52">
        <f t="shared" si="17"/>
        <v>1</v>
      </c>
      <c r="AG9" s="53">
        <f t="shared" si="18"/>
        <v>0.73171699999999995</v>
      </c>
      <c r="AH9" s="53">
        <f t="shared" si="19"/>
        <v>0.12571700000000002</v>
      </c>
      <c r="AI9" s="53">
        <f t="shared" si="20"/>
        <v>0.14256600000000003</v>
      </c>
      <c r="AJ9" s="53">
        <f t="shared" si="21"/>
        <v>0.73171699999999995</v>
      </c>
      <c r="AK9" s="54">
        <f t="shared" si="22"/>
        <v>0</v>
      </c>
      <c r="AL9" s="54">
        <f t="shared" si="23"/>
        <v>0</v>
      </c>
      <c r="AM9" s="54">
        <f t="shared" si="24"/>
        <v>1</v>
      </c>
      <c r="AN9" s="55">
        <f t="shared" si="25"/>
        <v>0.142566</v>
      </c>
      <c r="AO9" s="124">
        <f>Poster!B14</f>
        <v>46187</v>
      </c>
      <c r="AP9" s="55">
        <f t="shared" si="26"/>
        <v>0.234375</v>
      </c>
    </row>
    <row r="10" spans="1:42" x14ac:dyDescent="0.25">
      <c r="A10" s="44" t="s">
        <v>1283</v>
      </c>
      <c r="B10" s="1">
        <f>IFERROR(VLOOKUP(Poster!$E15,Lookup03,2,FALSE),"")</f>
        <v>24</v>
      </c>
      <c r="C10" s="45">
        <f>COUNTIF(D$2:D10,D10)+COUNTIF(G$2:G10,D10)</f>
        <v>1</v>
      </c>
      <c r="D10" s="46" t="str">
        <f t="shared" si="27"/>
        <v>Australia</v>
      </c>
      <c r="E10" s="1">
        <f>IFERROR(VLOOKUP(Poster!$I15,Lookup03,2,FALSE),"")</f>
        <v>20</v>
      </c>
      <c r="F10" s="45">
        <f>COUNTIF(D$2:D10,G10)+COUNTIF(G$2:G10,G10)</f>
        <v>1</v>
      </c>
      <c r="G10" s="46" t="str">
        <f t="shared" si="28"/>
        <v>Turkiye</v>
      </c>
      <c r="H10" s="1">
        <f>IF(Poster!$F15="","",Poster!$F15)</f>
        <v>2</v>
      </c>
      <c r="I10" s="1">
        <f>IF(Poster!$H15="","",Poster!$H15)</f>
        <v>0</v>
      </c>
      <c r="J10" s="305"/>
      <c r="K10" s="305"/>
      <c r="L10" s="305"/>
      <c r="M10" s="305"/>
      <c r="N10" s="66">
        <f t="shared" si="29"/>
        <v>1</v>
      </c>
      <c r="O10" s="65">
        <f t="shared" si="30"/>
        <v>0</v>
      </c>
      <c r="P10" s="89">
        <f t="shared" si="4"/>
        <v>1549</v>
      </c>
      <c r="Q10" s="89">
        <f t="shared" si="5"/>
        <v>1606</v>
      </c>
      <c r="R10" s="92">
        <f t="shared" si="31"/>
        <v>-57</v>
      </c>
      <c r="S10" s="15" t="str">
        <f t="shared" si="32"/>
        <v>T24G1</v>
      </c>
      <c r="T10" s="95">
        <f t="shared" si="33"/>
        <v>17.475000000000001</v>
      </c>
      <c r="U10" s="15" t="str">
        <f t="shared" si="34"/>
        <v>T20G1</v>
      </c>
      <c r="V10" s="95">
        <f t="shared" si="35"/>
        <v>-17.475000000000001</v>
      </c>
      <c r="W10" s="50">
        <f t="shared" si="8"/>
        <v>0.41749999999999998</v>
      </c>
      <c r="X10" s="50">
        <f t="shared" si="9"/>
        <v>0.30371562499999999</v>
      </c>
      <c r="Y10" s="50">
        <f t="shared" si="10"/>
        <v>0.22756874999999993</v>
      </c>
      <c r="Z10" s="50">
        <f t="shared" si="11"/>
        <v>0.46871562500000008</v>
      </c>
      <c r="AA10" s="51" t="str">
        <f t="shared" si="12"/>
        <v>9/4</v>
      </c>
      <c r="AB10" s="51" t="str">
        <f t="shared" si="13"/>
        <v>10/3</v>
      </c>
      <c r="AC10" s="51" t="str">
        <f t="shared" si="14"/>
        <v>11/10</v>
      </c>
      <c r="AD10" s="52">
        <f t="shared" si="15"/>
        <v>1</v>
      </c>
      <c r="AE10" s="52">
        <f t="shared" si="16"/>
        <v>0</v>
      </c>
      <c r="AF10" s="52">
        <f t="shared" si="17"/>
        <v>0</v>
      </c>
      <c r="AG10" s="53">
        <f t="shared" si="18"/>
        <v>0.30371562499999999</v>
      </c>
      <c r="AH10" s="53">
        <f t="shared" si="19"/>
        <v>0.30371562499999999</v>
      </c>
      <c r="AI10" s="53">
        <f t="shared" si="20"/>
        <v>0.22756874999999993</v>
      </c>
      <c r="AJ10" s="53">
        <f t="shared" si="21"/>
        <v>0.46871562500000008</v>
      </c>
      <c r="AK10" s="54">
        <f t="shared" si="22"/>
        <v>1</v>
      </c>
      <c r="AL10" s="54">
        <f t="shared" si="23"/>
        <v>0</v>
      </c>
      <c r="AM10" s="54">
        <f t="shared" si="24"/>
        <v>0</v>
      </c>
      <c r="AN10" s="55">
        <f t="shared" si="25"/>
        <v>0.22756874999999999</v>
      </c>
      <c r="AO10" s="124">
        <f>Poster!B15</f>
        <v>46187</v>
      </c>
      <c r="AP10" s="55">
        <f t="shared" si="26"/>
        <v>0.234375</v>
      </c>
    </row>
    <row r="11" spans="1:42" x14ac:dyDescent="0.25">
      <c r="A11" s="44" t="s">
        <v>1284</v>
      </c>
      <c r="B11" s="1">
        <f>IFERROR(VLOOKUP(Poster!$E16,Lookup03,2,FALSE),"")</f>
        <v>10</v>
      </c>
      <c r="C11" s="45">
        <f>COUNTIF(D$2:D11,D11)+COUNTIF(G$2:G11,D11)</f>
        <v>1</v>
      </c>
      <c r="D11" s="46" t="str">
        <f t="shared" si="27"/>
        <v>Germany</v>
      </c>
      <c r="E11" s="1">
        <f>IFERROR(VLOOKUP(Poster!$I16,Lookup03,2,FALSE),"")</f>
        <v>46</v>
      </c>
      <c r="F11" s="45">
        <f>COUNTIF(D$2:D11,G11)+COUNTIF(G$2:G11,G11)</f>
        <v>1</v>
      </c>
      <c r="G11" s="46" t="str">
        <f t="shared" si="28"/>
        <v>Curaçao</v>
      </c>
      <c r="H11" s="1">
        <f>IF(Poster!$F16="","",Poster!$F16)</f>
        <v>7</v>
      </c>
      <c r="I11" s="1">
        <f>IF(Poster!$H16="","",Poster!$H16)</f>
        <v>1</v>
      </c>
      <c r="J11" s="305"/>
      <c r="K11" s="305"/>
      <c r="L11" s="305"/>
      <c r="M11" s="305"/>
      <c r="N11" s="66">
        <f t="shared" si="29"/>
        <v>1</v>
      </c>
      <c r="O11" s="65">
        <f t="shared" si="30"/>
        <v>2</v>
      </c>
      <c r="P11" s="89">
        <f t="shared" si="4"/>
        <v>1771</v>
      </c>
      <c r="Q11" s="89">
        <f t="shared" si="5"/>
        <v>1295</v>
      </c>
      <c r="R11" s="92">
        <f t="shared" si="31"/>
        <v>476</v>
      </c>
      <c r="S11" s="15" t="str">
        <f t="shared" si="32"/>
        <v>T10G1</v>
      </c>
      <c r="T11" s="95">
        <f t="shared" si="33"/>
        <v>1.3827199999999986</v>
      </c>
      <c r="U11" s="15" t="str">
        <f t="shared" si="34"/>
        <v>T46G1</v>
      </c>
      <c r="V11" s="95">
        <f t="shared" si="35"/>
        <v>-1.3827199999999986</v>
      </c>
      <c r="W11" s="50">
        <f t="shared" si="8"/>
        <v>0.95679000000000003</v>
      </c>
      <c r="X11" s="50">
        <f t="shared" si="9"/>
        <v>0.94393105205000005</v>
      </c>
      <c r="Y11" s="50">
        <f t="shared" si="10"/>
        <v>2.5717895899999954E-2</v>
      </c>
      <c r="Z11" s="50">
        <f t="shared" si="11"/>
        <v>3.0351052049999966E-2</v>
      </c>
      <c r="AA11" s="51" t="str">
        <f t="shared" si="12"/>
        <v>1/20</v>
      </c>
      <c r="AB11" s="51" t="str">
        <f t="shared" si="13"/>
        <v>37/1</v>
      </c>
      <c r="AC11" s="51" t="str">
        <f t="shared" si="14"/>
        <v>31/1</v>
      </c>
      <c r="AD11" s="52">
        <f t="shared" si="15"/>
        <v>1</v>
      </c>
      <c r="AE11" s="52">
        <f t="shared" si="16"/>
        <v>0</v>
      </c>
      <c r="AF11" s="52">
        <f t="shared" si="17"/>
        <v>0</v>
      </c>
      <c r="AG11" s="53">
        <f t="shared" si="18"/>
        <v>0.94393105205000005</v>
      </c>
      <c r="AH11" s="53">
        <f t="shared" si="19"/>
        <v>0.94393105205000005</v>
      </c>
      <c r="AI11" s="53">
        <f t="shared" si="20"/>
        <v>2.5717895899999954E-2</v>
      </c>
      <c r="AJ11" s="53">
        <f t="shared" si="21"/>
        <v>3.0351052049999966E-2</v>
      </c>
      <c r="AK11" s="54">
        <f t="shared" si="22"/>
        <v>1</v>
      </c>
      <c r="AL11" s="54">
        <f t="shared" si="23"/>
        <v>0</v>
      </c>
      <c r="AM11" s="54">
        <f t="shared" si="24"/>
        <v>0</v>
      </c>
      <c r="AN11" s="55">
        <f t="shared" si="25"/>
        <v>2.5717895899999982E-2</v>
      </c>
      <c r="AO11" s="124">
        <f>Poster!B16</f>
        <v>46187</v>
      </c>
      <c r="AP11" s="55">
        <f t="shared" si="26"/>
        <v>0.234375</v>
      </c>
    </row>
    <row r="12" spans="1:42" x14ac:dyDescent="0.25">
      <c r="A12" s="44" t="s">
        <v>1285</v>
      </c>
      <c r="B12" s="1">
        <f>IFERROR(VLOOKUP(Poster!$E17,Lookup03,2,FALSE),"")</f>
        <v>8</v>
      </c>
      <c r="C12" s="45">
        <f>COUNTIF(D$2:D12,D12)+COUNTIF(G$2:G12,D12)</f>
        <v>1</v>
      </c>
      <c r="D12" s="46" t="str">
        <f t="shared" si="27"/>
        <v>Netherlands</v>
      </c>
      <c r="E12" s="1">
        <f>IFERROR(VLOOKUP(Poster!$I17,Lookup03,2,FALSE),"")</f>
        <v>17</v>
      </c>
      <c r="F12" s="45">
        <f>COUNTIF(D$2:D12,G12)+COUNTIF(G$2:G12,G12)</f>
        <v>1</v>
      </c>
      <c r="G12" s="46" t="str">
        <f t="shared" si="28"/>
        <v>Japan</v>
      </c>
      <c r="H12" s="1">
        <f>IF(Poster!$F17="","",Poster!$F17)</f>
        <v>2</v>
      </c>
      <c r="I12" s="1">
        <f>IF(Poster!$H17="","",Poster!$H17)</f>
        <v>2</v>
      </c>
      <c r="J12" s="305"/>
      <c r="K12" s="305"/>
      <c r="L12" s="305"/>
      <c r="M12" s="305"/>
      <c r="N12" s="66">
        <f t="shared" si="29"/>
        <v>2</v>
      </c>
      <c r="O12" s="65">
        <f t="shared" si="30"/>
        <v>0</v>
      </c>
      <c r="P12" s="89">
        <f t="shared" si="4"/>
        <v>1749</v>
      </c>
      <c r="Q12" s="89">
        <f t="shared" si="5"/>
        <v>1662</v>
      </c>
      <c r="R12" s="92">
        <f t="shared" si="31"/>
        <v>87</v>
      </c>
      <c r="S12" s="15" t="str">
        <f t="shared" si="32"/>
        <v>T8G1</v>
      </c>
      <c r="T12" s="95">
        <f t="shared" si="33"/>
        <v>-3.7125000000000021</v>
      </c>
      <c r="U12" s="15" t="str">
        <f t="shared" si="34"/>
        <v>T17G1</v>
      </c>
      <c r="V12" s="95">
        <f t="shared" si="35"/>
        <v>3.7125000000000021</v>
      </c>
      <c r="W12" s="50">
        <f t="shared" si="8"/>
        <v>0.62375000000000003</v>
      </c>
      <c r="X12" s="50">
        <f t="shared" si="9"/>
        <v>0.51421953124999997</v>
      </c>
      <c r="Y12" s="50">
        <f t="shared" si="10"/>
        <v>0.2190609375</v>
      </c>
      <c r="Z12" s="50">
        <f t="shared" si="11"/>
        <v>0.26671953125000003</v>
      </c>
      <c r="AA12" s="51" t="str">
        <f t="shared" si="12"/>
        <v>47/50</v>
      </c>
      <c r="AB12" s="51" t="str">
        <f t="shared" si="13"/>
        <v>7/2</v>
      </c>
      <c r="AC12" s="51" t="str">
        <f t="shared" si="14"/>
        <v>13/5</v>
      </c>
      <c r="AD12" s="52">
        <f t="shared" si="15"/>
        <v>0</v>
      </c>
      <c r="AE12" s="52">
        <f t="shared" si="16"/>
        <v>1</v>
      </c>
      <c r="AF12" s="52">
        <f t="shared" si="17"/>
        <v>0</v>
      </c>
      <c r="AG12" s="53">
        <f t="shared" si="18"/>
        <v>0.2190609375</v>
      </c>
      <c r="AH12" s="53">
        <f t="shared" si="19"/>
        <v>0.51421953124999997</v>
      </c>
      <c r="AI12" s="53">
        <f t="shared" si="20"/>
        <v>0.2190609375</v>
      </c>
      <c r="AJ12" s="53">
        <f t="shared" si="21"/>
        <v>0.26671953125000003</v>
      </c>
      <c r="AK12" s="54">
        <f t="shared" si="22"/>
        <v>0</v>
      </c>
      <c r="AL12" s="54">
        <f t="shared" si="23"/>
        <v>1</v>
      </c>
      <c r="AM12" s="54">
        <f t="shared" si="24"/>
        <v>0</v>
      </c>
      <c r="AN12" s="55">
        <f t="shared" si="25"/>
        <v>0.2190609375</v>
      </c>
      <c r="AO12" s="124">
        <f>Poster!B17</f>
        <v>46187</v>
      </c>
      <c r="AP12" s="55">
        <f t="shared" si="26"/>
        <v>0.234375</v>
      </c>
    </row>
    <row r="13" spans="1:42" x14ac:dyDescent="0.25">
      <c r="A13" s="44" t="s">
        <v>1286</v>
      </c>
      <c r="B13" s="1">
        <f>IFERROR(VLOOKUP(Poster!$E18,Lookup03,2,FALSE),"")</f>
        <v>29</v>
      </c>
      <c r="C13" s="45">
        <f>COUNTIF(D$2:D13,D13)+COUNTIF(G$2:G13,D13)</f>
        <v>1</v>
      </c>
      <c r="D13" s="46" t="str">
        <f t="shared" si="27"/>
        <v>Cote d'Ivorie</v>
      </c>
      <c r="E13" s="1">
        <f>IFERROR(VLOOKUP(Poster!$I18,Lookup03,2,FALSE),"")</f>
        <v>21</v>
      </c>
      <c r="F13" s="45">
        <f>COUNTIF(D$2:D13,G13)+COUNTIF(G$2:G13,G13)</f>
        <v>1</v>
      </c>
      <c r="G13" s="46" t="str">
        <f t="shared" si="28"/>
        <v>Ecuador</v>
      </c>
      <c r="H13" s="1">
        <f>IF(Poster!$F18="","",Poster!$F18)</f>
        <v>1</v>
      </c>
      <c r="I13" s="1">
        <f>IF(Poster!$H18="","",Poster!$H18)</f>
        <v>0</v>
      </c>
      <c r="J13" s="305"/>
      <c r="K13" s="305"/>
      <c r="L13" s="305"/>
      <c r="M13" s="305"/>
      <c r="N13" s="66">
        <f t="shared" si="29"/>
        <v>1</v>
      </c>
      <c r="O13" s="65">
        <f t="shared" si="30"/>
        <v>0</v>
      </c>
      <c r="P13" s="89">
        <f t="shared" si="4"/>
        <v>1461</v>
      </c>
      <c r="Q13" s="89">
        <f t="shared" si="5"/>
        <v>1599</v>
      </c>
      <c r="R13" s="92">
        <f t="shared" si="31"/>
        <v>-138</v>
      </c>
      <c r="S13" s="15" t="str">
        <f t="shared" si="32"/>
        <v>T29G1</v>
      </c>
      <c r="T13" s="95">
        <f t="shared" si="33"/>
        <v>20.662500000000001</v>
      </c>
      <c r="U13" s="15" t="str">
        <f t="shared" si="34"/>
        <v>T21G1</v>
      </c>
      <c r="V13" s="95">
        <f t="shared" si="35"/>
        <v>-20.662500000000001</v>
      </c>
      <c r="W13" s="50">
        <f t="shared" si="8"/>
        <v>0.31125000000000003</v>
      </c>
      <c r="X13" s="50">
        <f t="shared" si="9"/>
        <v>0.21187578125000001</v>
      </c>
      <c r="Y13" s="50">
        <f t="shared" si="10"/>
        <v>0.1987484375000001</v>
      </c>
      <c r="Z13" s="50">
        <f t="shared" si="11"/>
        <v>0.5893757812499999</v>
      </c>
      <c r="AA13" s="51" t="str">
        <f t="shared" si="12"/>
        <v>7/2</v>
      </c>
      <c r="AB13" s="51" t="str">
        <f t="shared" si="13"/>
        <v>4/1</v>
      </c>
      <c r="AC13" s="51" t="str">
        <f t="shared" si="14"/>
        <v>17/25</v>
      </c>
      <c r="AD13" s="52">
        <f t="shared" si="15"/>
        <v>1</v>
      </c>
      <c r="AE13" s="52">
        <f t="shared" si="16"/>
        <v>0</v>
      </c>
      <c r="AF13" s="52">
        <f t="shared" si="17"/>
        <v>0</v>
      </c>
      <c r="AG13" s="53">
        <f t="shared" si="18"/>
        <v>0.21187578125000001</v>
      </c>
      <c r="AH13" s="53">
        <f t="shared" si="19"/>
        <v>0.21187578125000001</v>
      </c>
      <c r="AI13" s="53">
        <f t="shared" si="20"/>
        <v>0.1987484375000001</v>
      </c>
      <c r="AJ13" s="53">
        <f t="shared" si="21"/>
        <v>0.5893757812499999</v>
      </c>
      <c r="AK13" s="54">
        <f t="shared" si="22"/>
        <v>1</v>
      </c>
      <c r="AL13" s="54">
        <f t="shared" si="23"/>
        <v>0</v>
      </c>
      <c r="AM13" s="54">
        <f t="shared" si="24"/>
        <v>0</v>
      </c>
      <c r="AN13" s="55">
        <f t="shared" si="25"/>
        <v>0.19874843750000001</v>
      </c>
      <c r="AO13" s="124">
        <f>Poster!B18</f>
        <v>46188</v>
      </c>
      <c r="AP13" s="55">
        <f t="shared" si="26"/>
        <v>0.234375</v>
      </c>
    </row>
    <row r="14" spans="1:42" x14ac:dyDescent="0.25">
      <c r="A14" s="44" t="s">
        <v>1287</v>
      </c>
      <c r="B14" s="1">
        <f>IFERROR(VLOOKUP(Poster!$E19,Lookup03,2,FALSE),"")</f>
        <v>31</v>
      </c>
      <c r="C14" s="45">
        <f>COUNTIF(D$2:D14,D14)+COUNTIF(G$2:G14,D14)</f>
        <v>1</v>
      </c>
      <c r="D14" s="46" t="str">
        <f t="shared" si="27"/>
        <v>Sweden</v>
      </c>
      <c r="E14" s="1">
        <f>IFERROR(VLOOKUP(Poster!$I19,Lookup03,2,FALSE),"")</f>
        <v>35</v>
      </c>
      <c r="F14" s="45">
        <f>COUNTIF(D$2:D14,G14)+COUNTIF(G$2:G14,G14)</f>
        <v>1</v>
      </c>
      <c r="G14" s="46" t="str">
        <f t="shared" si="28"/>
        <v>Tunisia</v>
      </c>
      <c r="H14" s="1">
        <f>IF(Poster!$F19="","",Poster!$F19)</f>
        <v>5</v>
      </c>
      <c r="I14" s="1">
        <f>IF(Poster!$H19="","",Poster!$H19)</f>
        <v>1</v>
      </c>
      <c r="J14" s="305"/>
      <c r="K14" s="305"/>
      <c r="L14" s="305"/>
      <c r="M14" s="305"/>
      <c r="N14" s="66">
        <f t="shared" si="29"/>
        <v>1</v>
      </c>
      <c r="O14" s="65">
        <f t="shared" si="30"/>
        <v>2</v>
      </c>
      <c r="P14" s="89">
        <f t="shared" si="4"/>
        <v>1560</v>
      </c>
      <c r="Q14" s="89">
        <f t="shared" si="5"/>
        <v>1506</v>
      </c>
      <c r="R14" s="92">
        <f t="shared" si="31"/>
        <v>54</v>
      </c>
      <c r="S14" s="15" t="str">
        <f t="shared" si="32"/>
        <v>T31G1</v>
      </c>
      <c r="T14" s="95">
        <f t="shared" si="33"/>
        <v>13.440000000000001</v>
      </c>
      <c r="U14" s="15" t="str">
        <f t="shared" si="34"/>
        <v>T35G1</v>
      </c>
      <c r="V14" s="95">
        <f t="shared" si="35"/>
        <v>-13.440000000000001</v>
      </c>
      <c r="W14" s="50">
        <f t="shared" si="8"/>
        <v>0.57999999999999996</v>
      </c>
      <c r="X14" s="50">
        <f t="shared" si="9"/>
        <v>0.46601249999999994</v>
      </c>
      <c r="Y14" s="50">
        <f t="shared" si="10"/>
        <v>0.22797500000000004</v>
      </c>
      <c r="Z14" s="50">
        <f t="shared" si="11"/>
        <v>0.30601250000000002</v>
      </c>
      <c r="AA14" s="51" t="str">
        <f t="shared" si="12"/>
        <v>11/10</v>
      </c>
      <c r="AB14" s="51" t="str">
        <f t="shared" si="13"/>
        <v>10/3</v>
      </c>
      <c r="AC14" s="51" t="str">
        <f t="shared" si="14"/>
        <v>9/4</v>
      </c>
      <c r="AD14" s="52">
        <f t="shared" si="15"/>
        <v>1</v>
      </c>
      <c r="AE14" s="52">
        <f t="shared" si="16"/>
        <v>0</v>
      </c>
      <c r="AF14" s="52">
        <f t="shared" si="17"/>
        <v>0</v>
      </c>
      <c r="AG14" s="53">
        <f t="shared" si="18"/>
        <v>0.46601249999999994</v>
      </c>
      <c r="AH14" s="53">
        <f t="shared" si="19"/>
        <v>0.46601249999999994</v>
      </c>
      <c r="AI14" s="53">
        <f t="shared" si="20"/>
        <v>0.22797500000000004</v>
      </c>
      <c r="AJ14" s="53">
        <f t="shared" si="21"/>
        <v>0.30601250000000002</v>
      </c>
      <c r="AK14" s="54">
        <f t="shared" si="22"/>
        <v>1</v>
      </c>
      <c r="AL14" s="54">
        <f t="shared" si="23"/>
        <v>0</v>
      </c>
      <c r="AM14" s="54">
        <f t="shared" si="24"/>
        <v>0</v>
      </c>
      <c r="AN14" s="55">
        <f t="shared" si="25"/>
        <v>0.22797500000000001</v>
      </c>
      <c r="AO14" s="124">
        <f>Poster!B19</f>
        <v>46188</v>
      </c>
      <c r="AP14" s="55">
        <f t="shared" si="26"/>
        <v>0.234375</v>
      </c>
    </row>
    <row r="15" spans="1:42" x14ac:dyDescent="0.25">
      <c r="A15" s="44" t="s">
        <v>1288</v>
      </c>
      <c r="B15" s="1">
        <f>IFERROR(VLOOKUP(Poster!$E20,Lookup03,2,FALSE),"")</f>
        <v>2</v>
      </c>
      <c r="C15" s="45">
        <f>COUNTIF(D$2:D15,D15)+COUNTIF(G$2:G15,D15)</f>
        <v>1</v>
      </c>
      <c r="D15" s="46" t="str">
        <f t="shared" si="27"/>
        <v>Spain</v>
      </c>
      <c r="E15" s="1">
        <f>IFERROR(VLOOKUP(Poster!$I20,Lookup03,2,FALSE),"")</f>
        <v>44</v>
      </c>
      <c r="F15" s="45">
        <f>COUNTIF(D$2:D15,G15)+COUNTIF(G$2:G15,G15)</f>
        <v>1</v>
      </c>
      <c r="G15" s="46" t="str">
        <f t="shared" si="28"/>
        <v>Cabo Verde</v>
      </c>
      <c r="H15" s="1">
        <f>IF(Poster!$F20="","",Poster!$F20)</f>
        <v>0</v>
      </c>
      <c r="I15" s="1">
        <f>IF(Poster!$H20="","",Poster!$H20)</f>
        <v>0</v>
      </c>
      <c r="J15" s="305"/>
      <c r="K15" s="305"/>
      <c r="L15" s="305"/>
      <c r="M15" s="305"/>
      <c r="N15" s="66">
        <f t="shared" si="29"/>
        <v>2</v>
      </c>
      <c r="O15" s="65">
        <f t="shared" si="30"/>
        <v>0</v>
      </c>
      <c r="P15" s="89">
        <f t="shared" si="4"/>
        <v>1835</v>
      </c>
      <c r="Q15" s="89">
        <f t="shared" si="5"/>
        <v>1371</v>
      </c>
      <c r="R15" s="92">
        <f t="shared" si="31"/>
        <v>464</v>
      </c>
      <c r="S15" s="15" t="str">
        <f t="shared" si="32"/>
        <v>T2G1</v>
      </c>
      <c r="T15" s="95">
        <f t="shared" si="33"/>
        <v>-13.574999999999999</v>
      </c>
      <c r="U15" s="15" t="str">
        <f t="shared" si="34"/>
        <v>T44G1</v>
      </c>
      <c r="V15" s="95">
        <f t="shared" si="35"/>
        <v>13.574999999999999</v>
      </c>
      <c r="W15" s="50">
        <f t="shared" si="8"/>
        <v>0.95250000000000001</v>
      </c>
      <c r="X15" s="50">
        <f t="shared" si="9"/>
        <v>0.937690625</v>
      </c>
      <c r="Y15" s="50">
        <f t="shared" si="10"/>
        <v>2.9618750000000027E-2</v>
      </c>
      <c r="Z15" s="50">
        <f t="shared" si="11"/>
        <v>3.2690625000000001E-2</v>
      </c>
      <c r="AA15" s="51" t="str">
        <f t="shared" si="12"/>
        <v>1/16</v>
      </c>
      <c r="AB15" s="51" t="str">
        <f t="shared" si="13"/>
        <v>32/1</v>
      </c>
      <c r="AC15" s="51" t="str">
        <f t="shared" si="14"/>
        <v>29/1</v>
      </c>
      <c r="AD15" s="52">
        <f t="shared" si="15"/>
        <v>0</v>
      </c>
      <c r="AE15" s="52">
        <f t="shared" si="16"/>
        <v>1</v>
      </c>
      <c r="AF15" s="52">
        <f t="shared" si="17"/>
        <v>0</v>
      </c>
      <c r="AG15" s="53">
        <f t="shared" si="18"/>
        <v>2.9618750000000027E-2</v>
      </c>
      <c r="AH15" s="53">
        <f t="shared" si="19"/>
        <v>0.937690625</v>
      </c>
      <c r="AI15" s="53">
        <f t="shared" si="20"/>
        <v>2.9618750000000027E-2</v>
      </c>
      <c r="AJ15" s="53">
        <f t="shared" si="21"/>
        <v>3.2690625000000001E-2</v>
      </c>
      <c r="AK15" s="54">
        <f t="shared" si="22"/>
        <v>0</v>
      </c>
      <c r="AL15" s="54">
        <f t="shared" si="23"/>
        <v>1</v>
      </c>
      <c r="AM15" s="54">
        <f t="shared" si="24"/>
        <v>0</v>
      </c>
      <c r="AN15" s="55">
        <f t="shared" si="25"/>
        <v>2.9618749999999999E-2</v>
      </c>
      <c r="AO15" s="124">
        <f>Poster!B20</f>
        <v>46188</v>
      </c>
      <c r="AP15" s="55">
        <f t="shared" si="26"/>
        <v>0.234375</v>
      </c>
    </row>
    <row r="16" spans="1:42" x14ac:dyDescent="0.25">
      <c r="A16" s="44" t="s">
        <v>1289</v>
      </c>
      <c r="B16" s="1">
        <f>IFERROR(VLOOKUP(Poster!$E21,Lookup03,2,FALSE),"")</f>
        <v>9</v>
      </c>
      <c r="C16" s="45">
        <f>COUNTIF(D$2:D16,D16)+COUNTIF(G$2:G16,D16)</f>
        <v>1</v>
      </c>
      <c r="D16" s="46" t="str">
        <f t="shared" si="27"/>
        <v>Belgium</v>
      </c>
      <c r="E16" s="1">
        <f>IFERROR(VLOOKUP(Poster!$I21,Lookup03,2,FALSE),"")</f>
        <v>26</v>
      </c>
      <c r="F16" s="45">
        <f>COUNTIF(D$2:D16,G16)+COUNTIF(G$2:G16,G16)</f>
        <v>1</v>
      </c>
      <c r="G16" s="46" t="str">
        <f t="shared" si="28"/>
        <v>Egypt</v>
      </c>
      <c r="H16" s="1">
        <f>IF(Poster!$F21="","",Poster!$F21)</f>
        <v>1</v>
      </c>
      <c r="I16" s="1">
        <f>IF(Poster!$H21="","",Poster!$H21)</f>
        <v>1</v>
      </c>
      <c r="J16" s="305"/>
      <c r="K16" s="305"/>
      <c r="L16" s="305"/>
      <c r="M16" s="305"/>
      <c r="N16" s="66">
        <f t="shared" si="29"/>
        <v>2</v>
      </c>
      <c r="O16" s="65">
        <f t="shared" si="30"/>
        <v>0</v>
      </c>
      <c r="P16" s="89">
        <f t="shared" si="4"/>
        <v>1735</v>
      </c>
      <c r="Q16" s="89">
        <f t="shared" si="5"/>
        <v>1562</v>
      </c>
      <c r="R16" s="92">
        <f t="shared" si="31"/>
        <v>173</v>
      </c>
      <c r="S16" s="15" t="str">
        <f t="shared" si="32"/>
        <v>T9G1</v>
      </c>
      <c r="T16" s="95">
        <f t="shared" si="33"/>
        <v>-6.9665999999999997</v>
      </c>
      <c r="U16" s="15" t="str">
        <f t="shared" si="34"/>
        <v>T26G1</v>
      </c>
      <c r="V16" s="95">
        <f t="shared" si="35"/>
        <v>6.9665999999999997</v>
      </c>
      <c r="W16" s="50">
        <f t="shared" si="8"/>
        <v>0.73221999999999998</v>
      </c>
      <c r="X16" s="50">
        <f t="shared" si="9"/>
        <v>0.64199556419999992</v>
      </c>
      <c r="Y16" s="50">
        <f t="shared" si="10"/>
        <v>0.1804488716</v>
      </c>
      <c r="Z16" s="50">
        <f t="shared" si="11"/>
        <v>0.17755556420000007</v>
      </c>
      <c r="AA16" s="51" t="str">
        <f t="shared" si="12"/>
        <v>27/50</v>
      </c>
      <c r="AB16" s="51" t="str">
        <f t="shared" si="13"/>
        <v>9/2</v>
      </c>
      <c r="AC16" s="51" t="str">
        <f t="shared" si="14"/>
        <v>9/2</v>
      </c>
      <c r="AD16" s="52">
        <f t="shared" si="15"/>
        <v>0</v>
      </c>
      <c r="AE16" s="52">
        <f t="shared" si="16"/>
        <v>1</v>
      </c>
      <c r="AF16" s="52">
        <f t="shared" si="17"/>
        <v>0</v>
      </c>
      <c r="AG16" s="53">
        <f t="shared" si="18"/>
        <v>0.1804488716</v>
      </c>
      <c r="AH16" s="53">
        <f t="shared" si="19"/>
        <v>0.64199556419999992</v>
      </c>
      <c r="AI16" s="53">
        <f t="shared" si="20"/>
        <v>0.1804488716</v>
      </c>
      <c r="AJ16" s="53">
        <f t="shared" si="21"/>
        <v>0.17755556420000007</v>
      </c>
      <c r="AK16" s="54">
        <f t="shared" si="22"/>
        <v>0</v>
      </c>
      <c r="AL16" s="54">
        <f t="shared" si="23"/>
        <v>1</v>
      </c>
      <c r="AM16" s="54">
        <f t="shared" si="24"/>
        <v>0</v>
      </c>
      <c r="AN16" s="55">
        <f t="shared" si="25"/>
        <v>0.1804488716</v>
      </c>
      <c r="AO16" s="124">
        <f>Poster!B21</f>
        <v>46188</v>
      </c>
      <c r="AP16" s="55">
        <f t="shared" si="26"/>
        <v>0.234375</v>
      </c>
    </row>
    <row r="17" spans="1:42" x14ac:dyDescent="0.25">
      <c r="A17" s="44" t="s">
        <v>1290</v>
      </c>
      <c r="B17" s="1">
        <f>IFERROR(VLOOKUP(Poster!$E22,Lookup03,2,FALSE),"")</f>
        <v>41</v>
      </c>
      <c r="C17" s="45">
        <f>COUNTIF(D$2:D17,D17)+COUNTIF(G$2:G17,D17)</f>
        <v>1</v>
      </c>
      <c r="D17" s="46" t="str">
        <f t="shared" si="27"/>
        <v>Saudi Arabia</v>
      </c>
      <c r="E17" s="1">
        <f>IFERROR(VLOOKUP(Poster!$I22,Lookup03,2,FALSE),"")</f>
        <v>15</v>
      </c>
      <c r="F17" s="45">
        <f>COUNTIF(D$2:D17,G17)+COUNTIF(G$2:G17,G17)</f>
        <v>1</v>
      </c>
      <c r="G17" s="46" t="str">
        <f t="shared" si="28"/>
        <v>Uruguay</v>
      </c>
      <c r="H17" s="1">
        <f>IF(Poster!$F22="","",Poster!$F22)</f>
        <v>1</v>
      </c>
      <c r="I17" s="1">
        <f>IF(Poster!$H22="","",Poster!$H22)</f>
        <v>1</v>
      </c>
      <c r="J17" s="305"/>
      <c r="K17" s="305"/>
      <c r="L17" s="305"/>
      <c r="M17" s="305"/>
      <c r="N17" s="66">
        <f t="shared" si="29"/>
        <v>2</v>
      </c>
      <c r="O17" s="65">
        <f t="shared" si="30"/>
        <v>0</v>
      </c>
      <c r="P17" s="89">
        <f t="shared" si="4"/>
        <v>1424</v>
      </c>
      <c r="Q17" s="89">
        <f t="shared" si="5"/>
        <v>1673</v>
      </c>
      <c r="R17" s="92">
        <f t="shared" si="31"/>
        <v>-249</v>
      </c>
      <c r="S17" s="15" t="str">
        <f t="shared" si="32"/>
        <v>T41G1</v>
      </c>
      <c r="T17" s="95">
        <f t="shared" si="33"/>
        <v>9.3546000000000014</v>
      </c>
      <c r="U17" s="15" t="str">
        <f t="shared" si="34"/>
        <v>T15G1</v>
      </c>
      <c r="V17" s="95">
        <f t="shared" si="35"/>
        <v>-9.3546000000000014</v>
      </c>
      <c r="W17" s="50">
        <f t="shared" si="8"/>
        <v>0.18817999999999999</v>
      </c>
      <c r="X17" s="50">
        <f t="shared" si="9"/>
        <v>0.11960835619999999</v>
      </c>
      <c r="Y17" s="50">
        <f t="shared" si="10"/>
        <v>0.13714328759999994</v>
      </c>
      <c r="Z17" s="50">
        <f t="shared" si="11"/>
        <v>0.74324835620000007</v>
      </c>
      <c r="AA17" s="51" t="str">
        <f t="shared" si="12"/>
        <v>7/1</v>
      </c>
      <c r="AB17" s="51" t="str">
        <f t="shared" si="13"/>
        <v>6/1</v>
      </c>
      <c r="AC17" s="51" t="str">
        <f t="shared" si="14"/>
        <v>17/50</v>
      </c>
      <c r="AD17" s="52">
        <f t="shared" si="15"/>
        <v>0</v>
      </c>
      <c r="AE17" s="52">
        <f t="shared" si="16"/>
        <v>1</v>
      </c>
      <c r="AF17" s="52">
        <f t="shared" si="17"/>
        <v>0</v>
      </c>
      <c r="AG17" s="53">
        <f t="shared" si="18"/>
        <v>0.13714328759999994</v>
      </c>
      <c r="AH17" s="53">
        <f t="shared" si="19"/>
        <v>0.11960835619999999</v>
      </c>
      <c r="AI17" s="53">
        <f t="shared" si="20"/>
        <v>0.13714328759999994</v>
      </c>
      <c r="AJ17" s="53">
        <f t="shared" si="21"/>
        <v>0.74324835620000007</v>
      </c>
      <c r="AK17" s="54">
        <f t="shared" si="22"/>
        <v>0</v>
      </c>
      <c r="AL17" s="54">
        <f t="shared" si="23"/>
        <v>1</v>
      </c>
      <c r="AM17" s="54">
        <f t="shared" si="24"/>
        <v>0</v>
      </c>
      <c r="AN17" s="55">
        <f t="shared" si="25"/>
        <v>0.1371432876</v>
      </c>
      <c r="AO17" s="124">
        <f>Poster!B22</f>
        <v>46188</v>
      </c>
      <c r="AP17" s="55">
        <f t="shared" si="26"/>
        <v>0.234375</v>
      </c>
    </row>
    <row r="18" spans="1:42" x14ac:dyDescent="0.25">
      <c r="A18" s="44" t="s">
        <v>1291</v>
      </c>
      <c r="B18" s="1">
        <f>IFERROR(VLOOKUP(Poster!$E23,Lookup03,2,FALSE),"")</f>
        <v>19</v>
      </c>
      <c r="C18" s="45">
        <f>COUNTIF(D$2:D18,D18)+COUNTIF(G$2:G18,D18)</f>
        <v>1</v>
      </c>
      <c r="D18" s="46" t="str">
        <f t="shared" si="27"/>
        <v>IR Iran</v>
      </c>
      <c r="E18" s="1">
        <f>IFERROR(VLOOKUP(Poster!$I23,Lookup03,2,FALSE),"")</f>
        <v>48</v>
      </c>
      <c r="F18" s="45">
        <f>COUNTIF(D$2:D18,G18)+COUNTIF(G$2:G18,G18)</f>
        <v>1</v>
      </c>
      <c r="G18" s="46" t="str">
        <f t="shared" si="28"/>
        <v>New Zealand</v>
      </c>
      <c r="H18" s="1">
        <f>IF(Poster!$F23="","",Poster!$F23)</f>
        <v>2</v>
      </c>
      <c r="I18" s="1">
        <f>IF(Poster!$H23="","",Poster!$H23)</f>
        <v>2</v>
      </c>
      <c r="J18" s="305"/>
      <c r="K18" s="305"/>
      <c r="L18" s="305"/>
      <c r="M18" s="305"/>
      <c r="N18" s="66">
        <f t="shared" si="29"/>
        <v>2</v>
      </c>
      <c r="O18" s="65">
        <f t="shared" si="30"/>
        <v>0</v>
      </c>
      <c r="P18" s="89">
        <f t="shared" si="4"/>
        <v>1570</v>
      </c>
      <c r="Q18" s="89">
        <f t="shared" si="5"/>
        <v>1276</v>
      </c>
      <c r="R18" s="92">
        <f t="shared" si="31"/>
        <v>294</v>
      </c>
      <c r="S18" s="15" t="str">
        <f t="shared" si="32"/>
        <v>T19G1</v>
      </c>
      <c r="T18" s="95">
        <f t="shared" si="33"/>
        <v>-10.575000000000003</v>
      </c>
      <c r="U18" s="15" t="str">
        <f t="shared" si="34"/>
        <v>T48G1</v>
      </c>
      <c r="V18" s="95">
        <f t="shared" si="35"/>
        <v>10.575000000000003</v>
      </c>
      <c r="W18" s="50">
        <f t="shared" si="8"/>
        <v>0.85250000000000004</v>
      </c>
      <c r="X18" s="50">
        <f t="shared" si="9"/>
        <v>0.79744062500000001</v>
      </c>
      <c r="Y18" s="50">
        <f t="shared" si="10"/>
        <v>0.11011874999999993</v>
      </c>
      <c r="Z18" s="50">
        <f t="shared" si="11"/>
        <v>9.2440625000000012E-2</v>
      </c>
      <c r="AA18" s="51" t="str">
        <f t="shared" si="12"/>
        <v>1/4</v>
      </c>
      <c r="AB18" s="51" t="str">
        <f t="shared" si="13"/>
        <v>8/1</v>
      </c>
      <c r="AC18" s="51" t="str">
        <f t="shared" si="14"/>
        <v>19/2</v>
      </c>
      <c r="AD18" s="52">
        <f t="shared" si="15"/>
        <v>0</v>
      </c>
      <c r="AE18" s="52">
        <f t="shared" si="16"/>
        <v>1</v>
      </c>
      <c r="AF18" s="52">
        <f t="shared" si="17"/>
        <v>0</v>
      </c>
      <c r="AG18" s="53">
        <f t="shared" si="18"/>
        <v>0.11011874999999993</v>
      </c>
      <c r="AH18" s="53">
        <f t="shared" si="19"/>
        <v>0.79744062500000001</v>
      </c>
      <c r="AI18" s="53">
        <f t="shared" si="20"/>
        <v>0.11011874999999993</v>
      </c>
      <c r="AJ18" s="53">
        <f t="shared" si="21"/>
        <v>9.2440625000000012E-2</v>
      </c>
      <c r="AK18" s="54">
        <f t="shared" si="22"/>
        <v>0</v>
      </c>
      <c r="AL18" s="54">
        <f t="shared" si="23"/>
        <v>1</v>
      </c>
      <c r="AM18" s="54">
        <f t="shared" si="24"/>
        <v>0</v>
      </c>
      <c r="AN18" s="55">
        <f t="shared" si="25"/>
        <v>0.11011874999999997</v>
      </c>
      <c r="AO18" s="124">
        <f>Poster!B23</f>
        <v>46189</v>
      </c>
      <c r="AP18" s="55">
        <f t="shared" si="26"/>
        <v>0.234375</v>
      </c>
    </row>
    <row r="19" spans="1:42" x14ac:dyDescent="0.25">
      <c r="A19" s="44" t="s">
        <v>1292</v>
      </c>
      <c r="B19" s="1">
        <f>IFERROR(VLOOKUP(Poster!$E24,Lookup03,2,FALSE),"")</f>
        <v>3</v>
      </c>
      <c r="C19" s="45">
        <f>COUNTIF(D$2:D19,D19)+COUNTIF(G$2:G19,D19)</f>
        <v>1</v>
      </c>
      <c r="D19" s="46" t="str">
        <f t="shared" si="27"/>
        <v>France</v>
      </c>
      <c r="E19" s="1">
        <f>IFERROR(VLOOKUP(Poster!$I24,Lookup03,2,FALSE),"")</f>
        <v>14</v>
      </c>
      <c r="F19" s="45">
        <f>COUNTIF(D$2:D19,G19)+COUNTIF(G$2:G19,G19)</f>
        <v>1</v>
      </c>
      <c r="G19" s="46" t="str">
        <f t="shared" si="28"/>
        <v>Senegal</v>
      </c>
      <c r="H19" s="1" t="str">
        <f>IF(Poster!$F24="","",Poster!$F24)</f>
        <v/>
      </c>
      <c r="I19" s="1" t="str">
        <f>IF(Poster!$H24="","",Poster!$H24)</f>
        <v/>
      </c>
      <c r="J19" s="305"/>
      <c r="K19" s="305"/>
      <c r="L19" s="305"/>
      <c r="M19" s="305"/>
      <c r="N19" s="66" t="str">
        <f t="shared" si="29"/>
        <v/>
      </c>
      <c r="O19" s="65">
        <f t="shared" si="30"/>
        <v>0</v>
      </c>
      <c r="P19" s="89">
        <f t="shared" si="4"/>
        <v>1819</v>
      </c>
      <c r="Q19" s="89">
        <f t="shared" si="5"/>
        <v>1654</v>
      </c>
      <c r="R19" s="92">
        <f t="shared" si="31"/>
        <v>165</v>
      </c>
      <c r="S19" s="15" t="str">
        <f t="shared" si="32"/>
        <v>T3G1</v>
      </c>
      <c r="T19" s="95" t="str">
        <f t="shared" si="33"/>
        <v/>
      </c>
      <c r="U19" s="15" t="str">
        <f t="shared" si="34"/>
        <v>T14G1</v>
      </c>
      <c r="V19" s="95" t="str">
        <f t="shared" si="35"/>
        <v/>
      </c>
      <c r="W19" s="50">
        <f t="shared" si="8"/>
        <v>0.72250000000000003</v>
      </c>
      <c r="X19" s="50">
        <f t="shared" si="9"/>
        <v>0.63006562500000007</v>
      </c>
      <c r="Y19" s="50">
        <f t="shared" si="10"/>
        <v>0.18486874999999992</v>
      </c>
      <c r="Z19" s="50">
        <f t="shared" si="11"/>
        <v>0.18506562499999996</v>
      </c>
      <c r="AA19" s="51" t="str">
        <f t="shared" si="12"/>
        <v>4/7</v>
      </c>
      <c r="AB19" s="51" t="str">
        <f t="shared" si="13"/>
        <v>4/1</v>
      </c>
      <c r="AC19" s="51" t="str">
        <f t="shared" si="14"/>
        <v>4/1</v>
      </c>
      <c r="AD19" s="52">
        <f t="shared" si="15"/>
        <v>0</v>
      </c>
      <c r="AE19" s="52">
        <f t="shared" si="16"/>
        <v>0</v>
      </c>
      <c r="AF19" s="52">
        <f t="shared" si="17"/>
        <v>0</v>
      </c>
      <c r="AG19" s="53" t="str">
        <f t="shared" si="18"/>
        <v/>
      </c>
      <c r="AH19" s="53" t="str">
        <f t="shared" si="19"/>
        <v/>
      </c>
      <c r="AI19" s="53" t="str">
        <f t="shared" si="20"/>
        <v/>
      </c>
      <c r="AJ19" s="53" t="str">
        <f t="shared" si="21"/>
        <v/>
      </c>
      <c r="AK19" s="54" t="str">
        <f t="shared" si="22"/>
        <v/>
      </c>
      <c r="AL19" s="54" t="str">
        <f t="shared" si="23"/>
        <v/>
      </c>
      <c r="AM19" s="54" t="str">
        <f t="shared" si="24"/>
        <v/>
      </c>
      <c r="AN19" s="55">
        <f t="shared" si="25"/>
        <v>0.18486874999999997</v>
      </c>
      <c r="AO19" s="124">
        <f>Poster!B24</f>
        <v>46189</v>
      </c>
      <c r="AP19" s="55">
        <f t="shared" si="26"/>
        <v>0.234375</v>
      </c>
    </row>
    <row r="20" spans="1:42" x14ac:dyDescent="0.25">
      <c r="A20" s="44" t="s">
        <v>1293</v>
      </c>
      <c r="B20" s="1">
        <f>IFERROR(VLOOKUP(Poster!$E25,Lookup03,2,FALSE),"")</f>
        <v>39</v>
      </c>
      <c r="C20" s="45">
        <f>COUNTIF(D$2:D20,D20)+COUNTIF(G$2:G20,D20)</f>
        <v>1</v>
      </c>
      <c r="D20" s="46" t="str">
        <f t="shared" si="27"/>
        <v>Iraq</v>
      </c>
      <c r="E20" s="1">
        <f>IFERROR(VLOOKUP(Poster!$I25,Lookup03,2,FALSE),"")</f>
        <v>28</v>
      </c>
      <c r="F20" s="45">
        <f>COUNTIF(D$2:D20,G20)+COUNTIF(G$2:G20,G20)</f>
        <v>1</v>
      </c>
      <c r="G20" s="46" t="str">
        <f t="shared" si="28"/>
        <v>Norway</v>
      </c>
      <c r="H20" s="1" t="str">
        <f>IF(Poster!$F25="","",Poster!$F25)</f>
        <v/>
      </c>
      <c r="I20" s="1" t="str">
        <f>IF(Poster!$H25="","",Poster!$H25)</f>
        <v/>
      </c>
      <c r="J20" s="305"/>
      <c r="K20" s="305"/>
      <c r="L20" s="305"/>
      <c r="M20" s="305"/>
      <c r="N20" s="66" t="str">
        <f t="shared" si="29"/>
        <v/>
      </c>
      <c r="O20" s="65">
        <f t="shared" si="30"/>
        <v>0</v>
      </c>
      <c r="P20" s="89">
        <f t="shared" si="4"/>
        <v>1446</v>
      </c>
      <c r="Q20" s="89">
        <f t="shared" si="5"/>
        <v>1637</v>
      </c>
      <c r="R20" s="92">
        <f t="shared" si="31"/>
        <v>-191</v>
      </c>
      <c r="S20" s="15" t="str">
        <f t="shared" si="32"/>
        <v>T39G1</v>
      </c>
      <c r="T20" s="95" t="str">
        <f t="shared" si="33"/>
        <v/>
      </c>
      <c r="U20" s="15" t="str">
        <f t="shared" si="34"/>
        <v>T28G1</v>
      </c>
      <c r="V20" s="95" t="str">
        <f t="shared" si="35"/>
        <v/>
      </c>
      <c r="W20" s="50">
        <f t="shared" si="8"/>
        <v>0.24889</v>
      </c>
      <c r="X20" s="50">
        <f t="shared" si="9"/>
        <v>0.16323061605</v>
      </c>
      <c r="Y20" s="50">
        <f t="shared" si="10"/>
        <v>0.1713187679</v>
      </c>
      <c r="Z20" s="50">
        <f t="shared" si="11"/>
        <v>0.66545061605</v>
      </c>
      <c r="AA20" s="51" t="str">
        <f t="shared" si="12"/>
        <v>5/1</v>
      </c>
      <c r="AB20" s="51" t="str">
        <f t="shared" si="13"/>
        <v>9/2</v>
      </c>
      <c r="AC20" s="51" t="str">
        <f t="shared" si="14"/>
        <v>1/2</v>
      </c>
      <c r="AD20" s="52">
        <f t="shared" si="15"/>
        <v>0</v>
      </c>
      <c r="AE20" s="52">
        <f t="shared" si="16"/>
        <v>0</v>
      </c>
      <c r="AF20" s="52">
        <f t="shared" si="17"/>
        <v>0</v>
      </c>
      <c r="AG20" s="53" t="str">
        <f t="shared" si="18"/>
        <v/>
      </c>
      <c r="AH20" s="53" t="str">
        <f t="shared" si="19"/>
        <v/>
      </c>
      <c r="AI20" s="53" t="str">
        <f t="shared" si="20"/>
        <v/>
      </c>
      <c r="AJ20" s="53" t="str">
        <f t="shared" si="21"/>
        <v/>
      </c>
      <c r="AK20" s="54" t="str">
        <f t="shared" si="22"/>
        <v/>
      </c>
      <c r="AL20" s="54" t="str">
        <f t="shared" si="23"/>
        <v/>
      </c>
      <c r="AM20" s="54" t="str">
        <f t="shared" si="24"/>
        <v/>
      </c>
      <c r="AN20" s="55">
        <f t="shared" si="25"/>
        <v>0.1713187679</v>
      </c>
      <c r="AO20" s="124">
        <f>Poster!B25</f>
        <v>46189</v>
      </c>
      <c r="AP20" s="55">
        <f t="shared" si="26"/>
        <v>0.234375</v>
      </c>
    </row>
    <row r="21" spans="1:42" x14ac:dyDescent="0.25">
      <c r="A21" s="44" t="s">
        <v>1294</v>
      </c>
      <c r="B21" s="1">
        <f>IFERROR(VLOOKUP(Poster!$E26,Lookup03,2,FALSE),"")</f>
        <v>1</v>
      </c>
      <c r="C21" s="45">
        <f>COUNTIF(D$2:D21,D21)+COUNTIF(G$2:G21,D21)</f>
        <v>1</v>
      </c>
      <c r="D21" s="46" t="str">
        <f t="shared" si="27"/>
        <v>Argentina</v>
      </c>
      <c r="E21" s="1">
        <f>IFERROR(VLOOKUP(Poster!$I26,Lookup03,2,FALSE),"")</f>
        <v>25</v>
      </c>
      <c r="F21" s="45">
        <f>COUNTIF(D$2:D21,G21)+COUNTIF(G$2:G21,G21)</f>
        <v>1</v>
      </c>
      <c r="G21" s="46" t="str">
        <f t="shared" si="28"/>
        <v>Algeria</v>
      </c>
      <c r="H21" s="1" t="str">
        <f>IF(Poster!$F26="","",Poster!$F26)</f>
        <v/>
      </c>
      <c r="I21" s="1" t="str">
        <f>IF(Poster!$H26="","",Poster!$H26)</f>
        <v/>
      </c>
      <c r="J21" s="305"/>
      <c r="K21" s="305"/>
      <c r="L21" s="305"/>
      <c r="M21" s="305"/>
      <c r="N21" s="66" t="str">
        <f t="shared" si="29"/>
        <v/>
      </c>
      <c r="O21" s="65">
        <f t="shared" si="30"/>
        <v>0</v>
      </c>
      <c r="P21" s="89">
        <f t="shared" si="4"/>
        <v>1792</v>
      </c>
      <c r="Q21" s="89">
        <f t="shared" si="5"/>
        <v>1591</v>
      </c>
      <c r="R21" s="92">
        <f t="shared" si="31"/>
        <v>201</v>
      </c>
      <c r="S21" s="15" t="str">
        <f t="shared" si="32"/>
        <v>T1G1</v>
      </c>
      <c r="T21" s="95" t="str">
        <f t="shared" si="33"/>
        <v/>
      </c>
      <c r="U21" s="15" t="str">
        <f t="shared" si="34"/>
        <v>T25G1</v>
      </c>
      <c r="V21" s="95" t="str">
        <f t="shared" si="35"/>
        <v/>
      </c>
      <c r="W21" s="50">
        <f t="shared" si="8"/>
        <v>0.76332999999999995</v>
      </c>
      <c r="X21" s="50">
        <f t="shared" si="9"/>
        <v>0.68081384444999993</v>
      </c>
      <c r="Y21" s="50">
        <f t="shared" si="10"/>
        <v>0.16503231110000005</v>
      </c>
      <c r="Z21" s="50">
        <f t="shared" si="11"/>
        <v>0.15415384445000005</v>
      </c>
      <c r="AA21" s="51" t="str">
        <f t="shared" si="12"/>
        <v>23/50</v>
      </c>
      <c r="AB21" s="51" t="str">
        <f t="shared" si="13"/>
        <v>5/1</v>
      </c>
      <c r="AC21" s="51" t="str">
        <f t="shared" si="14"/>
        <v>5/1</v>
      </c>
      <c r="AD21" s="52">
        <f t="shared" si="15"/>
        <v>0</v>
      </c>
      <c r="AE21" s="52">
        <f t="shared" si="16"/>
        <v>0</v>
      </c>
      <c r="AF21" s="52">
        <f t="shared" si="17"/>
        <v>0</v>
      </c>
      <c r="AG21" s="53" t="str">
        <f t="shared" si="18"/>
        <v/>
      </c>
      <c r="AH21" s="53" t="str">
        <f t="shared" si="19"/>
        <v/>
      </c>
      <c r="AI21" s="53" t="str">
        <f t="shared" si="20"/>
        <v/>
      </c>
      <c r="AJ21" s="53" t="str">
        <f t="shared" si="21"/>
        <v/>
      </c>
      <c r="AK21" s="54" t="str">
        <f t="shared" si="22"/>
        <v/>
      </c>
      <c r="AL21" s="54" t="str">
        <f t="shared" si="23"/>
        <v/>
      </c>
      <c r="AM21" s="54" t="str">
        <f t="shared" si="24"/>
        <v/>
      </c>
      <c r="AN21" s="55">
        <f t="shared" si="25"/>
        <v>0.16503231110000002</v>
      </c>
      <c r="AO21" s="124">
        <f>Poster!B26</f>
        <v>46190</v>
      </c>
      <c r="AP21" s="55">
        <f t="shared" si="26"/>
        <v>0.234375</v>
      </c>
    </row>
    <row r="22" spans="1:42" x14ac:dyDescent="0.25">
      <c r="A22" s="44" t="s">
        <v>1295</v>
      </c>
      <c r="B22" s="1">
        <f>IFERROR(VLOOKUP(Poster!$E27,Lookup03,2,FALSE),"")</f>
        <v>22</v>
      </c>
      <c r="C22" s="45">
        <f>COUNTIF(D$2:D22,D22)+COUNTIF(G$2:G22,D22)</f>
        <v>1</v>
      </c>
      <c r="D22" s="46" t="str">
        <f t="shared" si="27"/>
        <v>Austria</v>
      </c>
      <c r="E22" s="1">
        <f>IFERROR(VLOOKUP(Poster!$I27,Lookup03,2,FALSE),"")</f>
        <v>42</v>
      </c>
      <c r="F22" s="45">
        <f>COUNTIF(D$2:D22,G22)+COUNTIF(G$2:G22,G22)</f>
        <v>1</v>
      </c>
      <c r="G22" s="46" t="str">
        <f t="shared" si="28"/>
        <v>Jordan</v>
      </c>
      <c r="H22" s="1" t="str">
        <f>IF(Poster!$F27="","",Poster!$F27)</f>
        <v/>
      </c>
      <c r="I22" s="1" t="str">
        <f>IF(Poster!$H27="","",Poster!$H27)</f>
        <v/>
      </c>
      <c r="J22" s="305"/>
      <c r="K22" s="305"/>
      <c r="L22" s="305"/>
      <c r="M22" s="305"/>
      <c r="N22" s="66" t="str">
        <f t="shared" si="29"/>
        <v/>
      </c>
      <c r="O22" s="65">
        <f t="shared" si="30"/>
        <v>0</v>
      </c>
      <c r="P22" s="89">
        <f t="shared" si="4"/>
        <v>1607</v>
      </c>
      <c r="Q22" s="89">
        <f t="shared" si="5"/>
        <v>1388</v>
      </c>
      <c r="R22" s="92">
        <f t="shared" si="31"/>
        <v>219</v>
      </c>
      <c r="S22" s="15" t="str">
        <f t="shared" si="32"/>
        <v>T22G1</v>
      </c>
      <c r="T22" s="95" t="str">
        <f t="shared" si="33"/>
        <v/>
      </c>
      <c r="U22" s="15" t="str">
        <f t="shared" si="34"/>
        <v>T42G1</v>
      </c>
      <c r="V22" s="95" t="str">
        <f t="shared" si="35"/>
        <v/>
      </c>
      <c r="W22" s="50">
        <f t="shared" si="8"/>
        <v>0.78300000000000003</v>
      </c>
      <c r="X22" s="50">
        <f t="shared" si="9"/>
        <v>0.70585700000000007</v>
      </c>
      <c r="Y22" s="50">
        <f t="shared" si="10"/>
        <v>0.15428600000000003</v>
      </c>
      <c r="Z22" s="50">
        <f t="shared" si="11"/>
        <v>0.13985699999999995</v>
      </c>
      <c r="AA22" s="51" t="str">
        <f t="shared" si="12"/>
        <v>2/5</v>
      </c>
      <c r="AB22" s="51" t="str">
        <f t="shared" si="13"/>
        <v>5/1</v>
      </c>
      <c r="AC22" s="51" t="str">
        <f t="shared" si="14"/>
        <v>6/1</v>
      </c>
      <c r="AD22" s="52">
        <f t="shared" si="15"/>
        <v>0</v>
      </c>
      <c r="AE22" s="52">
        <f t="shared" si="16"/>
        <v>0</v>
      </c>
      <c r="AF22" s="52">
        <f t="shared" si="17"/>
        <v>0</v>
      </c>
      <c r="AG22" s="53" t="str">
        <f t="shared" si="18"/>
        <v/>
      </c>
      <c r="AH22" s="53" t="str">
        <f t="shared" si="19"/>
        <v/>
      </c>
      <c r="AI22" s="53" t="str">
        <f t="shared" si="20"/>
        <v/>
      </c>
      <c r="AJ22" s="53" t="str">
        <f t="shared" si="21"/>
        <v/>
      </c>
      <c r="AK22" s="54" t="str">
        <f t="shared" si="22"/>
        <v/>
      </c>
      <c r="AL22" s="54" t="str">
        <f t="shared" si="23"/>
        <v/>
      </c>
      <c r="AM22" s="54" t="str">
        <f t="shared" si="24"/>
        <v/>
      </c>
      <c r="AN22" s="55">
        <f t="shared" si="25"/>
        <v>0.15428599999999998</v>
      </c>
      <c r="AO22" s="124">
        <f>Poster!B27</f>
        <v>46190</v>
      </c>
      <c r="AP22" s="55">
        <f t="shared" si="26"/>
        <v>0.234375</v>
      </c>
    </row>
    <row r="23" spans="1:42" x14ac:dyDescent="0.25">
      <c r="A23" s="44" t="s">
        <v>1296</v>
      </c>
      <c r="B23" s="1">
        <f>IFERROR(VLOOKUP(Poster!$E28,Lookup03,2,FALSE),"")</f>
        <v>5</v>
      </c>
      <c r="C23" s="45">
        <f>COUNTIF(D$2:D23,D23)+COUNTIF(G$2:G23,D23)</f>
        <v>1</v>
      </c>
      <c r="D23" s="46" t="str">
        <f t="shared" si="27"/>
        <v>Portugal</v>
      </c>
      <c r="E23" s="1">
        <f>IFERROR(VLOOKUP(Poster!$I28,Lookup03,2,FALSE),"")</f>
        <v>36</v>
      </c>
      <c r="F23" s="45">
        <f>COUNTIF(D$2:D23,G23)+COUNTIF(G$2:G23,G23)</f>
        <v>1</v>
      </c>
      <c r="G23" s="46" t="str">
        <f t="shared" si="28"/>
        <v>Congo DR</v>
      </c>
      <c r="H23" s="1" t="str">
        <f>IF(Poster!$F28="","",Poster!$F28)</f>
        <v/>
      </c>
      <c r="I23" s="1" t="str">
        <f>IF(Poster!$H28="","",Poster!$H28)</f>
        <v/>
      </c>
      <c r="J23" s="305"/>
      <c r="K23" s="305"/>
      <c r="L23" s="305"/>
      <c r="M23" s="305"/>
      <c r="N23" s="66" t="str">
        <f t="shared" si="29"/>
        <v/>
      </c>
      <c r="O23" s="65">
        <f t="shared" si="30"/>
        <v>0</v>
      </c>
      <c r="P23" s="89">
        <f t="shared" si="4"/>
        <v>1798</v>
      </c>
      <c r="Q23" s="89">
        <f t="shared" si="5"/>
        <v>1474</v>
      </c>
      <c r="R23" s="92">
        <f t="shared" si="31"/>
        <v>324</v>
      </c>
      <c r="S23" s="15" t="str">
        <f t="shared" si="32"/>
        <v>T5G1</v>
      </c>
      <c r="T23" s="95" t="str">
        <f t="shared" si="33"/>
        <v/>
      </c>
      <c r="U23" s="15" t="str">
        <f t="shared" si="34"/>
        <v>T36G1</v>
      </c>
      <c r="V23" s="95" t="str">
        <f t="shared" si="35"/>
        <v/>
      </c>
      <c r="W23" s="50">
        <f t="shared" si="8"/>
        <v>0.87614999999999998</v>
      </c>
      <c r="X23" s="50">
        <f t="shared" si="9"/>
        <v>0.82970691124999996</v>
      </c>
      <c r="Y23" s="50">
        <f t="shared" si="10"/>
        <v>9.2886177500000056E-2</v>
      </c>
      <c r="Z23" s="50">
        <f t="shared" si="11"/>
        <v>7.7406911250000043E-2</v>
      </c>
      <c r="AA23" s="51" t="str">
        <f t="shared" si="12"/>
        <v>1/5</v>
      </c>
      <c r="AB23" s="51" t="str">
        <f t="shared" si="13"/>
        <v>19/2</v>
      </c>
      <c r="AC23" s="51" t="str">
        <f t="shared" si="14"/>
        <v>23/2</v>
      </c>
      <c r="AD23" s="52">
        <f t="shared" si="15"/>
        <v>0</v>
      </c>
      <c r="AE23" s="52">
        <f t="shared" si="16"/>
        <v>0</v>
      </c>
      <c r="AF23" s="52">
        <f t="shared" si="17"/>
        <v>0</v>
      </c>
      <c r="AG23" s="53" t="str">
        <f t="shared" si="18"/>
        <v/>
      </c>
      <c r="AH23" s="53" t="str">
        <f t="shared" si="19"/>
        <v/>
      </c>
      <c r="AI23" s="53" t="str">
        <f t="shared" si="20"/>
        <v/>
      </c>
      <c r="AJ23" s="53" t="str">
        <f t="shared" si="21"/>
        <v/>
      </c>
      <c r="AK23" s="54" t="str">
        <f t="shared" si="22"/>
        <v/>
      </c>
      <c r="AL23" s="54" t="str">
        <f t="shared" si="23"/>
        <v/>
      </c>
      <c r="AM23" s="54" t="str">
        <f t="shared" si="24"/>
        <v/>
      </c>
      <c r="AN23" s="55">
        <f t="shared" si="25"/>
        <v>9.28861775E-2</v>
      </c>
      <c r="AO23" s="124">
        <f>Poster!B28</f>
        <v>46190</v>
      </c>
      <c r="AP23" s="55">
        <f t="shared" si="26"/>
        <v>0.234375</v>
      </c>
    </row>
    <row r="24" spans="1:42" x14ac:dyDescent="0.25">
      <c r="A24" s="44" t="s">
        <v>1297</v>
      </c>
      <c r="B24" s="1">
        <f>IFERROR(VLOOKUP(Poster!$E29,Lookup03,2,FALSE),"")</f>
        <v>4</v>
      </c>
      <c r="C24" s="45">
        <f>COUNTIF(D$2:D24,D24)+COUNTIF(G$2:G24,D24)</f>
        <v>1</v>
      </c>
      <c r="D24" s="46" t="str">
        <f t="shared" si="27"/>
        <v>England</v>
      </c>
      <c r="E24" s="1">
        <f>IFERROR(VLOOKUP(Poster!$I29,Lookup03,2,FALSE),"")</f>
        <v>11</v>
      </c>
      <c r="F24" s="45">
        <f>COUNTIF(D$2:D24,G24)+COUNTIF(G$2:G24,G24)</f>
        <v>1</v>
      </c>
      <c r="G24" s="46" t="str">
        <f t="shared" si="28"/>
        <v>Croatia</v>
      </c>
      <c r="H24" s="1" t="str">
        <f>IF(Poster!$F29="","",Poster!$F29)</f>
        <v/>
      </c>
      <c r="I24" s="1" t="str">
        <f>IF(Poster!$H29="","",Poster!$H29)</f>
        <v/>
      </c>
      <c r="J24" s="305"/>
      <c r="K24" s="305"/>
      <c r="L24" s="305"/>
      <c r="M24" s="305"/>
      <c r="N24" s="66" t="str">
        <f t="shared" si="29"/>
        <v/>
      </c>
      <c r="O24" s="65">
        <f t="shared" si="30"/>
        <v>0</v>
      </c>
      <c r="P24" s="89">
        <f t="shared" si="4"/>
        <v>1803</v>
      </c>
      <c r="Q24" s="89">
        <f t="shared" si="5"/>
        <v>1695</v>
      </c>
      <c r="R24" s="92">
        <f t="shared" si="31"/>
        <v>108</v>
      </c>
      <c r="S24" s="15" t="str">
        <f t="shared" si="32"/>
        <v>T4G1</v>
      </c>
      <c r="T24" s="95" t="str">
        <f t="shared" si="33"/>
        <v/>
      </c>
      <c r="U24" s="15" t="str">
        <f t="shared" si="34"/>
        <v>T11G1</v>
      </c>
      <c r="V24" s="95" t="str">
        <f t="shared" si="35"/>
        <v/>
      </c>
      <c r="W24" s="50">
        <f t="shared" si="8"/>
        <v>0.65142999999999995</v>
      </c>
      <c r="X24" s="50">
        <f t="shared" si="9"/>
        <v>0.54570802244999994</v>
      </c>
      <c r="Y24" s="50">
        <f t="shared" si="10"/>
        <v>0.21144395510000003</v>
      </c>
      <c r="Z24" s="50">
        <f t="shared" si="11"/>
        <v>0.24284802245000003</v>
      </c>
      <c r="AA24" s="51" t="str">
        <f t="shared" si="12"/>
        <v>4/5</v>
      </c>
      <c r="AB24" s="51" t="str">
        <f t="shared" si="13"/>
        <v>7/2</v>
      </c>
      <c r="AC24" s="51" t="str">
        <f t="shared" si="14"/>
        <v>31/10</v>
      </c>
      <c r="AD24" s="52">
        <f t="shared" si="15"/>
        <v>0</v>
      </c>
      <c r="AE24" s="52">
        <f t="shared" si="16"/>
        <v>0</v>
      </c>
      <c r="AF24" s="52">
        <f t="shared" si="17"/>
        <v>0</v>
      </c>
      <c r="AG24" s="53" t="str">
        <f t="shared" si="18"/>
        <v/>
      </c>
      <c r="AH24" s="53" t="str">
        <f t="shared" si="19"/>
        <v/>
      </c>
      <c r="AI24" s="53" t="str">
        <f t="shared" si="20"/>
        <v/>
      </c>
      <c r="AJ24" s="53" t="str">
        <f t="shared" si="21"/>
        <v/>
      </c>
      <c r="AK24" s="54" t="str">
        <f t="shared" si="22"/>
        <v/>
      </c>
      <c r="AL24" s="54" t="str">
        <f t="shared" si="23"/>
        <v/>
      </c>
      <c r="AM24" s="54" t="str">
        <f t="shared" si="24"/>
        <v/>
      </c>
      <c r="AN24" s="55">
        <f t="shared" si="25"/>
        <v>0.21144395510000003</v>
      </c>
      <c r="AO24" s="124">
        <f>Poster!B29</f>
        <v>46190</v>
      </c>
      <c r="AP24" s="55">
        <f t="shared" si="26"/>
        <v>0.234375</v>
      </c>
    </row>
    <row r="25" spans="1:42" x14ac:dyDescent="0.25">
      <c r="A25" s="44" t="s">
        <v>1298</v>
      </c>
      <c r="B25" s="1">
        <f>IFERROR(VLOOKUP(Poster!$E30,Lookup03,2,FALSE),"")</f>
        <v>45</v>
      </c>
      <c r="C25" s="45">
        <f>COUNTIF(D$2:D25,D25)+COUNTIF(G$2:G25,D25)</f>
        <v>1</v>
      </c>
      <c r="D25" s="46" t="str">
        <f t="shared" si="27"/>
        <v>Ghana</v>
      </c>
      <c r="E25" s="1">
        <f>IFERROR(VLOOKUP(Poster!$I30,Lookup03,2,FALSE),"")</f>
        <v>30</v>
      </c>
      <c r="F25" s="45">
        <f>COUNTIF(D$2:D25,G25)+COUNTIF(G$2:G25,G25)</f>
        <v>1</v>
      </c>
      <c r="G25" s="46" t="str">
        <f t="shared" si="28"/>
        <v>Panama</v>
      </c>
      <c r="H25" s="1" t="str">
        <f>IF(Poster!$F30="","",Poster!$F30)</f>
        <v/>
      </c>
      <c r="I25" s="1" t="str">
        <f>IF(Poster!$H30="","",Poster!$H30)</f>
        <v/>
      </c>
      <c r="J25" s="305"/>
      <c r="K25" s="305"/>
      <c r="L25" s="305"/>
      <c r="M25" s="305"/>
      <c r="N25" s="66" t="str">
        <f t="shared" si="29"/>
        <v/>
      </c>
      <c r="O25" s="65">
        <f t="shared" si="30"/>
        <v>0</v>
      </c>
      <c r="P25" s="89">
        <f t="shared" si="4"/>
        <v>1447</v>
      </c>
      <c r="Q25" s="89">
        <f t="shared" si="5"/>
        <v>1569</v>
      </c>
      <c r="R25" s="92">
        <f t="shared" si="31"/>
        <v>-122</v>
      </c>
      <c r="S25" s="15" t="str">
        <f t="shared" si="32"/>
        <v>T45G1</v>
      </c>
      <c r="T25" s="95" t="str">
        <f t="shared" si="33"/>
        <v/>
      </c>
      <c r="U25" s="15" t="str">
        <f t="shared" si="34"/>
        <v>T30G1</v>
      </c>
      <c r="V25" s="95" t="str">
        <f t="shared" si="35"/>
        <v/>
      </c>
      <c r="W25" s="50">
        <f t="shared" si="8"/>
        <v>0.33124999999999999</v>
      </c>
      <c r="X25" s="50">
        <f t="shared" si="9"/>
        <v>0.22830078124999997</v>
      </c>
      <c r="Y25" s="50">
        <f t="shared" si="10"/>
        <v>0.20589843750000003</v>
      </c>
      <c r="Z25" s="50">
        <f t="shared" si="11"/>
        <v>0.56580078125</v>
      </c>
      <c r="AA25" s="51" t="str">
        <f t="shared" si="12"/>
        <v>10/3</v>
      </c>
      <c r="AB25" s="51" t="str">
        <f t="shared" si="13"/>
        <v>7/2</v>
      </c>
      <c r="AC25" s="51" t="str">
        <f t="shared" si="14"/>
        <v>19/25</v>
      </c>
      <c r="AD25" s="52">
        <f t="shared" si="15"/>
        <v>0</v>
      </c>
      <c r="AE25" s="52">
        <f t="shared" si="16"/>
        <v>0</v>
      </c>
      <c r="AF25" s="52">
        <f t="shared" si="17"/>
        <v>0</v>
      </c>
      <c r="AG25" s="53" t="str">
        <f t="shared" si="18"/>
        <v/>
      </c>
      <c r="AH25" s="53" t="str">
        <f t="shared" si="19"/>
        <v/>
      </c>
      <c r="AI25" s="53" t="str">
        <f t="shared" si="20"/>
        <v/>
      </c>
      <c r="AJ25" s="53" t="str">
        <f t="shared" si="21"/>
        <v/>
      </c>
      <c r="AK25" s="54" t="str">
        <f t="shared" si="22"/>
        <v/>
      </c>
      <c r="AL25" s="54" t="str">
        <f t="shared" si="23"/>
        <v/>
      </c>
      <c r="AM25" s="54" t="str">
        <f t="shared" si="24"/>
        <v/>
      </c>
      <c r="AN25" s="55">
        <f t="shared" si="25"/>
        <v>0.2058984375</v>
      </c>
      <c r="AO25" s="124">
        <f>Poster!B30</f>
        <v>46191</v>
      </c>
      <c r="AP25" s="55">
        <f t="shared" si="26"/>
        <v>0.234375</v>
      </c>
    </row>
    <row r="26" spans="1:42" x14ac:dyDescent="0.25">
      <c r="A26" s="44" t="s">
        <v>1299</v>
      </c>
      <c r="B26" s="1">
        <f>IFERROR(VLOOKUP(Poster!$E31,Lookup03,2,FALSE),"")</f>
        <v>37</v>
      </c>
      <c r="C26" s="45">
        <f>COUNTIF(D$2:D26,D26)+COUNTIF(G$2:G26,D26)</f>
        <v>1</v>
      </c>
      <c r="D26" s="46" t="str">
        <f t="shared" si="27"/>
        <v>Uzbekistan</v>
      </c>
      <c r="E26" s="1">
        <f>IFERROR(VLOOKUP(Poster!$I31,Lookup03,2,FALSE),"")</f>
        <v>12</v>
      </c>
      <c r="F26" s="45">
        <f>COUNTIF(D$2:D26,G26)+COUNTIF(G$2:G26,G26)</f>
        <v>1</v>
      </c>
      <c r="G26" s="46" t="str">
        <f t="shared" si="28"/>
        <v>Colombia</v>
      </c>
      <c r="H26" s="1" t="str">
        <f>IF(Poster!$F31="","",Poster!$F31)</f>
        <v/>
      </c>
      <c r="I26" s="1" t="str">
        <f>IF(Poster!$H31="","",Poster!$H31)</f>
        <v/>
      </c>
      <c r="J26" s="305"/>
      <c r="K26" s="305"/>
      <c r="L26" s="305"/>
      <c r="M26" s="305"/>
      <c r="N26" s="66" t="str">
        <f t="shared" si="29"/>
        <v/>
      </c>
      <c r="O26" s="65">
        <f t="shared" si="30"/>
        <v>0</v>
      </c>
      <c r="P26" s="89">
        <f t="shared" si="4"/>
        <v>1459</v>
      </c>
      <c r="Q26" s="89">
        <f t="shared" si="5"/>
        <v>1723</v>
      </c>
      <c r="R26" s="92">
        <f t="shared" si="31"/>
        <v>-264</v>
      </c>
      <c r="S26" s="15" t="str">
        <f t="shared" si="32"/>
        <v>T37G1</v>
      </c>
      <c r="T26" s="95" t="str">
        <f t="shared" si="33"/>
        <v/>
      </c>
      <c r="U26" s="15" t="str">
        <f t="shared" si="34"/>
        <v>T12G1</v>
      </c>
      <c r="V26" s="95" t="str">
        <f t="shared" si="35"/>
        <v/>
      </c>
      <c r="W26" s="50">
        <f t="shared" si="8"/>
        <v>0.17455000000000001</v>
      </c>
      <c r="X26" s="50">
        <f t="shared" si="9"/>
        <v>0.11032135125000002</v>
      </c>
      <c r="Y26" s="50">
        <f t="shared" si="10"/>
        <v>0.12845729749999996</v>
      </c>
      <c r="Z26" s="50">
        <f t="shared" si="11"/>
        <v>0.76122135125000001</v>
      </c>
      <c r="AA26" s="51" t="str">
        <f t="shared" si="12"/>
        <v>8/1</v>
      </c>
      <c r="AB26" s="51" t="str">
        <f t="shared" si="13"/>
        <v>13/2</v>
      </c>
      <c r="AC26" s="51" t="str">
        <f t="shared" si="14"/>
        <v>3/10</v>
      </c>
      <c r="AD26" s="52">
        <f t="shared" si="15"/>
        <v>0</v>
      </c>
      <c r="AE26" s="52">
        <f t="shared" si="16"/>
        <v>0</v>
      </c>
      <c r="AF26" s="52">
        <f t="shared" si="17"/>
        <v>0</v>
      </c>
      <c r="AG26" s="53" t="str">
        <f t="shared" si="18"/>
        <v/>
      </c>
      <c r="AH26" s="53" t="str">
        <f t="shared" si="19"/>
        <v/>
      </c>
      <c r="AI26" s="53" t="str">
        <f t="shared" si="20"/>
        <v/>
      </c>
      <c r="AJ26" s="53" t="str">
        <f t="shared" si="21"/>
        <v/>
      </c>
      <c r="AK26" s="54" t="str">
        <f t="shared" si="22"/>
        <v/>
      </c>
      <c r="AL26" s="54" t="str">
        <f t="shared" si="23"/>
        <v/>
      </c>
      <c r="AM26" s="54" t="str">
        <f t="shared" si="24"/>
        <v/>
      </c>
      <c r="AN26" s="55">
        <f t="shared" si="25"/>
        <v>0.12845729749999998</v>
      </c>
      <c r="AO26" s="124">
        <f>Poster!B31</f>
        <v>46191</v>
      </c>
      <c r="AP26" s="55">
        <f t="shared" si="26"/>
        <v>0.234375</v>
      </c>
    </row>
    <row r="27" spans="1:42" x14ac:dyDescent="0.25">
      <c r="A27" s="44" t="s">
        <v>1300</v>
      </c>
      <c r="B27" s="1">
        <f>IFERROR(VLOOKUP(Poster!$E32,Lookup03,2,FALSE),"")</f>
        <v>32</v>
      </c>
      <c r="C27" s="45">
        <f>COUNTIF(D$2:D27,D27)+COUNTIF(G$2:G27,D27)</f>
        <v>2</v>
      </c>
      <c r="D27" s="46" t="str">
        <f t="shared" si="27"/>
        <v>Czechia</v>
      </c>
      <c r="E27" s="1">
        <f>IFERROR(VLOOKUP(Poster!$I32,Lookup03,2,FALSE),"")</f>
        <v>40</v>
      </c>
      <c r="F27" s="45">
        <f>COUNTIF(D$2:D27,G27)+COUNTIF(G$2:G27,G27)</f>
        <v>2</v>
      </c>
      <c r="G27" s="46" t="str">
        <f t="shared" si="28"/>
        <v>South Africa</v>
      </c>
      <c r="H27" s="1" t="str">
        <f>IF(Poster!$F32="","",Poster!$F32)</f>
        <v/>
      </c>
      <c r="I27" s="1" t="str">
        <f>IF(Poster!$H32="","",Poster!$H32)</f>
        <v/>
      </c>
      <c r="J27" s="305"/>
      <c r="K27" s="305"/>
      <c r="L27" s="305"/>
      <c r="M27" s="305"/>
      <c r="N27" s="66" t="str">
        <f t="shared" si="29"/>
        <v/>
      </c>
      <c r="O27" s="65">
        <f t="shared" si="30"/>
        <v>0</v>
      </c>
      <c r="P27" s="89">
        <f t="shared" si="4"/>
        <v>1500.3375000000001</v>
      </c>
      <c r="Q27" s="89">
        <f t="shared" si="5"/>
        <v>1425.5317500000001</v>
      </c>
      <c r="R27" s="92">
        <f t="shared" si="31"/>
        <v>74.805749999999989</v>
      </c>
      <c r="S27" s="15" t="str">
        <f t="shared" si="32"/>
        <v>T32G2</v>
      </c>
      <c r="T27" s="95" t="str">
        <f t="shared" si="33"/>
        <v/>
      </c>
      <c r="U27" s="15" t="str">
        <f t="shared" si="34"/>
        <v>T40G2</v>
      </c>
      <c r="V27" s="95" t="str">
        <f t="shared" si="35"/>
        <v/>
      </c>
      <c r="W27" s="50">
        <f t="shared" si="8"/>
        <v>0.60624999999999996</v>
      </c>
      <c r="X27" s="50">
        <f t="shared" si="9"/>
        <v>0.49470703124999993</v>
      </c>
      <c r="Y27" s="50">
        <f t="shared" si="10"/>
        <v>0.22308593750000005</v>
      </c>
      <c r="Z27" s="50">
        <f t="shared" si="11"/>
        <v>0.28220703125000007</v>
      </c>
      <c r="AA27" s="51" t="str">
        <f t="shared" si="12"/>
        <v>51/50</v>
      </c>
      <c r="AB27" s="51" t="str">
        <f t="shared" si="13"/>
        <v>10/3</v>
      </c>
      <c r="AC27" s="51" t="str">
        <f t="shared" si="14"/>
        <v>5/2</v>
      </c>
      <c r="AD27" s="52">
        <f t="shared" si="15"/>
        <v>0</v>
      </c>
      <c r="AE27" s="52">
        <f t="shared" si="16"/>
        <v>0</v>
      </c>
      <c r="AF27" s="52">
        <f t="shared" si="17"/>
        <v>0</v>
      </c>
      <c r="AG27" s="53" t="str">
        <f t="shared" si="18"/>
        <v/>
      </c>
      <c r="AH27" s="53" t="str">
        <f t="shared" si="19"/>
        <v/>
      </c>
      <c r="AI27" s="53" t="str">
        <f t="shared" si="20"/>
        <v/>
      </c>
      <c r="AJ27" s="53" t="str">
        <f t="shared" si="21"/>
        <v/>
      </c>
      <c r="AK27" s="54" t="str">
        <f t="shared" si="22"/>
        <v/>
      </c>
      <c r="AL27" s="54" t="str">
        <f t="shared" si="23"/>
        <v/>
      </c>
      <c r="AM27" s="54" t="str">
        <f t="shared" si="24"/>
        <v/>
      </c>
      <c r="AN27" s="55">
        <f t="shared" si="25"/>
        <v>0.2230859375</v>
      </c>
      <c r="AO27" s="124">
        <f>Poster!B32</f>
        <v>46191</v>
      </c>
      <c r="AP27" s="55">
        <f t="shared" si="26"/>
        <v>0.234375</v>
      </c>
    </row>
    <row r="28" spans="1:42" x14ac:dyDescent="0.25">
      <c r="A28" s="44" t="s">
        <v>1301</v>
      </c>
      <c r="B28" s="1">
        <f>IFERROR(VLOOKUP(Poster!$E33,Lookup03,2,FALSE),"")</f>
        <v>18</v>
      </c>
      <c r="C28" s="45">
        <f>COUNTIF(D$2:D28,D28)+COUNTIF(G$2:G28,D28)</f>
        <v>2</v>
      </c>
      <c r="D28" s="46" t="str">
        <f t="shared" si="27"/>
        <v>Switzerland</v>
      </c>
      <c r="E28" s="1">
        <f>IFERROR(VLOOKUP(Poster!$I33,Lookup03,2,FALSE),"")</f>
        <v>43</v>
      </c>
      <c r="F28" s="45">
        <f>COUNTIF(D$2:D28,G28)+COUNTIF(G$2:G28,G28)</f>
        <v>2</v>
      </c>
      <c r="G28" s="46" t="str">
        <f t="shared" si="28"/>
        <v>Bosnia-Herzegovina</v>
      </c>
      <c r="H28" s="1" t="str">
        <f>IF(Poster!$F33="","",Poster!$F33)</f>
        <v/>
      </c>
      <c r="I28" s="1" t="str">
        <f>IF(Poster!$H33="","",Poster!$H33)</f>
        <v/>
      </c>
      <c r="J28" s="305"/>
      <c r="K28" s="305"/>
      <c r="L28" s="305"/>
      <c r="M28" s="305"/>
      <c r="N28" s="66" t="str">
        <f t="shared" si="29"/>
        <v/>
      </c>
      <c r="O28" s="65">
        <f t="shared" si="30"/>
        <v>0</v>
      </c>
      <c r="P28" s="89">
        <f t="shared" si="4"/>
        <v>1646.0833500000001</v>
      </c>
      <c r="Q28" s="89">
        <f t="shared" si="5"/>
        <v>1410.6333</v>
      </c>
      <c r="R28" s="92">
        <f t="shared" si="31"/>
        <v>235.45005000000015</v>
      </c>
      <c r="S28" s="15" t="str">
        <f t="shared" si="32"/>
        <v>T18G2</v>
      </c>
      <c r="T28" s="95" t="str">
        <f t="shared" si="33"/>
        <v/>
      </c>
      <c r="U28" s="15" t="str">
        <f t="shared" si="34"/>
        <v>T43G2</v>
      </c>
      <c r="V28" s="95" t="str">
        <f t="shared" si="35"/>
        <v/>
      </c>
      <c r="W28" s="50">
        <f t="shared" si="8"/>
        <v>0.79900000000000004</v>
      </c>
      <c r="X28" s="50">
        <f t="shared" si="9"/>
        <v>0.72651300000000008</v>
      </c>
      <c r="Y28" s="50">
        <f t="shared" si="10"/>
        <v>0.14497400000000005</v>
      </c>
      <c r="Z28" s="50">
        <f t="shared" si="11"/>
        <v>0.12851299999999993</v>
      </c>
      <c r="AA28" s="51" t="str">
        <f t="shared" si="12"/>
        <v>4/11</v>
      </c>
      <c r="AB28" s="51" t="str">
        <f t="shared" si="13"/>
        <v>11/2</v>
      </c>
      <c r="AC28" s="51" t="str">
        <f t="shared" si="14"/>
        <v>13/2</v>
      </c>
      <c r="AD28" s="52">
        <f t="shared" si="15"/>
        <v>0</v>
      </c>
      <c r="AE28" s="52">
        <f t="shared" si="16"/>
        <v>0</v>
      </c>
      <c r="AF28" s="52">
        <f t="shared" si="17"/>
        <v>0</v>
      </c>
      <c r="AG28" s="53" t="str">
        <f t="shared" si="18"/>
        <v/>
      </c>
      <c r="AH28" s="53" t="str">
        <f t="shared" si="19"/>
        <v/>
      </c>
      <c r="AI28" s="53" t="str">
        <f t="shared" si="20"/>
        <v/>
      </c>
      <c r="AJ28" s="53" t="str">
        <f t="shared" si="21"/>
        <v/>
      </c>
      <c r="AK28" s="54" t="str">
        <f t="shared" si="22"/>
        <v/>
      </c>
      <c r="AL28" s="54" t="str">
        <f t="shared" si="23"/>
        <v/>
      </c>
      <c r="AM28" s="54" t="str">
        <f t="shared" si="24"/>
        <v/>
      </c>
      <c r="AN28" s="55">
        <f t="shared" si="25"/>
        <v>0.14497399999999999</v>
      </c>
      <c r="AO28" s="124">
        <f>Poster!B33</f>
        <v>46191</v>
      </c>
      <c r="AP28" s="55">
        <f t="shared" si="26"/>
        <v>0.234375</v>
      </c>
    </row>
    <row r="29" spans="1:42" x14ac:dyDescent="0.25">
      <c r="A29" s="44" t="s">
        <v>1302</v>
      </c>
      <c r="B29" s="1">
        <f>IFERROR(VLOOKUP(Poster!$E34,Lookup03,2,FALSE),"")</f>
        <v>27</v>
      </c>
      <c r="C29" s="45">
        <f>COUNTIF(D$2:D29,D29)+COUNTIF(G$2:G29,D29)</f>
        <v>2</v>
      </c>
      <c r="D29" s="46" t="str">
        <f t="shared" si="27"/>
        <v>Canada</v>
      </c>
      <c r="E29" s="1">
        <f>IFERROR(VLOOKUP(Poster!$I34,Lookup03,2,FALSE),"")</f>
        <v>38</v>
      </c>
      <c r="F29" s="45">
        <f>COUNTIF(D$2:D29,G29)+COUNTIF(G$2:G29,G29)</f>
        <v>2</v>
      </c>
      <c r="G29" s="46" t="str">
        <f t="shared" si="28"/>
        <v>Qatar</v>
      </c>
      <c r="H29" s="1" t="str">
        <f>IF(Poster!$F34="","",Poster!$F34)</f>
        <v/>
      </c>
      <c r="I29" s="1" t="str">
        <f>IF(Poster!$H34="","",Poster!$H34)</f>
        <v/>
      </c>
      <c r="J29" s="305"/>
      <c r="K29" s="305"/>
      <c r="L29" s="305"/>
      <c r="M29" s="305"/>
      <c r="N29" s="66" t="str">
        <f t="shared" si="29"/>
        <v/>
      </c>
      <c r="O29" s="65">
        <f t="shared" si="30"/>
        <v>0</v>
      </c>
      <c r="P29" s="89">
        <f t="shared" si="4"/>
        <v>1581.7334000000001</v>
      </c>
      <c r="Q29" s="89">
        <f t="shared" si="5"/>
        <v>1457.8333</v>
      </c>
      <c r="R29" s="92">
        <f t="shared" si="31"/>
        <v>123.90010000000007</v>
      </c>
      <c r="S29" s="15" t="str">
        <f t="shared" si="32"/>
        <v>T27G2</v>
      </c>
      <c r="T29" s="95" t="str">
        <f t="shared" si="33"/>
        <v/>
      </c>
      <c r="U29" s="15" t="str">
        <f t="shared" si="34"/>
        <v>T38G2</v>
      </c>
      <c r="V29" s="95" t="str">
        <f t="shared" si="35"/>
        <v/>
      </c>
      <c r="W29" s="50">
        <f t="shared" si="8"/>
        <v>0.67125000000000001</v>
      </c>
      <c r="X29" s="50">
        <f t="shared" si="9"/>
        <v>0.56872578125000006</v>
      </c>
      <c r="Y29" s="50">
        <f t="shared" si="10"/>
        <v>0.20504843750000001</v>
      </c>
      <c r="Z29" s="50">
        <f t="shared" si="11"/>
        <v>0.22622578124999995</v>
      </c>
      <c r="AA29" s="51" t="str">
        <f t="shared" si="12"/>
        <v>37/50</v>
      </c>
      <c r="AB29" s="51" t="str">
        <f t="shared" si="13"/>
        <v>7/2</v>
      </c>
      <c r="AC29" s="51" t="str">
        <f t="shared" si="14"/>
        <v>10/3</v>
      </c>
      <c r="AD29" s="52">
        <f t="shared" si="15"/>
        <v>0</v>
      </c>
      <c r="AE29" s="52">
        <f t="shared" si="16"/>
        <v>0</v>
      </c>
      <c r="AF29" s="52">
        <f t="shared" si="17"/>
        <v>0</v>
      </c>
      <c r="AG29" s="53" t="str">
        <f t="shared" si="18"/>
        <v/>
      </c>
      <c r="AH29" s="53" t="str">
        <f t="shared" si="19"/>
        <v/>
      </c>
      <c r="AI29" s="53" t="str">
        <f t="shared" si="20"/>
        <v/>
      </c>
      <c r="AJ29" s="53" t="str">
        <f t="shared" si="21"/>
        <v/>
      </c>
      <c r="AK29" s="54" t="str">
        <f t="shared" si="22"/>
        <v/>
      </c>
      <c r="AL29" s="54" t="str">
        <f t="shared" si="23"/>
        <v/>
      </c>
      <c r="AM29" s="54" t="str">
        <f t="shared" si="24"/>
        <v/>
      </c>
      <c r="AN29" s="55">
        <f t="shared" si="25"/>
        <v>0.20504843749999999</v>
      </c>
      <c r="AO29" s="124">
        <f>Poster!B34</f>
        <v>46191</v>
      </c>
      <c r="AP29" s="55">
        <f t="shared" si="26"/>
        <v>0.234375</v>
      </c>
    </row>
    <row r="30" spans="1:42" x14ac:dyDescent="0.25">
      <c r="A30" s="44" t="s">
        <v>1303</v>
      </c>
      <c r="B30" s="1">
        <f>IFERROR(VLOOKUP(Poster!$E35,Lookup03,2,FALSE),"")</f>
        <v>13</v>
      </c>
      <c r="C30" s="45">
        <f>COUNTIF(D$2:D30,D30)+COUNTIF(G$2:G30,D30)</f>
        <v>2</v>
      </c>
      <c r="D30" s="46" t="str">
        <f t="shared" si="27"/>
        <v>Mexico</v>
      </c>
      <c r="E30" s="1">
        <f>IFERROR(VLOOKUP(Poster!$I35,Lookup03,2,FALSE),"")</f>
        <v>23</v>
      </c>
      <c r="F30" s="45">
        <f>COUNTIF(D$2:D30,G30)+COUNTIF(G$2:G30,G30)</f>
        <v>2</v>
      </c>
      <c r="G30" s="46" t="str">
        <f t="shared" si="28"/>
        <v>Korea Republic</v>
      </c>
      <c r="H30" s="1" t="str">
        <f>IF(Poster!$F35="","",Poster!$F35)</f>
        <v/>
      </c>
      <c r="I30" s="1" t="str">
        <f>IF(Poster!$H35="","",Poster!$H35)</f>
        <v/>
      </c>
      <c r="J30" s="305"/>
      <c r="K30" s="305"/>
      <c r="L30" s="305"/>
      <c r="M30" s="305"/>
      <c r="N30" s="66" t="str">
        <f t="shared" si="29"/>
        <v/>
      </c>
      <c r="O30" s="65">
        <f t="shared" si="30"/>
        <v>0</v>
      </c>
      <c r="P30" s="89">
        <f t="shared" si="4"/>
        <v>1706.9365</v>
      </c>
      <c r="Q30" s="89">
        <f t="shared" si="5"/>
        <v>1603.325</v>
      </c>
      <c r="R30" s="92">
        <f t="shared" si="31"/>
        <v>103.61149999999998</v>
      </c>
      <c r="S30" s="15" t="str">
        <f t="shared" si="32"/>
        <v>T13G2</v>
      </c>
      <c r="T30" s="95" t="str">
        <f t="shared" si="33"/>
        <v/>
      </c>
      <c r="U30" s="15" t="str">
        <f t="shared" si="34"/>
        <v>T23G2</v>
      </c>
      <c r="V30" s="95" t="str">
        <f t="shared" si="35"/>
        <v/>
      </c>
      <c r="W30" s="50">
        <f t="shared" si="8"/>
        <v>0.64500000000000002</v>
      </c>
      <c r="X30" s="50">
        <f t="shared" si="9"/>
        <v>0.53832500000000005</v>
      </c>
      <c r="Y30" s="50">
        <f t="shared" si="10"/>
        <v>0.21335000000000004</v>
      </c>
      <c r="Z30" s="50">
        <f t="shared" si="11"/>
        <v>0.24832499999999996</v>
      </c>
      <c r="AA30" s="51" t="str">
        <f t="shared" si="12"/>
        <v>5/6</v>
      </c>
      <c r="AB30" s="51" t="str">
        <f t="shared" si="13"/>
        <v>7/2</v>
      </c>
      <c r="AC30" s="51" t="str">
        <f t="shared" si="14"/>
        <v>3/1</v>
      </c>
      <c r="AD30" s="52">
        <f t="shared" si="15"/>
        <v>0</v>
      </c>
      <c r="AE30" s="52">
        <f t="shared" si="16"/>
        <v>0</v>
      </c>
      <c r="AF30" s="52">
        <f t="shared" si="17"/>
        <v>0</v>
      </c>
      <c r="AG30" s="53" t="str">
        <f t="shared" si="18"/>
        <v/>
      </c>
      <c r="AH30" s="53" t="str">
        <f t="shared" si="19"/>
        <v/>
      </c>
      <c r="AI30" s="53" t="str">
        <f t="shared" si="20"/>
        <v/>
      </c>
      <c r="AJ30" s="53" t="str">
        <f t="shared" si="21"/>
        <v/>
      </c>
      <c r="AK30" s="54" t="str">
        <f t="shared" si="22"/>
        <v/>
      </c>
      <c r="AL30" s="54" t="str">
        <f t="shared" si="23"/>
        <v/>
      </c>
      <c r="AM30" s="54" t="str">
        <f t="shared" si="24"/>
        <v/>
      </c>
      <c r="AN30" s="55">
        <f t="shared" si="25"/>
        <v>0.21334999999999998</v>
      </c>
      <c r="AO30" s="124">
        <f>Poster!B35</f>
        <v>46192</v>
      </c>
      <c r="AP30" s="55">
        <f t="shared" si="26"/>
        <v>0.234375</v>
      </c>
    </row>
    <row r="31" spans="1:42" x14ac:dyDescent="0.25">
      <c r="A31" s="44" t="s">
        <v>1304</v>
      </c>
      <c r="B31" s="1">
        <f>IFERROR(VLOOKUP(Poster!$E36,Lookup03,2,FALSE),"")</f>
        <v>16</v>
      </c>
      <c r="C31" s="45">
        <f>COUNTIF(D$2:D31,D31)+COUNTIF(G$2:G31,D31)</f>
        <v>2</v>
      </c>
      <c r="D31" s="46" t="str">
        <f t="shared" si="27"/>
        <v>USA</v>
      </c>
      <c r="E31" s="1">
        <f>IFERROR(VLOOKUP(Poster!$I36,Lookup03,2,FALSE),"")</f>
        <v>24</v>
      </c>
      <c r="F31" s="45">
        <f>COUNTIF(D$2:D31,G31)+COUNTIF(G$2:G31,G31)</f>
        <v>2</v>
      </c>
      <c r="G31" s="46" t="str">
        <f t="shared" si="28"/>
        <v>Australia</v>
      </c>
      <c r="H31" s="1" t="str">
        <f>IF(Poster!$F36="","",Poster!$F36)</f>
        <v/>
      </c>
      <c r="I31" s="1" t="str">
        <f>IF(Poster!$H36="","",Poster!$H36)</f>
        <v/>
      </c>
      <c r="J31" s="305"/>
      <c r="K31" s="305"/>
      <c r="L31" s="305"/>
      <c r="M31" s="305"/>
      <c r="N31" s="66" t="str">
        <f t="shared" si="29"/>
        <v/>
      </c>
      <c r="O31" s="65">
        <f t="shared" si="30"/>
        <v>0</v>
      </c>
      <c r="P31" s="89">
        <f t="shared" si="4"/>
        <v>1681.4</v>
      </c>
      <c r="Q31" s="89">
        <f t="shared" si="5"/>
        <v>1566.4749999999999</v>
      </c>
      <c r="R31" s="92">
        <f t="shared" si="31"/>
        <v>114.92500000000018</v>
      </c>
      <c r="S31" s="15" t="str">
        <f t="shared" si="32"/>
        <v>T16G2</v>
      </c>
      <c r="T31" s="95" t="str">
        <f t="shared" si="33"/>
        <v/>
      </c>
      <c r="U31" s="15" t="str">
        <f t="shared" si="34"/>
        <v>T24G2</v>
      </c>
      <c r="V31" s="95" t="str">
        <f t="shared" si="35"/>
        <v/>
      </c>
      <c r="W31" s="50">
        <f t="shared" si="8"/>
        <v>0.66</v>
      </c>
      <c r="X31" s="50">
        <f t="shared" si="9"/>
        <v>0.55561250000000006</v>
      </c>
      <c r="Y31" s="50">
        <f t="shared" si="10"/>
        <v>0.20877499999999993</v>
      </c>
      <c r="Z31" s="50">
        <f t="shared" si="11"/>
        <v>0.23561249999999995</v>
      </c>
      <c r="AA31" s="51" t="str">
        <f t="shared" si="12"/>
        <v>39/50</v>
      </c>
      <c r="AB31" s="51" t="str">
        <f t="shared" si="13"/>
        <v>7/2</v>
      </c>
      <c r="AC31" s="51" t="str">
        <f t="shared" si="14"/>
        <v>16/5</v>
      </c>
      <c r="AD31" s="52">
        <f t="shared" si="15"/>
        <v>0</v>
      </c>
      <c r="AE31" s="52">
        <f t="shared" si="16"/>
        <v>0</v>
      </c>
      <c r="AF31" s="52">
        <f t="shared" si="17"/>
        <v>0</v>
      </c>
      <c r="AG31" s="53" t="str">
        <f t="shared" si="18"/>
        <v/>
      </c>
      <c r="AH31" s="53" t="str">
        <f t="shared" si="19"/>
        <v/>
      </c>
      <c r="AI31" s="53" t="str">
        <f t="shared" si="20"/>
        <v/>
      </c>
      <c r="AJ31" s="53" t="str">
        <f t="shared" si="21"/>
        <v/>
      </c>
      <c r="AK31" s="54" t="str">
        <f t="shared" si="22"/>
        <v/>
      </c>
      <c r="AL31" s="54" t="str">
        <f t="shared" si="23"/>
        <v/>
      </c>
      <c r="AM31" s="54" t="str">
        <f t="shared" si="24"/>
        <v/>
      </c>
      <c r="AN31" s="55">
        <f t="shared" si="25"/>
        <v>0.20877499999999999</v>
      </c>
      <c r="AO31" s="124">
        <f>Poster!B36</f>
        <v>46192</v>
      </c>
      <c r="AP31" s="55">
        <f t="shared" si="26"/>
        <v>0.234375</v>
      </c>
    </row>
    <row r="32" spans="1:42" x14ac:dyDescent="0.25">
      <c r="A32" s="44" t="s">
        <v>1305</v>
      </c>
      <c r="B32" s="1">
        <f>IFERROR(VLOOKUP(Poster!$E37,Lookup03,2,FALSE),"")</f>
        <v>34</v>
      </c>
      <c r="C32" s="45">
        <f>COUNTIF(D$2:D32,D32)+COUNTIF(G$2:G32,D32)</f>
        <v>2</v>
      </c>
      <c r="D32" s="46" t="str">
        <f t="shared" si="27"/>
        <v>Scotland</v>
      </c>
      <c r="E32" s="1">
        <f>IFERROR(VLOOKUP(Poster!$I37,Lookup03,2,FALSE),"")</f>
        <v>7</v>
      </c>
      <c r="F32" s="45">
        <f>COUNTIF(D$2:D32,G32)+COUNTIF(G$2:G32,G32)</f>
        <v>2</v>
      </c>
      <c r="G32" s="46" t="str">
        <f t="shared" si="28"/>
        <v>Morocco</v>
      </c>
      <c r="H32" s="1" t="str">
        <f>IF(Poster!$F37="","",Poster!$F37)</f>
        <v/>
      </c>
      <c r="I32" s="1" t="str">
        <f>IF(Poster!$H37="","",Poster!$H37)</f>
        <v/>
      </c>
      <c r="J32" s="305"/>
      <c r="K32" s="305"/>
      <c r="L32" s="305"/>
      <c r="M32" s="305"/>
      <c r="N32" s="66" t="str">
        <f t="shared" si="29"/>
        <v/>
      </c>
      <c r="O32" s="65">
        <f t="shared" si="30"/>
        <v>0</v>
      </c>
      <c r="P32" s="89">
        <f t="shared" si="4"/>
        <v>1535.9549999999999</v>
      </c>
      <c r="Q32" s="89">
        <f t="shared" si="5"/>
        <v>1696.97145</v>
      </c>
      <c r="R32" s="92">
        <f t="shared" si="31"/>
        <v>-161.01645000000008</v>
      </c>
      <c r="S32" s="15" t="str">
        <f t="shared" si="32"/>
        <v>T34G2</v>
      </c>
      <c r="T32" s="95" t="str">
        <f t="shared" si="33"/>
        <v/>
      </c>
      <c r="U32" s="15" t="str">
        <f t="shared" si="34"/>
        <v>T7G2</v>
      </c>
      <c r="V32" s="95" t="str">
        <f t="shared" si="35"/>
        <v/>
      </c>
      <c r="W32" s="50">
        <f t="shared" si="8"/>
        <v>0.28222000000000003</v>
      </c>
      <c r="X32" s="50">
        <f t="shared" si="9"/>
        <v>0.18874656420000002</v>
      </c>
      <c r="Y32" s="50">
        <f t="shared" si="10"/>
        <v>0.18694687160000001</v>
      </c>
      <c r="Z32" s="50">
        <f t="shared" si="11"/>
        <v>0.62430656419999997</v>
      </c>
      <c r="AA32" s="51" t="str">
        <f t="shared" si="12"/>
        <v>4/1</v>
      </c>
      <c r="AB32" s="51" t="str">
        <f t="shared" si="13"/>
        <v>4/1</v>
      </c>
      <c r="AC32" s="51" t="str">
        <f t="shared" si="14"/>
        <v>3/5</v>
      </c>
      <c r="AD32" s="52">
        <f t="shared" si="15"/>
        <v>0</v>
      </c>
      <c r="AE32" s="52">
        <f t="shared" si="16"/>
        <v>0</v>
      </c>
      <c r="AF32" s="52">
        <f t="shared" si="17"/>
        <v>0</v>
      </c>
      <c r="AG32" s="53" t="str">
        <f t="shared" si="18"/>
        <v/>
      </c>
      <c r="AH32" s="53" t="str">
        <f t="shared" si="19"/>
        <v/>
      </c>
      <c r="AI32" s="53" t="str">
        <f t="shared" si="20"/>
        <v/>
      </c>
      <c r="AJ32" s="53" t="str">
        <f t="shared" si="21"/>
        <v/>
      </c>
      <c r="AK32" s="54" t="str">
        <f t="shared" si="22"/>
        <v/>
      </c>
      <c r="AL32" s="54" t="str">
        <f t="shared" si="23"/>
        <v/>
      </c>
      <c r="AM32" s="54" t="str">
        <f t="shared" si="24"/>
        <v/>
      </c>
      <c r="AN32" s="55">
        <f t="shared" si="25"/>
        <v>0.18694687160000001</v>
      </c>
      <c r="AO32" s="124">
        <f>Poster!B37</f>
        <v>46192</v>
      </c>
      <c r="AP32" s="55">
        <f t="shared" si="26"/>
        <v>0.234375</v>
      </c>
    </row>
    <row r="33" spans="1:42" x14ac:dyDescent="0.25">
      <c r="A33" s="44" t="s">
        <v>1306</v>
      </c>
      <c r="B33" s="1">
        <f>IFERROR(VLOOKUP(Poster!$E38,Lookup03,2,FALSE),"")</f>
        <v>6</v>
      </c>
      <c r="C33" s="45">
        <f>COUNTIF(D$2:D33,D33)+COUNTIF(G$2:G33,D33)</f>
        <v>2</v>
      </c>
      <c r="D33" s="46" t="str">
        <f t="shared" si="27"/>
        <v>Brazil</v>
      </c>
      <c r="E33" s="1">
        <f>IFERROR(VLOOKUP(Poster!$I38,Lookup03,2,FALSE),"")</f>
        <v>47</v>
      </c>
      <c r="F33" s="45">
        <f>COUNTIF(D$2:D33,G33)+COUNTIF(G$2:G33,G33)</f>
        <v>2</v>
      </c>
      <c r="G33" s="46" t="str">
        <f t="shared" si="28"/>
        <v>Haiti</v>
      </c>
      <c r="H33" s="1" t="str">
        <f>IF(Poster!$F38="","",Poster!$F38)</f>
        <v/>
      </c>
      <c r="I33" s="1" t="str">
        <f>IF(Poster!$H38="","",Poster!$H38)</f>
        <v/>
      </c>
      <c r="J33" s="305"/>
      <c r="K33" s="305"/>
      <c r="L33" s="305"/>
      <c r="M33" s="305"/>
      <c r="N33" s="66" t="str">
        <f t="shared" si="29"/>
        <v/>
      </c>
      <c r="O33" s="65">
        <f t="shared" si="30"/>
        <v>0</v>
      </c>
      <c r="P33" s="89">
        <f t="shared" si="4"/>
        <v>1784.0571</v>
      </c>
      <c r="Q33" s="89">
        <f t="shared" si="5"/>
        <v>1287.0899999999999</v>
      </c>
      <c r="R33" s="92">
        <f t="shared" si="31"/>
        <v>496.96710000000007</v>
      </c>
      <c r="S33" s="15" t="str">
        <f t="shared" si="32"/>
        <v>T6G2</v>
      </c>
      <c r="T33" s="95" t="str">
        <f t="shared" si="33"/>
        <v/>
      </c>
      <c r="U33" s="15" t="str">
        <f t="shared" si="34"/>
        <v>T47G2</v>
      </c>
      <c r="V33" s="95" t="str">
        <f t="shared" si="35"/>
        <v/>
      </c>
      <c r="W33" s="50">
        <f t="shared" si="8"/>
        <v>0.96333000000000002</v>
      </c>
      <c r="X33" s="50">
        <f t="shared" si="9"/>
        <v>0.95347984445</v>
      </c>
      <c r="Y33" s="50">
        <f t="shared" si="10"/>
        <v>1.9700311099999923E-2</v>
      </c>
      <c r="Z33" s="50">
        <f t="shared" si="11"/>
        <v>2.6819844450000019E-2</v>
      </c>
      <c r="AA33" s="51" t="str">
        <f t="shared" si="12"/>
        <v>1/25</v>
      </c>
      <c r="AB33" s="51" t="str">
        <f t="shared" si="13"/>
        <v>49/1</v>
      </c>
      <c r="AC33" s="51" t="str">
        <f t="shared" si="14"/>
        <v>36/1</v>
      </c>
      <c r="AD33" s="52">
        <f t="shared" si="15"/>
        <v>0</v>
      </c>
      <c r="AE33" s="52">
        <f t="shared" si="16"/>
        <v>0</v>
      </c>
      <c r="AF33" s="52">
        <f t="shared" si="17"/>
        <v>0</v>
      </c>
      <c r="AG33" s="53" t="str">
        <f t="shared" si="18"/>
        <v/>
      </c>
      <c r="AH33" s="53" t="str">
        <f t="shared" si="19"/>
        <v/>
      </c>
      <c r="AI33" s="53" t="str">
        <f t="shared" si="20"/>
        <v/>
      </c>
      <c r="AJ33" s="53" t="str">
        <f t="shared" si="21"/>
        <v/>
      </c>
      <c r="AK33" s="54" t="str">
        <f t="shared" si="22"/>
        <v/>
      </c>
      <c r="AL33" s="54" t="str">
        <f t="shared" si="23"/>
        <v/>
      </c>
      <c r="AM33" s="54" t="str">
        <f t="shared" si="24"/>
        <v/>
      </c>
      <c r="AN33" s="55">
        <f t="shared" si="25"/>
        <v>1.9700311099999979E-2</v>
      </c>
      <c r="AO33" s="124">
        <f>Poster!B38</f>
        <v>46193</v>
      </c>
      <c r="AP33" s="55">
        <f t="shared" si="26"/>
        <v>0.234375</v>
      </c>
    </row>
    <row r="34" spans="1:42" x14ac:dyDescent="0.25">
      <c r="A34" s="44" t="s">
        <v>1307</v>
      </c>
      <c r="B34" s="1">
        <f>IFERROR(VLOOKUP(Poster!$E39,Lookup03,2,FALSE),"")</f>
        <v>20</v>
      </c>
      <c r="C34" s="45">
        <f>COUNTIF(D$2:D34,D34)+COUNTIF(G$2:G34,D34)</f>
        <v>2</v>
      </c>
      <c r="D34" s="46" t="str">
        <f t="shared" si="27"/>
        <v>Turkiye</v>
      </c>
      <c r="E34" s="1">
        <f>IFERROR(VLOOKUP(Poster!$I39,Lookup03,2,FALSE),"")</f>
        <v>33</v>
      </c>
      <c r="F34" s="45">
        <f>COUNTIF(D$2:D34,G34)+COUNTIF(G$2:G34,G34)</f>
        <v>2</v>
      </c>
      <c r="G34" s="46" t="str">
        <f t="shared" si="28"/>
        <v>Paraguay</v>
      </c>
      <c r="H34" s="1" t="str">
        <f>IF(Poster!$F39="","",Poster!$F39)</f>
        <v/>
      </c>
      <c r="I34" s="1" t="str">
        <f>IF(Poster!$H39="","",Poster!$H39)</f>
        <v/>
      </c>
      <c r="J34" s="305"/>
      <c r="K34" s="305"/>
      <c r="L34" s="305"/>
      <c r="M34" s="305"/>
      <c r="N34" s="66" t="str">
        <f t="shared" si="29"/>
        <v/>
      </c>
      <c r="O34" s="65">
        <f t="shared" si="30"/>
        <v>0</v>
      </c>
      <c r="P34" s="89">
        <f t="shared" si="4"/>
        <v>1597.2625</v>
      </c>
      <c r="Q34" s="89">
        <f t="shared" si="5"/>
        <v>1539.8</v>
      </c>
      <c r="R34" s="92">
        <f t="shared" si="31"/>
        <v>57.462500000000091</v>
      </c>
      <c r="S34" s="15" t="str">
        <f t="shared" si="32"/>
        <v>T20G2</v>
      </c>
      <c r="T34" s="95" t="str">
        <f t="shared" si="33"/>
        <v/>
      </c>
      <c r="U34" s="15" t="str">
        <f t="shared" si="34"/>
        <v>T33G2</v>
      </c>
      <c r="V34" s="95" t="str">
        <f t="shared" si="35"/>
        <v/>
      </c>
      <c r="W34" s="50">
        <f t="shared" si="8"/>
        <v>0.58374999999999999</v>
      </c>
      <c r="X34" s="50">
        <f t="shared" si="9"/>
        <v>0.47006953125000001</v>
      </c>
      <c r="Y34" s="50">
        <f t="shared" si="10"/>
        <v>0.22736093750000003</v>
      </c>
      <c r="Z34" s="50">
        <f t="shared" si="11"/>
        <v>0.30256953124999997</v>
      </c>
      <c r="AA34" s="51" t="str">
        <f t="shared" si="12"/>
        <v>11/10</v>
      </c>
      <c r="AB34" s="51" t="str">
        <f t="shared" si="13"/>
        <v>10/3</v>
      </c>
      <c r="AC34" s="51" t="str">
        <f t="shared" si="14"/>
        <v>23/10</v>
      </c>
      <c r="AD34" s="52">
        <f t="shared" si="15"/>
        <v>0</v>
      </c>
      <c r="AE34" s="52">
        <f t="shared" si="16"/>
        <v>0</v>
      </c>
      <c r="AF34" s="52">
        <f t="shared" si="17"/>
        <v>0</v>
      </c>
      <c r="AG34" s="53" t="str">
        <f t="shared" si="18"/>
        <v/>
      </c>
      <c r="AH34" s="53" t="str">
        <f t="shared" si="19"/>
        <v/>
      </c>
      <c r="AI34" s="53" t="str">
        <f t="shared" si="20"/>
        <v/>
      </c>
      <c r="AJ34" s="53" t="str">
        <f t="shared" si="21"/>
        <v/>
      </c>
      <c r="AK34" s="54" t="str">
        <f t="shared" si="22"/>
        <v/>
      </c>
      <c r="AL34" s="54" t="str">
        <f t="shared" si="23"/>
        <v/>
      </c>
      <c r="AM34" s="54" t="str">
        <f t="shared" si="24"/>
        <v/>
      </c>
      <c r="AN34" s="55">
        <f t="shared" si="25"/>
        <v>0.2273609375</v>
      </c>
      <c r="AO34" s="124">
        <f>Poster!B39</f>
        <v>46193</v>
      </c>
      <c r="AP34" s="55">
        <f t="shared" si="26"/>
        <v>0.234375</v>
      </c>
    </row>
    <row r="35" spans="1:42" x14ac:dyDescent="0.25">
      <c r="A35" s="44" t="s">
        <v>1308</v>
      </c>
      <c r="B35" s="1">
        <f>IFERROR(VLOOKUP(Poster!$E40,Lookup03,2,FALSE),"")</f>
        <v>8</v>
      </c>
      <c r="C35" s="45">
        <f>COUNTIF(D$2:D35,D35)+COUNTIF(G$2:G35,D35)</f>
        <v>2</v>
      </c>
      <c r="D35" s="46" t="str">
        <f t="shared" si="27"/>
        <v>Netherlands</v>
      </c>
      <c r="E35" s="1">
        <f>IFERROR(VLOOKUP(Poster!$I40,Lookup03,2,FALSE),"")</f>
        <v>31</v>
      </c>
      <c r="F35" s="45">
        <f>COUNTIF(D$2:D35,G35)+COUNTIF(G$2:G35,G35)</f>
        <v>2</v>
      </c>
      <c r="G35" s="46" t="str">
        <f t="shared" si="28"/>
        <v>Sweden</v>
      </c>
      <c r="H35" s="1" t="str">
        <f>IF(Poster!$F40="","",Poster!$F40)</f>
        <v/>
      </c>
      <c r="I35" s="1" t="str">
        <f>IF(Poster!$H40="","",Poster!$H40)</f>
        <v/>
      </c>
      <c r="J35" s="305"/>
      <c r="K35" s="305"/>
      <c r="L35" s="305"/>
      <c r="M35" s="305"/>
      <c r="N35" s="66" t="str">
        <f t="shared" si="29"/>
        <v/>
      </c>
      <c r="O35" s="65">
        <f t="shared" si="30"/>
        <v>0</v>
      </c>
      <c r="P35" s="89">
        <f t="shared" ref="P35:P66" si="36">IFERROR(VLOOKUP(B35,Team,3+C35,FALSE),"")</f>
        <v>1745.2874999999999</v>
      </c>
      <c r="Q35" s="89">
        <f t="shared" ref="Q35:Q66" si="37">IFERROR(VLOOKUP(E35,Team,3+F35,FALSE),"")</f>
        <v>1573.44</v>
      </c>
      <c r="R35" s="92">
        <f t="shared" si="31"/>
        <v>171.84749999999985</v>
      </c>
      <c r="S35" s="15" t="str">
        <f t="shared" si="32"/>
        <v>T8G2</v>
      </c>
      <c r="T35" s="95" t="str">
        <f t="shared" si="33"/>
        <v/>
      </c>
      <c r="U35" s="15" t="str">
        <f t="shared" si="34"/>
        <v>T31G2</v>
      </c>
      <c r="V35" s="95" t="str">
        <f t="shared" si="35"/>
        <v/>
      </c>
      <c r="W35" s="50">
        <f t="shared" si="8"/>
        <v>0.73</v>
      </c>
      <c r="X35" s="50">
        <f t="shared" ref="X35:X66" si="38">IFERROR(IF(W35-AN35/2&lt;0.01,0.01,W35-AN35/2),"")</f>
        <v>0.63926249999999996</v>
      </c>
      <c r="Y35" s="50">
        <f t="shared" ref="Y35:Y66" si="39">IFERROR(IF(N35&gt;0,1-Z35-X35,""),"")</f>
        <v>0.18147499999999994</v>
      </c>
      <c r="Z35" s="50">
        <f t="shared" ref="Z35:Z66" si="40">IFERROR(IF(1-X35-AN35&lt;0.01,0.01,1-X35-AN35),"")</f>
        <v>0.17926250000000005</v>
      </c>
      <c r="AA35" s="51" t="str">
        <f t="shared" ref="AA35:AA66" si="41">IFERROR(VLOOKUP(1/X35,Odds,5,TRUE),"")</f>
        <v>14/25</v>
      </c>
      <c r="AB35" s="51" t="str">
        <f t="shared" ref="AB35:AB66" si="42">IFERROR(VLOOKUP(1/Y35,Odds,5,TRUE),"")</f>
        <v>9/2</v>
      </c>
      <c r="AC35" s="51" t="str">
        <f t="shared" ref="AC35:AC66" si="43">IFERROR(VLOOKUP(1/Z35,Odds,5,TRUE),"")</f>
        <v>9/2</v>
      </c>
      <c r="AD35" s="52">
        <f t="shared" ref="AD35:AD66" si="44">IF(N35=1,1,0)</f>
        <v>0</v>
      </c>
      <c r="AE35" s="52">
        <f t="shared" ref="AE35:AE66" si="45">IF(N35=2,1,0)</f>
        <v>0</v>
      </c>
      <c r="AF35" s="52">
        <f t="shared" ref="AF35:AF66" si="46">IF(N35=3,1,0)</f>
        <v>0</v>
      </c>
      <c r="AG35" s="53" t="str">
        <f t="shared" ref="AG35:AG66" si="47">IFERROR(IF(N35="","",X35*AD35+Y35*AE35+Z35*AF35),"")</f>
        <v/>
      </c>
      <c r="AH35" s="53" t="str">
        <f t="shared" ref="AH35:AH66" si="48">IF(AND(SUM($AD35:$AF35)=1,SUM($X35:$Z35)=1),X35,"")</f>
        <v/>
      </c>
      <c r="AI35" s="53" t="str">
        <f t="shared" ref="AI35:AI66" si="49">IF(AND(SUM($AD35:$AF35)=1,SUM($X35:$Z35)=1),Y35,"")</f>
        <v/>
      </c>
      <c r="AJ35" s="53" t="str">
        <f t="shared" ref="AJ35:AJ66" si="50">IF(AND(SUM($AD35:$AF35)=1,SUM($X35:$Z35)=1),Z35,"")</f>
        <v/>
      </c>
      <c r="AK35" s="54" t="str">
        <f t="shared" ref="AK35:AK66" si="51">IF(AH35="","",AD35)</f>
        <v/>
      </c>
      <c r="AL35" s="54" t="str">
        <f t="shared" ref="AL35:AL66" si="52">IF(AI35="","",AE35)</f>
        <v/>
      </c>
      <c r="AM35" s="54" t="str">
        <f t="shared" ref="AM35:AM66" si="53">IF(AJ35="","",AF35)</f>
        <v/>
      </c>
      <c r="AN35" s="55">
        <f t="shared" ref="AN35:AN66" si="54">IFERROR(AP35-(W35-0.5)*(W35-0.5),"")</f>
        <v>0.181475</v>
      </c>
      <c r="AO35" s="124">
        <f>Poster!B40</f>
        <v>46193</v>
      </c>
      <c r="AP35" s="55">
        <f t="shared" ref="AP35:AP66" si="55">DFactor</f>
        <v>0.234375</v>
      </c>
    </row>
    <row r="36" spans="1:42" x14ac:dyDescent="0.25">
      <c r="A36" s="44" t="s">
        <v>1309</v>
      </c>
      <c r="B36" s="1">
        <f>IFERROR(VLOOKUP(Poster!$E41,Lookup03,2,FALSE),"")</f>
        <v>10</v>
      </c>
      <c r="C36" s="45">
        <f>COUNTIF(D$2:D36,D36)+COUNTIF(G$2:G36,D36)</f>
        <v>2</v>
      </c>
      <c r="D36" s="46" t="str">
        <f t="shared" si="27"/>
        <v>Germany</v>
      </c>
      <c r="E36" s="1">
        <f>IFERROR(VLOOKUP(Poster!$I41,Lookup03,2,FALSE),"")</f>
        <v>29</v>
      </c>
      <c r="F36" s="45">
        <f>COUNTIF(D$2:D36,G36)+COUNTIF(G$2:G36,G36)</f>
        <v>2</v>
      </c>
      <c r="G36" s="46" t="str">
        <f t="shared" si="28"/>
        <v>Cote d'Ivorie</v>
      </c>
      <c r="H36" s="1" t="str">
        <f>IF(Poster!$F41="","",Poster!$F41)</f>
        <v/>
      </c>
      <c r="I36" s="1" t="str">
        <f>IF(Poster!$H41="","",Poster!$H41)</f>
        <v/>
      </c>
      <c r="J36" s="305"/>
      <c r="K36" s="305"/>
      <c r="L36" s="305"/>
      <c r="M36" s="305"/>
      <c r="N36" s="66" t="str">
        <f t="shared" si="29"/>
        <v/>
      </c>
      <c r="O36" s="65">
        <f t="shared" si="30"/>
        <v>0</v>
      </c>
      <c r="P36" s="89">
        <f t="shared" si="36"/>
        <v>1772.3827200000001</v>
      </c>
      <c r="Q36" s="89">
        <f t="shared" si="37"/>
        <v>1481.6624999999999</v>
      </c>
      <c r="R36" s="92">
        <f t="shared" si="31"/>
        <v>290.72022000000015</v>
      </c>
      <c r="S36" s="15" t="str">
        <f t="shared" si="32"/>
        <v>T10G2</v>
      </c>
      <c r="T36" s="95" t="str">
        <f t="shared" si="33"/>
        <v/>
      </c>
      <c r="U36" s="15" t="str">
        <f t="shared" si="34"/>
        <v>T29G2</v>
      </c>
      <c r="V36" s="95" t="str">
        <f t="shared" si="35"/>
        <v/>
      </c>
      <c r="W36" s="50">
        <f t="shared" si="8"/>
        <v>0.84916999999999998</v>
      </c>
      <c r="X36" s="50">
        <f t="shared" si="38"/>
        <v>0.79294234445</v>
      </c>
      <c r="Y36" s="50">
        <f t="shared" si="39"/>
        <v>0.11245531110000007</v>
      </c>
      <c r="Z36" s="50">
        <f t="shared" si="40"/>
        <v>9.4602344449999987E-2</v>
      </c>
      <c r="AA36" s="51" t="str">
        <f t="shared" si="41"/>
        <v>1/4</v>
      </c>
      <c r="AB36" s="51" t="str">
        <f t="shared" si="42"/>
        <v>15/2</v>
      </c>
      <c r="AC36" s="51" t="str">
        <f t="shared" si="43"/>
        <v>19/2</v>
      </c>
      <c r="AD36" s="52">
        <f t="shared" si="44"/>
        <v>0</v>
      </c>
      <c r="AE36" s="52">
        <f t="shared" si="45"/>
        <v>0</v>
      </c>
      <c r="AF36" s="52">
        <f t="shared" si="46"/>
        <v>0</v>
      </c>
      <c r="AG36" s="53" t="str">
        <f t="shared" si="47"/>
        <v/>
      </c>
      <c r="AH36" s="53" t="str">
        <f t="shared" si="48"/>
        <v/>
      </c>
      <c r="AI36" s="53" t="str">
        <f t="shared" si="49"/>
        <v/>
      </c>
      <c r="AJ36" s="53" t="str">
        <f t="shared" si="50"/>
        <v/>
      </c>
      <c r="AK36" s="54" t="str">
        <f t="shared" si="51"/>
        <v/>
      </c>
      <c r="AL36" s="54" t="str">
        <f t="shared" si="52"/>
        <v/>
      </c>
      <c r="AM36" s="54" t="str">
        <f t="shared" si="53"/>
        <v/>
      </c>
      <c r="AN36" s="55">
        <f t="shared" si="54"/>
        <v>0.11245531110000001</v>
      </c>
      <c r="AO36" s="124">
        <f>Poster!B41</f>
        <v>46193</v>
      </c>
      <c r="AP36" s="55">
        <f t="shared" si="55"/>
        <v>0.234375</v>
      </c>
    </row>
    <row r="37" spans="1:42" x14ac:dyDescent="0.25">
      <c r="A37" s="44" t="s">
        <v>1310</v>
      </c>
      <c r="B37" s="1">
        <f>IFERROR(VLOOKUP(Poster!$E42,Lookup03,2,FALSE),"")</f>
        <v>21</v>
      </c>
      <c r="C37" s="45">
        <f>COUNTIF(D$2:D37,D37)+COUNTIF(G$2:G37,D37)</f>
        <v>2</v>
      </c>
      <c r="D37" s="46" t="str">
        <f t="shared" si="27"/>
        <v>Ecuador</v>
      </c>
      <c r="E37" s="1">
        <f>IFERROR(VLOOKUP(Poster!$I42,Lookup03,2,FALSE),"")</f>
        <v>46</v>
      </c>
      <c r="F37" s="45">
        <f>COUNTIF(D$2:D37,G37)+COUNTIF(G$2:G37,G37)</f>
        <v>2</v>
      </c>
      <c r="G37" s="46" t="str">
        <f t="shared" si="28"/>
        <v>Curaçao</v>
      </c>
      <c r="H37" s="1" t="str">
        <f>IF(Poster!$F42="","",Poster!$F42)</f>
        <v/>
      </c>
      <c r="I37" s="1" t="str">
        <f>IF(Poster!$H42="","",Poster!$H42)</f>
        <v/>
      </c>
      <c r="J37" s="305"/>
      <c r="K37" s="305"/>
      <c r="L37" s="305"/>
      <c r="M37" s="305"/>
      <c r="N37" s="66" t="str">
        <f t="shared" si="29"/>
        <v/>
      </c>
      <c r="O37" s="65">
        <f t="shared" si="30"/>
        <v>0</v>
      </c>
      <c r="P37" s="89">
        <f t="shared" si="36"/>
        <v>1588.66875</v>
      </c>
      <c r="Q37" s="89">
        <f t="shared" si="37"/>
        <v>1294.30864</v>
      </c>
      <c r="R37" s="92">
        <f t="shared" si="31"/>
        <v>294.36011000000008</v>
      </c>
      <c r="S37" s="15" t="str">
        <f t="shared" si="32"/>
        <v>T21G2</v>
      </c>
      <c r="T37" s="95" t="str">
        <f t="shared" si="33"/>
        <v/>
      </c>
      <c r="U37" s="15" t="str">
        <f t="shared" si="34"/>
        <v>T46G2</v>
      </c>
      <c r="V37" s="95" t="str">
        <f t="shared" si="35"/>
        <v/>
      </c>
      <c r="W37" s="50">
        <f t="shared" si="8"/>
        <v>0.85250000000000004</v>
      </c>
      <c r="X37" s="50">
        <f t="shared" si="38"/>
        <v>0.79744062500000001</v>
      </c>
      <c r="Y37" s="50">
        <f t="shared" si="39"/>
        <v>0.11011874999999993</v>
      </c>
      <c r="Z37" s="50">
        <f t="shared" si="40"/>
        <v>9.2440625000000012E-2</v>
      </c>
      <c r="AA37" s="51" t="str">
        <f t="shared" si="41"/>
        <v>1/4</v>
      </c>
      <c r="AB37" s="51" t="str">
        <f t="shared" si="42"/>
        <v>8/1</v>
      </c>
      <c r="AC37" s="51" t="str">
        <f t="shared" si="43"/>
        <v>19/2</v>
      </c>
      <c r="AD37" s="52">
        <f t="shared" si="44"/>
        <v>0</v>
      </c>
      <c r="AE37" s="52">
        <f t="shared" si="45"/>
        <v>0</v>
      </c>
      <c r="AF37" s="52">
        <f t="shared" si="46"/>
        <v>0</v>
      </c>
      <c r="AG37" s="53" t="str">
        <f t="shared" si="47"/>
        <v/>
      </c>
      <c r="AH37" s="53" t="str">
        <f t="shared" si="48"/>
        <v/>
      </c>
      <c r="AI37" s="53" t="str">
        <f t="shared" si="49"/>
        <v/>
      </c>
      <c r="AJ37" s="53" t="str">
        <f t="shared" si="50"/>
        <v/>
      </c>
      <c r="AK37" s="54" t="str">
        <f t="shared" si="51"/>
        <v/>
      </c>
      <c r="AL37" s="54" t="str">
        <f t="shared" si="52"/>
        <v/>
      </c>
      <c r="AM37" s="54" t="str">
        <f t="shared" si="53"/>
        <v/>
      </c>
      <c r="AN37" s="55">
        <f t="shared" si="54"/>
        <v>0.11011874999999997</v>
      </c>
      <c r="AO37" s="124">
        <f>Poster!B42</f>
        <v>46194</v>
      </c>
      <c r="AP37" s="55">
        <f t="shared" si="55"/>
        <v>0.234375</v>
      </c>
    </row>
    <row r="38" spans="1:42" x14ac:dyDescent="0.25">
      <c r="A38" s="44" t="s">
        <v>1311</v>
      </c>
      <c r="B38" s="1">
        <f>IFERROR(VLOOKUP(Poster!$E43,Lookup03,2,FALSE),"")</f>
        <v>35</v>
      </c>
      <c r="C38" s="45">
        <f>COUNTIF(D$2:D38,D38)+COUNTIF(G$2:G38,D38)</f>
        <v>2</v>
      </c>
      <c r="D38" s="46" t="str">
        <f t="shared" si="27"/>
        <v>Tunisia</v>
      </c>
      <c r="E38" s="1">
        <f>IFERROR(VLOOKUP(Poster!$I43,Lookup03,2,FALSE),"")</f>
        <v>17</v>
      </c>
      <c r="F38" s="45">
        <f>COUNTIF(D$2:D38,G38)+COUNTIF(G$2:G38,G38)</f>
        <v>2</v>
      </c>
      <c r="G38" s="46" t="str">
        <f t="shared" si="28"/>
        <v>Japan</v>
      </c>
      <c r="H38" s="1" t="str">
        <f>IF(Poster!$F43="","",Poster!$F43)</f>
        <v/>
      </c>
      <c r="I38" s="1" t="str">
        <f>IF(Poster!$H43="","",Poster!$H43)</f>
        <v/>
      </c>
      <c r="J38" s="305"/>
      <c r="K38" s="305"/>
      <c r="L38" s="305"/>
      <c r="M38" s="305"/>
      <c r="N38" s="66" t="str">
        <f t="shared" si="29"/>
        <v/>
      </c>
      <c r="O38" s="65">
        <f t="shared" si="30"/>
        <v>0</v>
      </c>
      <c r="P38" s="89">
        <f t="shared" si="36"/>
        <v>1499.28</v>
      </c>
      <c r="Q38" s="89">
        <f t="shared" si="37"/>
        <v>1663.85625</v>
      </c>
      <c r="R38" s="92">
        <f t="shared" si="31"/>
        <v>-164.57625000000007</v>
      </c>
      <c r="S38" s="15" t="str">
        <f t="shared" si="32"/>
        <v>T35G2</v>
      </c>
      <c r="T38" s="95" t="str">
        <f t="shared" si="33"/>
        <v/>
      </c>
      <c r="U38" s="15" t="str">
        <f t="shared" si="34"/>
        <v>T17G2</v>
      </c>
      <c r="V38" s="95" t="str">
        <f t="shared" si="35"/>
        <v/>
      </c>
      <c r="W38" s="50">
        <f t="shared" si="8"/>
        <v>0.27875</v>
      </c>
      <c r="X38" s="50">
        <f t="shared" si="38"/>
        <v>0.18603828124999999</v>
      </c>
      <c r="Y38" s="50">
        <f t="shared" si="39"/>
        <v>0.18542343750000001</v>
      </c>
      <c r="Z38" s="50">
        <f t="shared" si="40"/>
        <v>0.62853828125</v>
      </c>
      <c r="AA38" s="51" t="str">
        <f t="shared" si="41"/>
        <v>4/1</v>
      </c>
      <c r="AB38" s="51" t="str">
        <f t="shared" si="42"/>
        <v>4/1</v>
      </c>
      <c r="AC38" s="51" t="str">
        <f t="shared" si="43"/>
        <v>4/7</v>
      </c>
      <c r="AD38" s="52">
        <f t="shared" si="44"/>
        <v>0</v>
      </c>
      <c r="AE38" s="52">
        <f t="shared" si="45"/>
        <v>0</v>
      </c>
      <c r="AF38" s="52">
        <f t="shared" si="46"/>
        <v>0</v>
      </c>
      <c r="AG38" s="53" t="str">
        <f t="shared" si="47"/>
        <v/>
      </c>
      <c r="AH38" s="53" t="str">
        <f t="shared" si="48"/>
        <v/>
      </c>
      <c r="AI38" s="53" t="str">
        <f t="shared" si="49"/>
        <v/>
      </c>
      <c r="AJ38" s="53" t="str">
        <f t="shared" si="50"/>
        <v/>
      </c>
      <c r="AK38" s="54" t="str">
        <f t="shared" si="51"/>
        <v/>
      </c>
      <c r="AL38" s="54" t="str">
        <f t="shared" si="52"/>
        <v/>
      </c>
      <c r="AM38" s="54" t="str">
        <f t="shared" si="53"/>
        <v/>
      </c>
      <c r="AN38" s="55">
        <f t="shared" si="54"/>
        <v>0.18542343750000001</v>
      </c>
      <c r="AO38" s="124">
        <f>Poster!B43</f>
        <v>46194</v>
      </c>
      <c r="AP38" s="55">
        <f t="shared" si="55"/>
        <v>0.234375</v>
      </c>
    </row>
    <row r="39" spans="1:42" x14ac:dyDescent="0.25">
      <c r="A39" s="44" t="s">
        <v>1312</v>
      </c>
      <c r="B39" s="1">
        <f>IFERROR(VLOOKUP(Poster!$E44,Lookup03,2,FALSE),"")</f>
        <v>2</v>
      </c>
      <c r="C39" s="45">
        <f>COUNTIF(D$2:D39,D39)+COUNTIF(G$2:G39,D39)</f>
        <v>2</v>
      </c>
      <c r="D39" s="46" t="str">
        <f t="shared" si="27"/>
        <v>Spain</v>
      </c>
      <c r="E39" s="1">
        <f>IFERROR(VLOOKUP(Poster!$I44,Lookup03,2,FALSE),"")</f>
        <v>41</v>
      </c>
      <c r="F39" s="45">
        <f>COUNTIF(D$2:D39,G39)+COUNTIF(G$2:G39,G39)</f>
        <v>2</v>
      </c>
      <c r="G39" s="46" t="str">
        <f t="shared" si="28"/>
        <v>Saudi Arabia</v>
      </c>
      <c r="H39" s="1" t="str">
        <f>IF(Poster!$F44="","",Poster!$F44)</f>
        <v/>
      </c>
      <c r="I39" s="1" t="str">
        <f>IF(Poster!$H44="","",Poster!$H44)</f>
        <v/>
      </c>
      <c r="J39" s="305"/>
      <c r="K39" s="305"/>
      <c r="L39" s="305"/>
      <c r="M39" s="305"/>
      <c r="N39" s="66" t="str">
        <f t="shared" si="29"/>
        <v/>
      </c>
      <c r="O39" s="65">
        <f t="shared" si="30"/>
        <v>0</v>
      </c>
      <c r="P39" s="89">
        <f t="shared" si="36"/>
        <v>1821.425</v>
      </c>
      <c r="Q39" s="89">
        <f t="shared" si="37"/>
        <v>1433.3545999999999</v>
      </c>
      <c r="R39" s="92">
        <f t="shared" si="31"/>
        <v>388.07040000000006</v>
      </c>
      <c r="S39" s="15" t="str">
        <f t="shared" si="32"/>
        <v>T2G2</v>
      </c>
      <c r="T39" s="95" t="str">
        <f t="shared" si="33"/>
        <v/>
      </c>
      <c r="U39" s="15" t="str">
        <f t="shared" si="34"/>
        <v>T41G2</v>
      </c>
      <c r="V39" s="95" t="str">
        <f t="shared" si="35"/>
        <v/>
      </c>
      <c r="W39" s="50">
        <f t="shared" si="8"/>
        <v>0.91764999999999997</v>
      </c>
      <c r="X39" s="50">
        <f t="shared" si="38"/>
        <v>0.88767826124999993</v>
      </c>
      <c r="Y39" s="50">
        <f t="shared" si="39"/>
        <v>5.9943477500000064E-2</v>
      </c>
      <c r="Z39" s="50">
        <f t="shared" si="40"/>
        <v>5.237826125000003E-2</v>
      </c>
      <c r="AA39" s="51" t="str">
        <f t="shared" si="41"/>
        <v>1/8</v>
      </c>
      <c r="AB39" s="51" t="str">
        <f t="shared" si="42"/>
        <v>31/2</v>
      </c>
      <c r="AC39" s="51" t="str">
        <f t="shared" si="43"/>
        <v>18/1</v>
      </c>
      <c r="AD39" s="52">
        <f t="shared" si="44"/>
        <v>0</v>
      </c>
      <c r="AE39" s="52">
        <f t="shared" si="45"/>
        <v>0</v>
      </c>
      <c r="AF39" s="52">
        <f t="shared" si="46"/>
        <v>0</v>
      </c>
      <c r="AG39" s="53" t="str">
        <f t="shared" si="47"/>
        <v/>
      </c>
      <c r="AH39" s="53" t="str">
        <f t="shared" si="48"/>
        <v/>
      </c>
      <c r="AI39" s="53" t="str">
        <f t="shared" si="49"/>
        <v/>
      </c>
      <c r="AJ39" s="53" t="str">
        <f t="shared" si="50"/>
        <v/>
      </c>
      <c r="AK39" s="54" t="str">
        <f t="shared" si="51"/>
        <v/>
      </c>
      <c r="AL39" s="54" t="str">
        <f t="shared" si="52"/>
        <v/>
      </c>
      <c r="AM39" s="54" t="str">
        <f t="shared" si="53"/>
        <v/>
      </c>
      <c r="AN39" s="55">
        <f t="shared" si="54"/>
        <v>5.9943477500000036E-2</v>
      </c>
      <c r="AO39" s="124">
        <f>Poster!B44</f>
        <v>46194</v>
      </c>
      <c r="AP39" s="55">
        <f t="shared" si="55"/>
        <v>0.234375</v>
      </c>
    </row>
    <row r="40" spans="1:42" x14ac:dyDescent="0.25">
      <c r="A40" s="44" t="s">
        <v>1313</v>
      </c>
      <c r="B40" s="1">
        <f>IFERROR(VLOOKUP(Poster!$E45,Lookup03,2,FALSE),"")</f>
        <v>9</v>
      </c>
      <c r="C40" s="45">
        <f>COUNTIF(D$2:D40,D40)+COUNTIF(G$2:G40,D40)</f>
        <v>2</v>
      </c>
      <c r="D40" s="46" t="str">
        <f t="shared" si="27"/>
        <v>Belgium</v>
      </c>
      <c r="E40" s="1">
        <f>IFERROR(VLOOKUP(Poster!$I45,Lookup03,2,FALSE),"")</f>
        <v>19</v>
      </c>
      <c r="F40" s="45">
        <f>COUNTIF(D$2:D40,G40)+COUNTIF(G$2:G40,G40)</f>
        <v>2</v>
      </c>
      <c r="G40" s="46" t="str">
        <f t="shared" si="28"/>
        <v>IR Iran</v>
      </c>
      <c r="H40" s="1" t="str">
        <f>IF(Poster!$F45="","",Poster!$F45)</f>
        <v/>
      </c>
      <c r="I40" s="1" t="str">
        <f>IF(Poster!$H45="","",Poster!$H45)</f>
        <v/>
      </c>
      <c r="J40" s="305"/>
      <c r="K40" s="305"/>
      <c r="L40" s="305"/>
      <c r="M40" s="305"/>
      <c r="N40" s="66" t="str">
        <f t="shared" si="29"/>
        <v/>
      </c>
      <c r="O40" s="65">
        <f t="shared" si="30"/>
        <v>0</v>
      </c>
      <c r="P40" s="89">
        <f t="shared" si="36"/>
        <v>1728.0334</v>
      </c>
      <c r="Q40" s="89">
        <f t="shared" si="37"/>
        <v>1559.425</v>
      </c>
      <c r="R40" s="92">
        <f t="shared" si="31"/>
        <v>168.60840000000007</v>
      </c>
      <c r="S40" s="15" t="str">
        <f t="shared" si="32"/>
        <v>T9G2</v>
      </c>
      <c r="T40" s="95" t="str">
        <f t="shared" si="33"/>
        <v/>
      </c>
      <c r="U40" s="15" t="str">
        <f t="shared" si="34"/>
        <v>T19G2</v>
      </c>
      <c r="V40" s="95" t="str">
        <f t="shared" si="35"/>
        <v/>
      </c>
      <c r="W40" s="50">
        <f t="shared" si="8"/>
        <v>0.72624999999999995</v>
      </c>
      <c r="X40" s="50">
        <f t="shared" si="38"/>
        <v>0.63465703124999995</v>
      </c>
      <c r="Y40" s="50">
        <f t="shared" si="39"/>
        <v>0.18318593750000001</v>
      </c>
      <c r="Z40" s="50">
        <f t="shared" si="40"/>
        <v>0.18215703125000005</v>
      </c>
      <c r="AA40" s="51" t="str">
        <f t="shared" si="41"/>
        <v>4/7</v>
      </c>
      <c r="AB40" s="51" t="str">
        <f t="shared" si="42"/>
        <v>4/1</v>
      </c>
      <c r="AC40" s="51" t="str">
        <f t="shared" si="43"/>
        <v>4/1</v>
      </c>
      <c r="AD40" s="52">
        <f t="shared" si="44"/>
        <v>0</v>
      </c>
      <c r="AE40" s="52">
        <f t="shared" si="45"/>
        <v>0</v>
      </c>
      <c r="AF40" s="52">
        <f t="shared" si="46"/>
        <v>0</v>
      </c>
      <c r="AG40" s="53" t="str">
        <f t="shared" si="47"/>
        <v/>
      </c>
      <c r="AH40" s="53" t="str">
        <f t="shared" si="48"/>
        <v/>
      </c>
      <c r="AI40" s="53" t="str">
        <f t="shared" si="49"/>
        <v/>
      </c>
      <c r="AJ40" s="53" t="str">
        <f t="shared" si="50"/>
        <v/>
      </c>
      <c r="AK40" s="54" t="str">
        <f t="shared" si="51"/>
        <v/>
      </c>
      <c r="AL40" s="54" t="str">
        <f t="shared" si="52"/>
        <v/>
      </c>
      <c r="AM40" s="54" t="str">
        <f t="shared" si="53"/>
        <v/>
      </c>
      <c r="AN40" s="55">
        <f t="shared" si="54"/>
        <v>0.18318593750000001</v>
      </c>
      <c r="AO40" s="124">
        <f>Poster!B45</f>
        <v>46194</v>
      </c>
      <c r="AP40" s="55">
        <f t="shared" si="55"/>
        <v>0.234375</v>
      </c>
    </row>
    <row r="41" spans="1:42" x14ac:dyDescent="0.25">
      <c r="A41" s="44" t="s">
        <v>1314</v>
      </c>
      <c r="B41" s="1">
        <f>IFERROR(VLOOKUP(Poster!$E46,Lookup03,2,FALSE),"")</f>
        <v>15</v>
      </c>
      <c r="C41" s="45">
        <f>COUNTIF(D$2:D41,D41)+COUNTIF(G$2:G41,D41)</f>
        <v>2</v>
      </c>
      <c r="D41" s="46" t="str">
        <f t="shared" si="27"/>
        <v>Uruguay</v>
      </c>
      <c r="E41" s="1">
        <f>IFERROR(VLOOKUP(Poster!$I46,Lookup03,2,FALSE),"")</f>
        <v>44</v>
      </c>
      <c r="F41" s="45">
        <f>COUNTIF(D$2:D41,G41)+COUNTIF(G$2:G41,G41)</f>
        <v>2</v>
      </c>
      <c r="G41" s="46" t="str">
        <f t="shared" si="28"/>
        <v>Cabo Verde</v>
      </c>
      <c r="H41" s="1" t="str">
        <f>IF(Poster!$F46="","",Poster!$F46)</f>
        <v/>
      </c>
      <c r="I41" s="1" t="str">
        <f>IF(Poster!$H46="","",Poster!$H46)</f>
        <v/>
      </c>
      <c r="J41" s="305"/>
      <c r="K41" s="305"/>
      <c r="L41" s="305"/>
      <c r="M41" s="305"/>
      <c r="N41" s="66" t="str">
        <f t="shared" si="29"/>
        <v/>
      </c>
      <c r="O41" s="65">
        <f t="shared" si="30"/>
        <v>0</v>
      </c>
      <c r="P41" s="89">
        <f t="shared" si="36"/>
        <v>1668.3226999999999</v>
      </c>
      <c r="Q41" s="89">
        <f t="shared" si="37"/>
        <v>1377.7874999999999</v>
      </c>
      <c r="R41" s="92">
        <f t="shared" si="31"/>
        <v>290.53520000000003</v>
      </c>
      <c r="S41" s="15" t="str">
        <f t="shared" si="32"/>
        <v>T15G2</v>
      </c>
      <c r="T41" s="95" t="str">
        <f t="shared" si="33"/>
        <v/>
      </c>
      <c r="U41" s="15" t="str">
        <f t="shared" si="34"/>
        <v>T44G2</v>
      </c>
      <c r="V41" s="95" t="str">
        <f t="shared" si="35"/>
        <v/>
      </c>
      <c r="W41" s="50">
        <f t="shared" si="8"/>
        <v>0.84916999999999998</v>
      </c>
      <c r="X41" s="50">
        <f t="shared" si="38"/>
        <v>0.79294234445</v>
      </c>
      <c r="Y41" s="50">
        <f t="shared" si="39"/>
        <v>0.11245531110000007</v>
      </c>
      <c r="Z41" s="50">
        <f t="shared" si="40"/>
        <v>9.4602344449999987E-2</v>
      </c>
      <c r="AA41" s="51" t="str">
        <f t="shared" si="41"/>
        <v>1/4</v>
      </c>
      <c r="AB41" s="51" t="str">
        <f t="shared" si="42"/>
        <v>15/2</v>
      </c>
      <c r="AC41" s="51" t="str">
        <f t="shared" si="43"/>
        <v>19/2</v>
      </c>
      <c r="AD41" s="52">
        <f t="shared" si="44"/>
        <v>0</v>
      </c>
      <c r="AE41" s="52">
        <f t="shared" si="45"/>
        <v>0</v>
      </c>
      <c r="AF41" s="52">
        <f t="shared" si="46"/>
        <v>0</v>
      </c>
      <c r="AG41" s="53" t="str">
        <f t="shared" si="47"/>
        <v/>
      </c>
      <c r="AH41" s="53" t="str">
        <f t="shared" si="48"/>
        <v/>
      </c>
      <c r="AI41" s="53" t="str">
        <f t="shared" si="49"/>
        <v/>
      </c>
      <c r="AJ41" s="53" t="str">
        <f t="shared" si="50"/>
        <v/>
      </c>
      <c r="AK41" s="54" t="str">
        <f t="shared" si="51"/>
        <v/>
      </c>
      <c r="AL41" s="54" t="str">
        <f t="shared" si="52"/>
        <v/>
      </c>
      <c r="AM41" s="54" t="str">
        <f t="shared" si="53"/>
        <v/>
      </c>
      <c r="AN41" s="55">
        <f t="shared" si="54"/>
        <v>0.11245531110000001</v>
      </c>
      <c r="AO41" s="124">
        <f>Poster!B46</f>
        <v>46194</v>
      </c>
      <c r="AP41" s="55">
        <f t="shared" si="55"/>
        <v>0.234375</v>
      </c>
    </row>
    <row r="42" spans="1:42" x14ac:dyDescent="0.25">
      <c r="A42" s="44" t="s">
        <v>1315</v>
      </c>
      <c r="B42" s="1">
        <f>IFERROR(VLOOKUP(Poster!$E47,Lookup03,2,FALSE),"")</f>
        <v>48</v>
      </c>
      <c r="C42" s="45">
        <f>COUNTIF(D$2:D42,D42)+COUNTIF(G$2:G42,D42)</f>
        <v>2</v>
      </c>
      <c r="D42" s="46" t="str">
        <f t="shared" si="27"/>
        <v>New Zealand</v>
      </c>
      <c r="E42" s="1">
        <f>IFERROR(VLOOKUP(Poster!$I47,Lookup03,2,FALSE),"")</f>
        <v>26</v>
      </c>
      <c r="F42" s="45">
        <f>COUNTIF(D$2:D42,G42)+COUNTIF(G$2:G42,G42)</f>
        <v>2</v>
      </c>
      <c r="G42" s="46" t="str">
        <f t="shared" si="28"/>
        <v>Egypt</v>
      </c>
      <c r="H42" s="1" t="str">
        <f>IF(Poster!$F47="","",Poster!$F47)</f>
        <v/>
      </c>
      <c r="I42" s="1" t="str">
        <f>IF(Poster!$H47="","",Poster!$H47)</f>
        <v/>
      </c>
      <c r="J42" s="305"/>
      <c r="K42" s="305"/>
      <c r="L42" s="305"/>
      <c r="M42" s="305"/>
      <c r="N42" s="66" t="str">
        <f t="shared" si="29"/>
        <v/>
      </c>
      <c r="O42" s="65">
        <f t="shared" si="30"/>
        <v>0</v>
      </c>
      <c r="P42" s="89">
        <f t="shared" si="36"/>
        <v>1281.2874999999999</v>
      </c>
      <c r="Q42" s="89">
        <f t="shared" si="37"/>
        <v>1565.4833000000001</v>
      </c>
      <c r="R42" s="92">
        <f t="shared" si="31"/>
        <v>-284.19580000000019</v>
      </c>
      <c r="S42" s="15" t="str">
        <f t="shared" si="32"/>
        <v>T48G2</v>
      </c>
      <c r="T42" s="95" t="str">
        <f t="shared" si="33"/>
        <v/>
      </c>
      <c r="U42" s="15" t="str">
        <f t="shared" si="34"/>
        <v>T26G2</v>
      </c>
      <c r="V42" s="95" t="str">
        <f t="shared" si="35"/>
        <v/>
      </c>
      <c r="W42" s="50">
        <f t="shared" si="8"/>
        <v>0.15583</v>
      </c>
      <c r="X42" s="50">
        <f t="shared" si="38"/>
        <v>9.7868994449999996E-2</v>
      </c>
      <c r="Y42" s="50">
        <f t="shared" si="39"/>
        <v>0.11592201109999997</v>
      </c>
      <c r="Z42" s="50">
        <f t="shared" si="40"/>
        <v>0.78620899445000003</v>
      </c>
      <c r="AA42" s="51" t="str">
        <f t="shared" si="41"/>
        <v>9/1</v>
      </c>
      <c r="AB42" s="51" t="str">
        <f t="shared" si="42"/>
        <v>15/2</v>
      </c>
      <c r="AC42" s="51" t="str">
        <f t="shared" si="43"/>
        <v>1/4</v>
      </c>
      <c r="AD42" s="52">
        <f t="shared" si="44"/>
        <v>0</v>
      </c>
      <c r="AE42" s="52">
        <f t="shared" si="45"/>
        <v>0</v>
      </c>
      <c r="AF42" s="52">
        <f t="shared" si="46"/>
        <v>0</v>
      </c>
      <c r="AG42" s="53" t="str">
        <f t="shared" si="47"/>
        <v/>
      </c>
      <c r="AH42" s="53" t="str">
        <f t="shared" si="48"/>
        <v/>
      </c>
      <c r="AI42" s="53" t="str">
        <f t="shared" si="49"/>
        <v/>
      </c>
      <c r="AJ42" s="53" t="str">
        <f t="shared" si="50"/>
        <v/>
      </c>
      <c r="AK42" s="54" t="str">
        <f t="shared" si="51"/>
        <v/>
      </c>
      <c r="AL42" s="54" t="str">
        <f t="shared" si="52"/>
        <v/>
      </c>
      <c r="AM42" s="54" t="str">
        <f t="shared" si="53"/>
        <v/>
      </c>
      <c r="AN42" s="55">
        <f t="shared" si="54"/>
        <v>0.11592201110000001</v>
      </c>
      <c r="AO42" s="124">
        <f>Poster!B47</f>
        <v>46195</v>
      </c>
      <c r="AP42" s="55">
        <f t="shared" si="55"/>
        <v>0.234375</v>
      </c>
    </row>
    <row r="43" spans="1:42" x14ac:dyDescent="0.25">
      <c r="A43" s="44" t="s">
        <v>1316</v>
      </c>
      <c r="B43" s="1">
        <f>IFERROR(VLOOKUP(Poster!$E48,Lookup03,2,FALSE),"")</f>
        <v>1</v>
      </c>
      <c r="C43" s="45">
        <f>COUNTIF(D$2:D43,D43)+COUNTIF(G$2:G43,D43)</f>
        <v>2</v>
      </c>
      <c r="D43" s="46" t="str">
        <f t="shared" si="27"/>
        <v>Argentina</v>
      </c>
      <c r="E43" s="1">
        <f>IFERROR(VLOOKUP(Poster!$I48,Lookup03,2,FALSE),"")</f>
        <v>22</v>
      </c>
      <c r="F43" s="45">
        <f>COUNTIF(D$2:D43,G43)+COUNTIF(G$2:G43,G43)</f>
        <v>2</v>
      </c>
      <c r="G43" s="46" t="str">
        <f t="shared" si="28"/>
        <v>Austria</v>
      </c>
      <c r="H43" s="1" t="str">
        <f>IF(Poster!$F48="","",Poster!$F48)</f>
        <v/>
      </c>
      <c r="I43" s="1" t="str">
        <f>IF(Poster!$H48="","",Poster!$H48)</f>
        <v/>
      </c>
      <c r="J43" s="305"/>
      <c r="K43" s="305"/>
      <c r="L43" s="305"/>
      <c r="M43" s="305"/>
      <c r="N43" s="66" t="str">
        <f t="shared" si="29"/>
        <v/>
      </c>
      <c r="O43" s="65">
        <f t="shared" si="30"/>
        <v>0</v>
      </c>
      <c r="P43" s="89">
        <f t="shared" si="36"/>
        <v>1792</v>
      </c>
      <c r="Q43" s="89">
        <f t="shared" si="37"/>
        <v>1607</v>
      </c>
      <c r="R43" s="92">
        <f t="shared" si="31"/>
        <v>185</v>
      </c>
      <c r="S43" s="15" t="str">
        <f t="shared" si="32"/>
        <v>T1G2</v>
      </c>
      <c r="T43" s="95" t="str">
        <f t="shared" si="33"/>
        <v/>
      </c>
      <c r="U43" s="15" t="str">
        <f t="shared" si="34"/>
        <v>T22G2</v>
      </c>
      <c r="V43" s="95" t="str">
        <f t="shared" si="35"/>
        <v/>
      </c>
      <c r="W43" s="50">
        <f t="shared" si="8"/>
        <v>0.74556</v>
      </c>
      <c r="X43" s="50">
        <f t="shared" si="38"/>
        <v>0.65852235680000004</v>
      </c>
      <c r="Y43" s="50">
        <f t="shared" si="39"/>
        <v>0.17407528640000003</v>
      </c>
      <c r="Z43" s="50">
        <f t="shared" si="40"/>
        <v>0.16740235679999996</v>
      </c>
      <c r="AA43" s="51" t="str">
        <f t="shared" si="41"/>
        <v>1/2</v>
      </c>
      <c r="AB43" s="51" t="str">
        <f t="shared" si="42"/>
        <v>9/2</v>
      </c>
      <c r="AC43" s="51" t="str">
        <f t="shared" si="43"/>
        <v>9/2</v>
      </c>
      <c r="AD43" s="52">
        <f t="shared" si="44"/>
        <v>0</v>
      </c>
      <c r="AE43" s="52">
        <f t="shared" si="45"/>
        <v>0</v>
      </c>
      <c r="AF43" s="52">
        <f t="shared" si="46"/>
        <v>0</v>
      </c>
      <c r="AG43" s="53" t="str">
        <f t="shared" si="47"/>
        <v/>
      </c>
      <c r="AH43" s="53" t="str">
        <f t="shared" si="48"/>
        <v/>
      </c>
      <c r="AI43" s="53" t="str">
        <f t="shared" si="49"/>
        <v/>
      </c>
      <c r="AJ43" s="53" t="str">
        <f t="shared" si="50"/>
        <v/>
      </c>
      <c r="AK43" s="54" t="str">
        <f t="shared" si="51"/>
        <v/>
      </c>
      <c r="AL43" s="54" t="str">
        <f t="shared" si="52"/>
        <v/>
      </c>
      <c r="AM43" s="54" t="str">
        <f t="shared" si="53"/>
        <v/>
      </c>
      <c r="AN43" s="55">
        <f t="shared" si="54"/>
        <v>0.1740752864</v>
      </c>
      <c r="AO43" s="124">
        <f>Poster!B48</f>
        <v>46195</v>
      </c>
      <c r="AP43" s="55">
        <f t="shared" si="55"/>
        <v>0.234375</v>
      </c>
    </row>
    <row r="44" spans="1:42" x14ac:dyDescent="0.25">
      <c r="A44" s="44" t="s">
        <v>1317</v>
      </c>
      <c r="B44" s="1">
        <f>IFERROR(VLOOKUP(Poster!$E49,Lookup03,2,FALSE),"")</f>
        <v>3</v>
      </c>
      <c r="C44" s="45">
        <f>COUNTIF(D$2:D44,D44)+COUNTIF(G$2:G44,D44)</f>
        <v>2</v>
      </c>
      <c r="D44" s="46" t="str">
        <f t="shared" si="27"/>
        <v>France</v>
      </c>
      <c r="E44" s="1">
        <f>IFERROR(VLOOKUP(Poster!$I49,Lookup03,2,FALSE),"")</f>
        <v>39</v>
      </c>
      <c r="F44" s="45">
        <f>COUNTIF(D$2:D44,G44)+COUNTIF(G$2:G44,G44)</f>
        <v>2</v>
      </c>
      <c r="G44" s="46" t="str">
        <f t="shared" si="28"/>
        <v>Iraq</v>
      </c>
      <c r="H44" s="1" t="str">
        <f>IF(Poster!$F49="","",Poster!$F49)</f>
        <v/>
      </c>
      <c r="I44" s="1" t="str">
        <f>IF(Poster!$H49="","",Poster!$H49)</f>
        <v/>
      </c>
      <c r="J44" s="305"/>
      <c r="K44" s="305"/>
      <c r="L44" s="305"/>
      <c r="M44" s="305"/>
      <c r="N44" s="66" t="str">
        <f t="shared" si="29"/>
        <v/>
      </c>
      <c r="O44" s="65">
        <f t="shared" si="30"/>
        <v>0</v>
      </c>
      <c r="P44" s="89">
        <f t="shared" si="36"/>
        <v>1819</v>
      </c>
      <c r="Q44" s="89">
        <f t="shared" si="37"/>
        <v>1446</v>
      </c>
      <c r="R44" s="92">
        <f t="shared" si="31"/>
        <v>373</v>
      </c>
      <c r="S44" s="15" t="str">
        <f t="shared" si="32"/>
        <v>T3G2</v>
      </c>
      <c r="T44" s="95" t="str">
        <f t="shared" si="33"/>
        <v/>
      </c>
      <c r="U44" s="15" t="str">
        <f t="shared" si="34"/>
        <v>T39G2</v>
      </c>
      <c r="V44" s="95" t="str">
        <f t="shared" si="35"/>
        <v/>
      </c>
      <c r="W44" s="50">
        <f t="shared" si="8"/>
        <v>0.90881999999999996</v>
      </c>
      <c r="X44" s="50">
        <f t="shared" si="38"/>
        <v>0.87519939619999998</v>
      </c>
      <c r="Y44" s="50">
        <f t="shared" si="39"/>
        <v>6.7241207599999964E-2</v>
      </c>
      <c r="Z44" s="50">
        <f t="shared" si="40"/>
        <v>5.7559396200000001E-2</v>
      </c>
      <c r="AA44" s="51" t="str">
        <f t="shared" si="41"/>
        <v>7/50</v>
      </c>
      <c r="AB44" s="51" t="str">
        <f t="shared" si="42"/>
        <v>27/2</v>
      </c>
      <c r="AC44" s="51" t="str">
        <f t="shared" si="43"/>
        <v>16/1</v>
      </c>
      <c r="AD44" s="52">
        <f t="shared" si="44"/>
        <v>0</v>
      </c>
      <c r="AE44" s="52">
        <f t="shared" si="45"/>
        <v>0</v>
      </c>
      <c r="AF44" s="52">
        <f t="shared" si="46"/>
        <v>0</v>
      </c>
      <c r="AG44" s="53" t="str">
        <f t="shared" si="47"/>
        <v/>
      </c>
      <c r="AH44" s="53" t="str">
        <f t="shared" si="48"/>
        <v/>
      </c>
      <c r="AI44" s="53" t="str">
        <f t="shared" si="49"/>
        <v/>
      </c>
      <c r="AJ44" s="53" t="str">
        <f t="shared" si="50"/>
        <v/>
      </c>
      <c r="AK44" s="54" t="str">
        <f t="shared" si="51"/>
        <v/>
      </c>
      <c r="AL44" s="54" t="str">
        <f t="shared" si="52"/>
        <v/>
      </c>
      <c r="AM44" s="54" t="str">
        <f t="shared" si="53"/>
        <v/>
      </c>
      <c r="AN44" s="55">
        <f t="shared" si="54"/>
        <v>6.7241207600000019E-2</v>
      </c>
      <c r="AO44" s="124">
        <f>Poster!B49</f>
        <v>46195</v>
      </c>
      <c r="AP44" s="55">
        <f t="shared" si="55"/>
        <v>0.234375</v>
      </c>
    </row>
    <row r="45" spans="1:42" x14ac:dyDescent="0.25">
      <c r="A45" s="44" t="s">
        <v>1318</v>
      </c>
      <c r="B45" s="1">
        <f>IFERROR(VLOOKUP(Poster!$E50,Lookup03,2,FALSE),"")</f>
        <v>28</v>
      </c>
      <c r="C45" s="45">
        <f>COUNTIF(D$2:D45,D45)+COUNTIF(G$2:G45,D45)</f>
        <v>2</v>
      </c>
      <c r="D45" s="46" t="str">
        <f t="shared" si="27"/>
        <v>Norway</v>
      </c>
      <c r="E45" s="1">
        <f>IFERROR(VLOOKUP(Poster!$I50,Lookup03,2,FALSE),"")</f>
        <v>14</v>
      </c>
      <c r="F45" s="45">
        <f>COUNTIF(D$2:D45,G45)+COUNTIF(G$2:G45,G45)</f>
        <v>2</v>
      </c>
      <c r="G45" s="46" t="str">
        <f t="shared" si="28"/>
        <v>Senegal</v>
      </c>
      <c r="H45" s="1" t="str">
        <f>IF(Poster!$F50="","",Poster!$F50)</f>
        <v/>
      </c>
      <c r="I45" s="1" t="str">
        <f>IF(Poster!$H50="","",Poster!$H50)</f>
        <v/>
      </c>
      <c r="J45" s="305"/>
      <c r="K45" s="305"/>
      <c r="L45" s="305"/>
      <c r="M45" s="305"/>
      <c r="N45" s="66" t="str">
        <f t="shared" si="29"/>
        <v/>
      </c>
      <c r="O45" s="65">
        <f t="shared" si="30"/>
        <v>0</v>
      </c>
      <c r="P45" s="89">
        <f t="shared" si="36"/>
        <v>1637</v>
      </c>
      <c r="Q45" s="89">
        <f t="shared" si="37"/>
        <v>1654</v>
      </c>
      <c r="R45" s="92">
        <f t="shared" si="31"/>
        <v>-17</v>
      </c>
      <c r="S45" s="15" t="str">
        <f t="shared" si="32"/>
        <v>T28G2</v>
      </c>
      <c r="T45" s="95" t="str">
        <f t="shared" si="33"/>
        <v/>
      </c>
      <c r="U45" s="15" t="str">
        <f t="shared" si="34"/>
        <v>T14G2</v>
      </c>
      <c r="V45" s="95" t="str">
        <f t="shared" si="35"/>
        <v/>
      </c>
      <c r="W45" s="50">
        <f t="shared" si="8"/>
        <v>0.47286</v>
      </c>
      <c r="X45" s="50">
        <f t="shared" si="38"/>
        <v>0.35604078979999998</v>
      </c>
      <c r="Y45" s="50">
        <f t="shared" si="39"/>
        <v>0.23363842039999994</v>
      </c>
      <c r="Z45" s="50">
        <f t="shared" si="40"/>
        <v>0.41032078980000003</v>
      </c>
      <c r="AA45" s="51" t="str">
        <f t="shared" si="41"/>
        <v>9/5</v>
      </c>
      <c r="AB45" s="51" t="str">
        <f t="shared" si="42"/>
        <v>16/5</v>
      </c>
      <c r="AC45" s="51" t="str">
        <f t="shared" si="43"/>
        <v>7/5</v>
      </c>
      <c r="AD45" s="52">
        <f t="shared" si="44"/>
        <v>0</v>
      </c>
      <c r="AE45" s="52">
        <f t="shared" si="45"/>
        <v>0</v>
      </c>
      <c r="AF45" s="52">
        <f t="shared" si="46"/>
        <v>0</v>
      </c>
      <c r="AG45" s="53" t="str">
        <f t="shared" si="47"/>
        <v/>
      </c>
      <c r="AH45" s="53" t="str">
        <f t="shared" si="48"/>
        <v/>
      </c>
      <c r="AI45" s="53" t="str">
        <f t="shared" si="49"/>
        <v/>
      </c>
      <c r="AJ45" s="53" t="str">
        <f t="shared" si="50"/>
        <v/>
      </c>
      <c r="AK45" s="54" t="str">
        <f t="shared" si="51"/>
        <v/>
      </c>
      <c r="AL45" s="54" t="str">
        <f t="shared" si="52"/>
        <v/>
      </c>
      <c r="AM45" s="54" t="str">
        <f t="shared" si="53"/>
        <v/>
      </c>
      <c r="AN45" s="55">
        <f t="shared" si="54"/>
        <v>0.23363842039999999</v>
      </c>
      <c r="AO45" s="124">
        <f>Poster!B50</f>
        <v>46196</v>
      </c>
      <c r="AP45" s="55">
        <f t="shared" si="55"/>
        <v>0.234375</v>
      </c>
    </row>
    <row r="46" spans="1:42" x14ac:dyDescent="0.25">
      <c r="A46" s="44" t="s">
        <v>1319</v>
      </c>
      <c r="B46" s="1">
        <f>IFERROR(VLOOKUP(Poster!$E51,Lookup03,2,FALSE),"")</f>
        <v>42</v>
      </c>
      <c r="C46" s="45">
        <f>COUNTIF(D$2:D46,D46)+COUNTIF(G$2:G46,D46)</f>
        <v>2</v>
      </c>
      <c r="D46" s="46" t="str">
        <f t="shared" si="27"/>
        <v>Jordan</v>
      </c>
      <c r="E46" s="1">
        <f>IFERROR(VLOOKUP(Poster!$I51,Lookup03,2,FALSE),"")</f>
        <v>25</v>
      </c>
      <c r="F46" s="45">
        <f>COUNTIF(D$2:D46,G46)+COUNTIF(G$2:G46,G46)</f>
        <v>2</v>
      </c>
      <c r="G46" s="46" t="str">
        <f t="shared" si="28"/>
        <v>Algeria</v>
      </c>
      <c r="H46" s="1" t="str">
        <f>IF(Poster!$F51="","",Poster!$F51)</f>
        <v/>
      </c>
      <c r="I46" s="1" t="str">
        <f>IF(Poster!$H51="","",Poster!$H51)</f>
        <v/>
      </c>
      <c r="J46" s="305"/>
      <c r="K46" s="305"/>
      <c r="L46" s="305"/>
      <c r="M46" s="305"/>
      <c r="N46" s="66" t="str">
        <f t="shared" si="29"/>
        <v/>
      </c>
      <c r="O46" s="65">
        <f t="shared" si="30"/>
        <v>0</v>
      </c>
      <c r="P46" s="89">
        <f t="shared" si="36"/>
        <v>1388</v>
      </c>
      <c r="Q46" s="89">
        <f t="shared" si="37"/>
        <v>1591</v>
      </c>
      <c r="R46" s="92">
        <f t="shared" si="31"/>
        <v>-203</v>
      </c>
      <c r="S46" s="15" t="str">
        <f t="shared" si="32"/>
        <v>T42G2</v>
      </c>
      <c r="T46" s="95" t="str">
        <f t="shared" si="33"/>
        <v/>
      </c>
      <c r="U46" s="15" t="str">
        <f t="shared" si="34"/>
        <v>T25G2</v>
      </c>
      <c r="V46" s="95" t="str">
        <f t="shared" si="35"/>
        <v/>
      </c>
      <c r="W46" s="50">
        <f t="shared" si="8"/>
        <v>0.23555999999999999</v>
      </c>
      <c r="X46" s="50">
        <f t="shared" si="38"/>
        <v>0.1533367568</v>
      </c>
      <c r="Y46" s="50">
        <f t="shared" si="39"/>
        <v>0.16444648640000006</v>
      </c>
      <c r="Z46" s="50">
        <f t="shared" si="40"/>
        <v>0.68221675679999993</v>
      </c>
      <c r="AA46" s="51" t="str">
        <f t="shared" si="41"/>
        <v>11/2</v>
      </c>
      <c r="AB46" s="51" t="str">
        <f t="shared" si="42"/>
        <v>5/1</v>
      </c>
      <c r="AC46" s="51" t="str">
        <f t="shared" si="43"/>
        <v>23/50</v>
      </c>
      <c r="AD46" s="52">
        <f t="shared" si="44"/>
        <v>0</v>
      </c>
      <c r="AE46" s="52">
        <f t="shared" si="45"/>
        <v>0</v>
      </c>
      <c r="AF46" s="52">
        <f t="shared" si="46"/>
        <v>0</v>
      </c>
      <c r="AG46" s="53" t="str">
        <f t="shared" si="47"/>
        <v/>
      </c>
      <c r="AH46" s="53" t="str">
        <f t="shared" si="48"/>
        <v/>
      </c>
      <c r="AI46" s="53" t="str">
        <f t="shared" si="49"/>
        <v/>
      </c>
      <c r="AJ46" s="53" t="str">
        <f t="shared" si="50"/>
        <v/>
      </c>
      <c r="AK46" s="54" t="str">
        <f t="shared" si="51"/>
        <v/>
      </c>
      <c r="AL46" s="54" t="str">
        <f t="shared" si="52"/>
        <v/>
      </c>
      <c r="AM46" s="54" t="str">
        <f t="shared" si="53"/>
        <v/>
      </c>
      <c r="AN46" s="55">
        <f t="shared" si="54"/>
        <v>0.16444648639999998</v>
      </c>
      <c r="AO46" s="124">
        <f>Poster!B51</f>
        <v>46196</v>
      </c>
      <c r="AP46" s="55">
        <f t="shared" si="55"/>
        <v>0.234375</v>
      </c>
    </row>
    <row r="47" spans="1:42" x14ac:dyDescent="0.25">
      <c r="A47" s="44" t="s">
        <v>1320</v>
      </c>
      <c r="B47" s="1">
        <f>IFERROR(VLOOKUP(Poster!$E52,Lookup03,2,FALSE),"")</f>
        <v>5</v>
      </c>
      <c r="C47" s="45">
        <f>COUNTIF(D$2:D47,D47)+COUNTIF(G$2:G47,D47)</f>
        <v>2</v>
      </c>
      <c r="D47" s="46" t="str">
        <f t="shared" si="27"/>
        <v>Portugal</v>
      </c>
      <c r="E47" s="1">
        <f>IFERROR(VLOOKUP(Poster!$I52,Lookup03,2,FALSE),"")</f>
        <v>37</v>
      </c>
      <c r="F47" s="45">
        <f>COUNTIF(D$2:D47,G47)+COUNTIF(G$2:G47,G47)</f>
        <v>2</v>
      </c>
      <c r="G47" s="46" t="str">
        <f t="shared" si="28"/>
        <v>Uzbekistan</v>
      </c>
      <c r="H47" s="1" t="str">
        <f>IF(Poster!$F52="","",Poster!$F52)</f>
        <v/>
      </c>
      <c r="I47" s="1" t="str">
        <f>IF(Poster!$H52="","",Poster!$H52)</f>
        <v/>
      </c>
      <c r="J47" s="305"/>
      <c r="K47" s="305"/>
      <c r="L47" s="305"/>
      <c r="M47" s="305"/>
      <c r="N47" s="66" t="str">
        <f t="shared" si="29"/>
        <v/>
      </c>
      <c r="O47" s="65">
        <f t="shared" si="30"/>
        <v>0</v>
      </c>
      <c r="P47" s="89">
        <f t="shared" si="36"/>
        <v>1798</v>
      </c>
      <c r="Q47" s="89">
        <f t="shared" si="37"/>
        <v>1459</v>
      </c>
      <c r="R47" s="92">
        <f t="shared" si="31"/>
        <v>339</v>
      </c>
      <c r="S47" s="15" t="str">
        <f t="shared" si="32"/>
        <v>T5G2</v>
      </c>
      <c r="T47" s="95" t="str">
        <f t="shared" si="33"/>
        <v/>
      </c>
      <c r="U47" s="15" t="str">
        <f t="shared" si="34"/>
        <v>T37G2</v>
      </c>
      <c r="V47" s="95" t="str">
        <f t="shared" si="35"/>
        <v/>
      </c>
      <c r="W47" s="50">
        <f t="shared" si="8"/>
        <v>0.88624999999999998</v>
      </c>
      <c r="X47" s="50">
        <f t="shared" si="38"/>
        <v>0.84365703125000002</v>
      </c>
      <c r="Y47" s="50">
        <f t="shared" si="39"/>
        <v>8.5185937500000031E-2</v>
      </c>
      <c r="Z47" s="50">
        <f t="shared" si="40"/>
        <v>7.1157031249999975E-2</v>
      </c>
      <c r="AA47" s="51" t="str">
        <f t="shared" si="41"/>
        <v>2/11</v>
      </c>
      <c r="AB47" s="51" t="str">
        <f t="shared" si="42"/>
        <v>21/2</v>
      </c>
      <c r="AC47" s="51" t="str">
        <f t="shared" si="43"/>
        <v>13/1</v>
      </c>
      <c r="AD47" s="52">
        <f t="shared" si="44"/>
        <v>0</v>
      </c>
      <c r="AE47" s="52">
        <f t="shared" si="45"/>
        <v>0</v>
      </c>
      <c r="AF47" s="52">
        <f t="shared" si="46"/>
        <v>0</v>
      </c>
      <c r="AG47" s="53" t="str">
        <f t="shared" si="47"/>
        <v/>
      </c>
      <c r="AH47" s="53" t="str">
        <f t="shared" si="48"/>
        <v/>
      </c>
      <c r="AI47" s="53" t="str">
        <f t="shared" si="49"/>
        <v/>
      </c>
      <c r="AJ47" s="53" t="str">
        <f t="shared" si="50"/>
        <v/>
      </c>
      <c r="AK47" s="54" t="str">
        <f t="shared" si="51"/>
        <v/>
      </c>
      <c r="AL47" s="54" t="str">
        <f t="shared" si="52"/>
        <v/>
      </c>
      <c r="AM47" s="54" t="str">
        <f t="shared" si="53"/>
        <v/>
      </c>
      <c r="AN47" s="55">
        <f t="shared" si="54"/>
        <v>8.5185937500000003E-2</v>
      </c>
      <c r="AO47" s="124">
        <f>Poster!B52</f>
        <v>46196</v>
      </c>
      <c r="AP47" s="55">
        <f t="shared" si="55"/>
        <v>0.234375</v>
      </c>
    </row>
    <row r="48" spans="1:42" x14ac:dyDescent="0.25">
      <c r="A48" s="44" t="s">
        <v>1321</v>
      </c>
      <c r="B48" s="1">
        <f>IFERROR(VLOOKUP(Poster!$E53,Lookup03,2,FALSE),"")</f>
        <v>4</v>
      </c>
      <c r="C48" s="45">
        <f>COUNTIF(D$2:D48,D48)+COUNTIF(G$2:G48,D48)</f>
        <v>2</v>
      </c>
      <c r="D48" s="46" t="str">
        <f t="shared" si="27"/>
        <v>England</v>
      </c>
      <c r="E48" s="1">
        <f>IFERROR(VLOOKUP(Poster!$I53,Lookup03,2,FALSE),"")</f>
        <v>45</v>
      </c>
      <c r="F48" s="45">
        <f>COUNTIF(D$2:D48,G48)+COUNTIF(G$2:G48,G48)</f>
        <v>2</v>
      </c>
      <c r="G48" s="46" t="str">
        <f t="shared" si="28"/>
        <v>Ghana</v>
      </c>
      <c r="H48" s="1" t="str">
        <f>IF(Poster!$F53="","",Poster!$F53)</f>
        <v/>
      </c>
      <c r="I48" s="1" t="str">
        <f>IF(Poster!$H53="","",Poster!$H53)</f>
        <v/>
      </c>
      <c r="J48" s="305"/>
      <c r="K48" s="305"/>
      <c r="L48" s="305"/>
      <c r="M48" s="305"/>
      <c r="N48" s="66" t="str">
        <f t="shared" si="29"/>
        <v/>
      </c>
      <c r="O48" s="65">
        <f t="shared" si="30"/>
        <v>0</v>
      </c>
      <c r="P48" s="89">
        <f t="shared" si="36"/>
        <v>1803</v>
      </c>
      <c r="Q48" s="89">
        <f t="shared" si="37"/>
        <v>1447</v>
      </c>
      <c r="R48" s="92">
        <f t="shared" si="31"/>
        <v>356</v>
      </c>
      <c r="S48" s="15" t="str">
        <f t="shared" si="32"/>
        <v>T4G2</v>
      </c>
      <c r="T48" s="95" t="str">
        <f t="shared" si="33"/>
        <v/>
      </c>
      <c r="U48" s="15" t="str">
        <f t="shared" si="34"/>
        <v>T45G2</v>
      </c>
      <c r="V48" s="95" t="str">
        <f t="shared" si="35"/>
        <v/>
      </c>
      <c r="W48" s="50">
        <f t="shared" si="8"/>
        <v>0.89646999999999999</v>
      </c>
      <c r="X48" s="50">
        <f t="shared" si="38"/>
        <v>0.85787673045000001</v>
      </c>
      <c r="Y48" s="50">
        <f t="shared" si="39"/>
        <v>7.7186539100000062E-2</v>
      </c>
      <c r="Z48" s="50">
        <f t="shared" si="40"/>
        <v>6.493673044999998E-2</v>
      </c>
      <c r="AA48" s="51" t="str">
        <f t="shared" si="41"/>
        <v>2/13</v>
      </c>
      <c r="AB48" s="51" t="str">
        <f t="shared" si="42"/>
        <v>23/2</v>
      </c>
      <c r="AC48" s="51" t="str">
        <f t="shared" si="43"/>
        <v>14/1</v>
      </c>
      <c r="AD48" s="52">
        <f t="shared" si="44"/>
        <v>0</v>
      </c>
      <c r="AE48" s="52">
        <f t="shared" si="45"/>
        <v>0</v>
      </c>
      <c r="AF48" s="52">
        <f t="shared" si="46"/>
        <v>0</v>
      </c>
      <c r="AG48" s="53" t="str">
        <f t="shared" si="47"/>
        <v/>
      </c>
      <c r="AH48" s="53" t="str">
        <f t="shared" si="48"/>
        <v/>
      </c>
      <c r="AI48" s="53" t="str">
        <f t="shared" si="49"/>
        <v/>
      </c>
      <c r="AJ48" s="53" t="str">
        <f t="shared" si="50"/>
        <v/>
      </c>
      <c r="AK48" s="54" t="str">
        <f t="shared" si="51"/>
        <v/>
      </c>
      <c r="AL48" s="54" t="str">
        <f t="shared" si="52"/>
        <v/>
      </c>
      <c r="AM48" s="54" t="str">
        <f t="shared" si="53"/>
        <v/>
      </c>
      <c r="AN48" s="55">
        <f t="shared" si="54"/>
        <v>7.7186539100000007E-2</v>
      </c>
      <c r="AO48" s="124">
        <f>Poster!B53</f>
        <v>46196</v>
      </c>
      <c r="AP48" s="55">
        <f t="shared" si="55"/>
        <v>0.234375</v>
      </c>
    </row>
    <row r="49" spans="1:42" x14ac:dyDescent="0.25">
      <c r="A49" s="44" t="s">
        <v>1322</v>
      </c>
      <c r="B49" s="1">
        <f>IFERROR(VLOOKUP(Poster!$E54,Lookup03,2,FALSE),"")</f>
        <v>30</v>
      </c>
      <c r="C49" s="45">
        <f>COUNTIF(D$2:D49,D49)+COUNTIF(G$2:G49,D49)</f>
        <v>2</v>
      </c>
      <c r="D49" s="46" t="str">
        <f t="shared" si="27"/>
        <v>Panama</v>
      </c>
      <c r="E49" s="1">
        <f>IFERROR(VLOOKUP(Poster!$I54,Lookup03,2,FALSE),"")</f>
        <v>11</v>
      </c>
      <c r="F49" s="45">
        <f>COUNTIF(D$2:D49,G49)+COUNTIF(G$2:G49,G49)</f>
        <v>2</v>
      </c>
      <c r="G49" s="46" t="str">
        <f t="shared" si="28"/>
        <v>Croatia</v>
      </c>
      <c r="H49" s="1" t="str">
        <f>IF(Poster!$F54="","",Poster!$F54)</f>
        <v/>
      </c>
      <c r="I49" s="1" t="str">
        <f>IF(Poster!$H54="","",Poster!$H54)</f>
        <v/>
      </c>
      <c r="J49" s="305"/>
      <c r="K49" s="305"/>
      <c r="L49" s="305"/>
      <c r="M49" s="305"/>
      <c r="N49" s="66" t="str">
        <f t="shared" si="29"/>
        <v/>
      </c>
      <c r="O49" s="65">
        <f t="shared" si="30"/>
        <v>0</v>
      </c>
      <c r="P49" s="89">
        <f t="shared" si="36"/>
        <v>1569</v>
      </c>
      <c r="Q49" s="89">
        <f t="shared" si="37"/>
        <v>1695</v>
      </c>
      <c r="R49" s="92">
        <f t="shared" si="31"/>
        <v>-126</v>
      </c>
      <c r="S49" s="15" t="str">
        <f t="shared" si="32"/>
        <v>T30G2</v>
      </c>
      <c r="T49" s="95" t="str">
        <f t="shared" si="33"/>
        <v/>
      </c>
      <c r="U49" s="15" t="str">
        <f t="shared" si="34"/>
        <v>T11G2</v>
      </c>
      <c r="V49" s="95" t="str">
        <f t="shared" si="35"/>
        <v/>
      </c>
      <c r="W49" s="50">
        <f t="shared" si="8"/>
        <v>0.32624999999999998</v>
      </c>
      <c r="X49" s="50">
        <f t="shared" si="38"/>
        <v>0.22415703124999997</v>
      </c>
      <c r="Y49" s="50">
        <f t="shared" si="39"/>
        <v>0.20418593750000003</v>
      </c>
      <c r="Z49" s="50">
        <f t="shared" si="40"/>
        <v>0.57165703125</v>
      </c>
      <c r="AA49" s="51" t="str">
        <f t="shared" si="41"/>
        <v>10/3</v>
      </c>
      <c r="AB49" s="51" t="str">
        <f t="shared" si="42"/>
        <v>7/2</v>
      </c>
      <c r="AC49" s="51" t="str">
        <f t="shared" si="43"/>
        <v>37/50</v>
      </c>
      <c r="AD49" s="52">
        <f t="shared" si="44"/>
        <v>0</v>
      </c>
      <c r="AE49" s="52">
        <f t="shared" si="45"/>
        <v>0</v>
      </c>
      <c r="AF49" s="52">
        <f t="shared" si="46"/>
        <v>0</v>
      </c>
      <c r="AG49" s="53" t="str">
        <f t="shared" si="47"/>
        <v/>
      </c>
      <c r="AH49" s="53" t="str">
        <f t="shared" si="48"/>
        <v/>
      </c>
      <c r="AI49" s="53" t="str">
        <f t="shared" si="49"/>
        <v/>
      </c>
      <c r="AJ49" s="53" t="str">
        <f t="shared" si="50"/>
        <v/>
      </c>
      <c r="AK49" s="54" t="str">
        <f t="shared" si="51"/>
        <v/>
      </c>
      <c r="AL49" s="54" t="str">
        <f t="shared" si="52"/>
        <v/>
      </c>
      <c r="AM49" s="54" t="str">
        <f t="shared" si="53"/>
        <v/>
      </c>
      <c r="AN49" s="55">
        <f t="shared" si="54"/>
        <v>0.2041859375</v>
      </c>
      <c r="AO49" s="124">
        <f>Poster!B54</f>
        <v>46197</v>
      </c>
      <c r="AP49" s="55">
        <f t="shared" si="55"/>
        <v>0.234375</v>
      </c>
    </row>
    <row r="50" spans="1:42" x14ac:dyDescent="0.25">
      <c r="A50" s="44" t="s">
        <v>1323</v>
      </c>
      <c r="B50" s="1">
        <f>IFERROR(VLOOKUP(Poster!$E55,Lookup03,2,FALSE),"")</f>
        <v>12</v>
      </c>
      <c r="C50" s="45">
        <f>COUNTIF(D$2:D50,D50)+COUNTIF(G$2:G50,D50)</f>
        <v>2</v>
      </c>
      <c r="D50" s="46" t="str">
        <f t="shared" si="27"/>
        <v>Colombia</v>
      </c>
      <c r="E50" s="1">
        <f>IFERROR(VLOOKUP(Poster!$I55,Lookup03,2,FALSE),"")</f>
        <v>36</v>
      </c>
      <c r="F50" s="45">
        <f>COUNTIF(D$2:D50,G50)+COUNTIF(G$2:G50,G50)</f>
        <v>2</v>
      </c>
      <c r="G50" s="46" t="str">
        <f t="shared" si="28"/>
        <v>Congo DR</v>
      </c>
      <c r="H50" s="1" t="str">
        <f>IF(Poster!$F55="","",Poster!$F55)</f>
        <v/>
      </c>
      <c r="I50" s="1" t="str">
        <f>IF(Poster!$H55="","",Poster!$H55)</f>
        <v/>
      </c>
      <c r="J50" s="305"/>
      <c r="K50" s="305"/>
      <c r="L50" s="305"/>
      <c r="M50" s="305"/>
      <c r="N50" s="66" t="str">
        <f t="shared" si="29"/>
        <v/>
      </c>
      <c r="O50" s="65">
        <f t="shared" si="30"/>
        <v>0</v>
      </c>
      <c r="P50" s="89">
        <f t="shared" si="36"/>
        <v>1723</v>
      </c>
      <c r="Q50" s="89">
        <f t="shared" si="37"/>
        <v>1474</v>
      </c>
      <c r="R50" s="92">
        <f t="shared" si="31"/>
        <v>249</v>
      </c>
      <c r="S50" s="15" t="str">
        <f t="shared" si="32"/>
        <v>T12G2</v>
      </c>
      <c r="T50" s="95" t="str">
        <f t="shared" si="33"/>
        <v/>
      </c>
      <c r="U50" s="15" t="str">
        <f t="shared" si="34"/>
        <v>T36G2</v>
      </c>
      <c r="V50" s="95" t="str">
        <f t="shared" si="35"/>
        <v/>
      </c>
      <c r="W50" s="50">
        <f t="shared" si="8"/>
        <v>0.81272999999999995</v>
      </c>
      <c r="X50" s="50">
        <f t="shared" si="38"/>
        <v>0.74444252644999998</v>
      </c>
      <c r="Y50" s="50">
        <f t="shared" si="39"/>
        <v>0.13657494710000007</v>
      </c>
      <c r="Z50" s="50">
        <f t="shared" si="40"/>
        <v>0.11898252645000001</v>
      </c>
      <c r="AA50" s="51" t="str">
        <f t="shared" si="41"/>
        <v>17/50</v>
      </c>
      <c r="AB50" s="51" t="str">
        <f t="shared" si="42"/>
        <v>6/1</v>
      </c>
      <c r="AC50" s="51" t="str">
        <f t="shared" si="43"/>
        <v>7/1</v>
      </c>
      <c r="AD50" s="52">
        <f t="shared" si="44"/>
        <v>0</v>
      </c>
      <c r="AE50" s="52">
        <f t="shared" si="45"/>
        <v>0</v>
      </c>
      <c r="AF50" s="52">
        <f t="shared" si="46"/>
        <v>0</v>
      </c>
      <c r="AG50" s="53" t="str">
        <f t="shared" si="47"/>
        <v/>
      </c>
      <c r="AH50" s="53" t="str">
        <f t="shared" si="48"/>
        <v/>
      </c>
      <c r="AI50" s="53" t="str">
        <f t="shared" si="49"/>
        <v/>
      </c>
      <c r="AJ50" s="53" t="str">
        <f t="shared" si="50"/>
        <v/>
      </c>
      <c r="AK50" s="54" t="str">
        <f t="shared" si="51"/>
        <v/>
      </c>
      <c r="AL50" s="54" t="str">
        <f t="shared" si="52"/>
        <v/>
      </c>
      <c r="AM50" s="54" t="str">
        <f t="shared" si="53"/>
        <v/>
      </c>
      <c r="AN50" s="55">
        <f t="shared" si="54"/>
        <v>0.13657494710000001</v>
      </c>
      <c r="AO50" s="124">
        <f>Poster!B55</f>
        <v>46197</v>
      </c>
      <c r="AP50" s="55">
        <f t="shared" si="55"/>
        <v>0.234375</v>
      </c>
    </row>
    <row r="51" spans="1:42" x14ac:dyDescent="0.25">
      <c r="A51" s="44" t="s">
        <v>1324</v>
      </c>
      <c r="B51" s="1">
        <f>IFERROR(VLOOKUP(Poster!$E56,Lookup03,2,FALSE),"")</f>
        <v>18</v>
      </c>
      <c r="C51" s="45">
        <f>COUNTIF(D$2:D51,D51)+COUNTIF(G$2:G51,D51)</f>
        <v>3</v>
      </c>
      <c r="D51" s="46" t="str">
        <f t="shared" si="27"/>
        <v>Switzerland</v>
      </c>
      <c r="E51" s="1">
        <f>IFERROR(VLOOKUP(Poster!$I56,Lookup03,2,FALSE),"")</f>
        <v>27</v>
      </c>
      <c r="F51" s="45">
        <f>COUNTIF(D$2:D51,G51)+COUNTIF(G$2:G51,G51)</f>
        <v>3</v>
      </c>
      <c r="G51" s="46" t="str">
        <f t="shared" si="28"/>
        <v>Canada</v>
      </c>
      <c r="H51" s="1" t="str">
        <f>IF(Poster!$F56="","",Poster!$F56)</f>
        <v/>
      </c>
      <c r="I51" s="1" t="str">
        <f>IF(Poster!$H56="","",Poster!$H56)</f>
        <v/>
      </c>
      <c r="J51" s="305"/>
      <c r="K51" s="305"/>
      <c r="L51" s="305"/>
      <c r="M51" s="305"/>
      <c r="N51" s="66" t="str">
        <f t="shared" si="29"/>
        <v/>
      </c>
      <c r="O51" s="65">
        <f t="shared" si="30"/>
        <v>0</v>
      </c>
      <c r="P51" s="89">
        <f t="shared" si="36"/>
        <v>1646.0833500000001</v>
      </c>
      <c r="Q51" s="89">
        <f t="shared" si="37"/>
        <v>1581.7334000000001</v>
      </c>
      <c r="R51" s="92">
        <f t="shared" si="31"/>
        <v>64.349950000000035</v>
      </c>
      <c r="S51" s="15" t="str">
        <f t="shared" si="32"/>
        <v>T18G3</v>
      </c>
      <c r="T51" s="95" t="str">
        <f t="shared" si="33"/>
        <v/>
      </c>
      <c r="U51" s="15" t="str">
        <f t="shared" si="34"/>
        <v>T27G3</v>
      </c>
      <c r="V51" s="95" t="str">
        <f t="shared" si="35"/>
        <v/>
      </c>
      <c r="W51" s="50">
        <f t="shared" si="8"/>
        <v>0.59286000000000005</v>
      </c>
      <c r="X51" s="50">
        <f t="shared" si="38"/>
        <v>0.47998398980000007</v>
      </c>
      <c r="Y51" s="50">
        <f t="shared" si="39"/>
        <v>0.22575202039999992</v>
      </c>
      <c r="Z51" s="50">
        <f t="shared" si="40"/>
        <v>0.29426398980000001</v>
      </c>
      <c r="AA51" s="51" t="str">
        <f t="shared" si="41"/>
        <v>21/20</v>
      </c>
      <c r="AB51" s="51" t="str">
        <f t="shared" si="42"/>
        <v>10/3</v>
      </c>
      <c r="AC51" s="51" t="str">
        <f t="shared" si="43"/>
        <v>23/10</v>
      </c>
      <c r="AD51" s="52">
        <f t="shared" si="44"/>
        <v>0</v>
      </c>
      <c r="AE51" s="52">
        <f t="shared" si="45"/>
        <v>0</v>
      </c>
      <c r="AF51" s="52">
        <f t="shared" si="46"/>
        <v>0</v>
      </c>
      <c r="AG51" s="53" t="str">
        <f t="shared" si="47"/>
        <v/>
      </c>
      <c r="AH51" s="53" t="str">
        <f t="shared" si="48"/>
        <v/>
      </c>
      <c r="AI51" s="53" t="str">
        <f t="shared" si="49"/>
        <v/>
      </c>
      <c r="AJ51" s="53" t="str">
        <f t="shared" si="50"/>
        <v/>
      </c>
      <c r="AK51" s="54" t="str">
        <f t="shared" si="51"/>
        <v/>
      </c>
      <c r="AL51" s="54" t="str">
        <f t="shared" si="52"/>
        <v/>
      </c>
      <c r="AM51" s="54" t="str">
        <f t="shared" si="53"/>
        <v/>
      </c>
      <c r="AN51" s="55">
        <f t="shared" si="54"/>
        <v>0.2257520204</v>
      </c>
      <c r="AO51" s="124">
        <f>Poster!B56</f>
        <v>46197</v>
      </c>
      <c r="AP51" s="55">
        <f t="shared" si="55"/>
        <v>0.234375</v>
      </c>
    </row>
    <row r="52" spans="1:42" x14ac:dyDescent="0.25">
      <c r="A52" s="44" t="s">
        <v>1325</v>
      </c>
      <c r="B52" s="1">
        <f>IFERROR(VLOOKUP(Poster!$E57,Lookup03,2,FALSE),"")</f>
        <v>43</v>
      </c>
      <c r="C52" s="45">
        <f>COUNTIF(D$2:D52,D52)+COUNTIF(G$2:G52,D52)</f>
        <v>3</v>
      </c>
      <c r="D52" s="46" t="str">
        <f t="shared" si="27"/>
        <v>Bosnia-Herzegovina</v>
      </c>
      <c r="E52" s="1">
        <f>IFERROR(VLOOKUP(Poster!$I57,Lookup03,2,FALSE),"")</f>
        <v>38</v>
      </c>
      <c r="F52" s="45">
        <f>COUNTIF(D$2:D52,G52)+COUNTIF(G$2:G52,G52)</f>
        <v>3</v>
      </c>
      <c r="G52" s="46" t="str">
        <f t="shared" si="28"/>
        <v>Qatar</v>
      </c>
      <c r="H52" s="1" t="str">
        <f>IF(Poster!$F57="","",Poster!$F57)</f>
        <v/>
      </c>
      <c r="I52" s="1" t="str">
        <f>IF(Poster!$H57="","",Poster!$H57)</f>
        <v/>
      </c>
      <c r="J52" s="305"/>
      <c r="K52" s="305"/>
      <c r="L52" s="305"/>
      <c r="M52" s="305"/>
      <c r="N52" s="66" t="str">
        <f t="shared" si="29"/>
        <v/>
      </c>
      <c r="O52" s="65">
        <f t="shared" si="30"/>
        <v>0</v>
      </c>
      <c r="P52" s="89">
        <f t="shared" si="36"/>
        <v>1410.6333</v>
      </c>
      <c r="Q52" s="89">
        <f t="shared" si="37"/>
        <v>1457.8333</v>
      </c>
      <c r="R52" s="92">
        <f t="shared" si="31"/>
        <v>-47.200000000000045</v>
      </c>
      <c r="S52" s="15" t="str">
        <f t="shared" si="32"/>
        <v>T43G3</v>
      </c>
      <c r="T52" s="95" t="str">
        <f t="shared" si="33"/>
        <v/>
      </c>
      <c r="U52" s="15" t="str">
        <f t="shared" si="34"/>
        <v>T38G3</v>
      </c>
      <c r="V52" s="95" t="str">
        <f t="shared" si="35"/>
        <v/>
      </c>
      <c r="W52" s="50">
        <f t="shared" si="8"/>
        <v>0.43</v>
      </c>
      <c r="X52" s="50">
        <f t="shared" si="38"/>
        <v>0.3152625</v>
      </c>
      <c r="Y52" s="50">
        <f t="shared" si="39"/>
        <v>0.22947499999999998</v>
      </c>
      <c r="Z52" s="50">
        <f t="shared" si="40"/>
        <v>0.45526250000000001</v>
      </c>
      <c r="AA52" s="51" t="str">
        <f t="shared" si="41"/>
        <v>21/10</v>
      </c>
      <c r="AB52" s="51" t="str">
        <f t="shared" si="42"/>
        <v>10/3</v>
      </c>
      <c r="AC52" s="51" t="str">
        <f t="shared" si="43"/>
        <v>11/10</v>
      </c>
      <c r="AD52" s="52">
        <f t="shared" si="44"/>
        <v>0</v>
      </c>
      <c r="AE52" s="52">
        <f t="shared" si="45"/>
        <v>0</v>
      </c>
      <c r="AF52" s="52">
        <f t="shared" si="46"/>
        <v>0</v>
      </c>
      <c r="AG52" s="53" t="str">
        <f t="shared" si="47"/>
        <v/>
      </c>
      <c r="AH52" s="53" t="str">
        <f t="shared" si="48"/>
        <v/>
      </c>
      <c r="AI52" s="53" t="str">
        <f t="shared" si="49"/>
        <v/>
      </c>
      <c r="AJ52" s="53" t="str">
        <f t="shared" si="50"/>
        <v/>
      </c>
      <c r="AK52" s="54" t="str">
        <f t="shared" si="51"/>
        <v/>
      </c>
      <c r="AL52" s="54" t="str">
        <f t="shared" si="52"/>
        <v/>
      </c>
      <c r="AM52" s="54" t="str">
        <f t="shared" si="53"/>
        <v/>
      </c>
      <c r="AN52" s="55">
        <f t="shared" si="54"/>
        <v>0.22947500000000001</v>
      </c>
      <c r="AO52" s="124">
        <f>Poster!B57</f>
        <v>46197</v>
      </c>
      <c r="AP52" s="55">
        <f t="shared" si="55"/>
        <v>0.234375</v>
      </c>
    </row>
    <row r="53" spans="1:42" x14ac:dyDescent="0.25">
      <c r="A53" s="44" t="s">
        <v>1326</v>
      </c>
      <c r="B53" s="1">
        <f>IFERROR(VLOOKUP(Poster!$E58,Lookup03,2,FALSE),"")</f>
        <v>34</v>
      </c>
      <c r="C53" s="45">
        <f>COUNTIF(D$2:D53,D53)+COUNTIF(G$2:G53,D53)</f>
        <v>3</v>
      </c>
      <c r="D53" s="46" t="str">
        <f t="shared" si="27"/>
        <v>Scotland</v>
      </c>
      <c r="E53" s="1">
        <f>IFERROR(VLOOKUP(Poster!$I58,Lookup03,2,FALSE),"")</f>
        <v>6</v>
      </c>
      <c r="F53" s="45">
        <f>COUNTIF(D$2:D53,G53)+COUNTIF(G$2:G53,G53)</f>
        <v>3</v>
      </c>
      <c r="G53" s="46" t="str">
        <f t="shared" si="28"/>
        <v>Brazil</v>
      </c>
      <c r="H53" s="1" t="str">
        <f>IF(Poster!$F58="","",Poster!$F58)</f>
        <v/>
      </c>
      <c r="I53" s="1" t="str">
        <f>IF(Poster!$H58="","",Poster!$H58)</f>
        <v/>
      </c>
      <c r="J53" s="305"/>
      <c r="K53" s="305"/>
      <c r="L53" s="305"/>
      <c r="M53" s="305"/>
      <c r="N53" s="66" t="str">
        <f t="shared" si="29"/>
        <v/>
      </c>
      <c r="O53" s="65">
        <f t="shared" si="30"/>
        <v>0</v>
      </c>
      <c r="P53" s="89">
        <f t="shared" si="36"/>
        <v>1535.9549999999999</v>
      </c>
      <c r="Q53" s="89">
        <f t="shared" si="37"/>
        <v>1784.0571</v>
      </c>
      <c r="R53" s="92">
        <f t="shared" si="31"/>
        <v>-248.10210000000006</v>
      </c>
      <c r="S53" s="15" t="str">
        <f t="shared" si="32"/>
        <v>T34G3</v>
      </c>
      <c r="T53" s="95" t="str">
        <f t="shared" si="33"/>
        <v/>
      </c>
      <c r="U53" s="15" t="str">
        <f t="shared" si="34"/>
        <v>T6G3</v>
      </c>
      <c r="V53" s="95" t="str">
        <f t="shared" si="35"/>
        <v/>
      </c>
      <c r="W53" s="50">
        <f t="shared" si="8"/>
        <v>0.18817999999999999</v>
      </c>
      <c r="X53" s="50">
        <f t="shared" si="38"/>
        <v>0.11960835619999999</v>
      </c>
      <c r="Y53" s="50">
        <f t="shared" si="39"/>
        <v>0.13714328759999994</v>
      </c>
      <c r="Z53" s="50">
        <f t="shared" si="40"/>
        <v>0.74324835620000007</v>
      </c>
      <c r="AA53" s="51" t="str">
        <f t="shared" si="41"/>
        <v>7/1</v>
      </c>
      <c r="AB53" s="51" t="str">
        <f t="shared" si="42"/>
        <v>6/1</v>
      </c>
      <c r="AC53" s="51" t="str">
        <f t="shared" si="43"/>
        <v>17/50</v>
      </c>
      <c r="AD53" s="52">
        <f t="shared" si="44"/>
        <v>0</v>
      </c>
      <c r="AE53" s="52">
        <f t="shared" si="45"/>
        <v>0</v>
      </c>
      <c r="AF53" s="52">
        <f t="shared" si="46"/>
        <v>0</v>
      </c>
      <c r="AG53" s="53" t="str">
        <f t="shared" si="47"/>
        <v/>
      </c>
      <c r="AH53" s="53" t="str">
        <f t="shared" si="48"/>
        <v/>
      </c>
      <c r="AI53" s="53" t="str">
        <f t="shared" si="49"/>
        <v/>
      </c>
      <c r="AJ53" s="53" t="str">
        <f t="shared" si="50"/>
        <v/>
      </c>
      <c r="AK53" s="54" t="str">
        <f t="shared" si="51"/>
        <v/>
      </c>
      <c r="AL53" s="54" t="str">
        <f t="shared" si="52"/>
        <v/>
      </c>
      <c r="AM53" s="54" t="str">
        <f t="shared" si="53"/>
        <v/>
      </c>
      <c r="AN53" s="55">
        <f t="shared" si="54"/>
        <v>0.1371432876</v>
      </c>
      <c r="AO53" s="124">
        <f>Poster!B58</f>
        <v>46197</v>
      </c>
      <c r="AP53" s="55">
        <f t="shared" si="55"/>
        <v>0.234375</v>
      </c>
    </row>
    <row r="54" spans="1:42" x14ac:dyDescent="0.25">
      <c r="A54" s="44" t="s">
        <v>1327</v>
      </c>
      <c r="B54" s="1">
        <f>IFERROR(VLOOKUP(Poster!$E59,Lookup03,2,FALSE),"")</f>
        <v>7</v>
      </c>
      <c r="C54" s="45">
        <f>COUNTIF(D$2:D54,D54)+COUNTIF(G$2:G54,D54)</f>
        <v>3</v>
      </c>
      <c r="D54" s="46" t="str">
        <f t="shared" si="27"/>
        <v>Morocco</v>
      </c>
      <c r="E54" s="1">
        <f>IFERROR(VLOOKUP(Poster!$I59,Lookup03,2,FALSE),"")</f>
        <v>47</v>
      </c>
      <c r="F54" s="45">
        <f>COUNTIF(D$2:D54,G54)+COUNTIF(G$2:G54,G54)</f>
        <v>3</v>
      </c>
      <c r="G54" s="46" t="str">
        <f t="shared" si="28"/>
        <v>Haiti</v>
      </c>
      <c r="H54" s="1" t="str">
        <f>IF(Poster!$F59="","",Poster!$F59)</f>
        <v/>
      </c>
      <c r="I54" s="1" t="str">
        <f>IF(Poster!$H59="","",Poster!$H59)</f>
        <v/>
      </c>
      <c r="J54" s="305"/>
      <c r="K54" s="305"/>
      <c r="L54" s="305"/>
      <c r="M54" s="305"/>
      <c r="N54" s="66" t="str">
        <f t="shared" si="29"/>
        <v/>
      </c>
      <c r="O54" s="65">
        <f t="shared" si="30"/>
        <v>0</v>
      </c>
      <c r="P54" s="89">
        <f t="shared" si="36"/>
        <v>1696.97145</v>
      </c>
      <c r="Q54" s="89">
        <f t="shared" si="37"/>
        <v>1287.0899999999999</v>
      </c>
      <c r="R54" s="92">
        <f t="shared" si="31"/>
        <v>409.88145000000009</v>
      </c>
      <c r="S54" s="15" t="str">
        <f t="shared" si="32"/>
        <v>T7G3</v>
      </c>
      <c r="T54" s="95" t="str">
        <f t="shared" si="33"/>
        <v/>
      </c>
      <c r="U54" s="15" t="str">
        <f t="shared" si="34"/>
        <v>T47G3</v>
      </c>
      <c r="V54" s="95" t="str">
        <f t="shared" si="35"/>
        <v/>
      </c>
      <c r="W54" s="50">
        <f t="shared" si="8"/>
        <v>0.92849999999999999</v>
      </c>
      <c r="X54" s="50">
        <f t="shared" si="38"/>
        <v>0.90311862499999995</v>
      </c>
      <c r="Y54" s="50">
        <f t="shared" si="39"/>
        <v>5.0762749999999968E-2</v>
      </c>
      <c r="Z54" s="50">
        <f t="shared" si="40"/>
        <v>4.6118625000000052E-2</v>
      </c>
      <c r="AA54" s="51" t="str">
        <f t="shared" si="41"/>
        <v>1/10</v>
      </c>
      <c r="AB54" s="51" t="str">
        <f t="shared" si="42"/>
        <v>37/2</v>
      </c>
      <c r="AC54" s="51" t="str">
        <f t="shared" si="43"/>
        <v>20/1</v>
      </c>
      <c r="AD54" s="52">
        <f t="shared" si="44"/>
        <v>0</v>
      </c>
      <c r="AE54" s="52">
        <f t="shared" si="45"/>
        <v>0</v>
      </c>
      <c r="AF54" s="52">
        <f t="shared" si="46"/>
        <v>0</v>
      </c>
      <c r="AG54" s="53" t="str">
        <f t="shared" si="47"/>
        <v/>
      </c>
      <c r="AH54" s="53" t="str">
        <f t="shared" si="48"/>
        <v/>
      </c>
      <c r="AI54" s="53" t="str">
        <f t="shared" si="49"/>
        <v/>
      </c>
      <c r="AJ54" s="53" t="str">
        <f t="shared" si="50"/>
        <v/>
      </c>
      <c r="AK54" s="54" t="str">
        <f t="shared" si="51"/>
        <v/>
      </c>
      <c r="AL54" s="54" t="str">
        <f t="shared" si="52"/>
        <v/>
      </c>
      <c r="AM54" s="54" t="str">
        <f t="shared" si="53"/>
        <v/>
      </c>
      <c r="AN54" s="55">
        <f t="shared" si="54"/>
        <v>5.0762749999999995E-2</v>
      </c>
      <c r="AO54" s="124">
        <f>Poster!B59</f>
        <v>46197</v>
      </c>
      <c r="AP54" s="55">
        <f t="shared" si="55"/>
        <v>0.234375</v>
      </c>
    </row>
    <row r="55" spans="1:42" x14ac:dyDescent="0.25">
      <c r="A55" s="44" t="s">
        <v>1328</v>
      </c>
      <c r="B55" s="1">
        <f>IFERROR(VLOOKUP(Poster!$E60,Lookup03,2,FALSE),"")</f>
        <v>32</v>
      </c>
      <c r="C55" s="45">
        <f>COUNTIF(D$2:D55,D55)+COUNTIF(G$2:G55,D55)</f>
        <v>3</v>
      </c>
      <c r="D55" s="46" t="str">
        <f t="shared" si="27"/>
        <v>Czechia</v>
      </c>
      <c r="E55" s="1">
        <f>IFERROR(VLOOKUP(Poster!$I60,Lookup03,2,FALSE),"")</f>
        <v>13</v>
      </c>
      <c r="F55" s="45">
        <f>COUNTIF(D$2:D55,G55)+COUNTIF(G$2:G55,G55)</f>
        <v>3</v>
      </c>
      <c r="G55" s="46" t="str">
        <f t="shared" si="28"/>
        <v>Mexico</v>
      </c>
      <c r="H55" s="1" t="str">
        <f>IF(Poster!$F60="","",Poster!$F60)</f>
        <v/>
      </c>
      <c r="I55" s="1" t="str">
        <f>IF(Poster!$H60="","",Poster!$H60)</f>
        <v/>
      </c>
      <c r="J55" s="305"/>
      <c r="K55" s="305"/>
      <c r="L55" s="305"/>
      <c r="M55" s="305"/>
      <c r="N55" s="66" t="str">
        <f t="shared" si="29"/>
        <v/>
      </c>
      <c r="O55" s="65">
        <f t="shared" si="30"/>
        <v>0</v>
      </c>
      <c r="P55" s="89">
        <f t="shared" si="36"/>
        <v>1500.3375000000001</v>
      </c>
      <c r="Q55" s="89">
        <f t="shared" si="37"/>
        <v>1706.9365</v>
      </c>
      <c r="R55" s="92">
        <f t="shared" si="31"/>
        <v>-206.59899999999993</v>
      </c>
      <c r="S55" s="15" t="str">
        <f t="shared" si="32"/>
        <v>T32G3</v>
      </c>
      <c r="T55" s="95" t="str">
        <f t="shared" si="33"/>
        <v/>
      </c>
      <c r="U55" s="15" t="str">
        <f t="shared" si="34"/>
        <v>T13G3</v>
      </c>
      <c r="V55" s="95" t="str">
        <f t="shared" si="35"/>
        <v/>
      </c>
      <c r="W55" s="50">
        <f t="shared" si="8"/>
        <v>0.23111000000000001</v>
      </c>
      <c r="X55" s="50">
        <f t="shared" si="38"/>
        <v>0.15007341604999999</v>
      </c>
      <c r="Y55" s="50">
        <f t="shared" si="39"/>
        <v>0.16207316790000006</v>
      </c>
      <c r="Z55" s="50">
        <f t="shared" si="40"/>
        <v>0.68785341604999994</v>
      </c>
      <c r="AA55" s="51" t="str">
        <f t="shared" si="41"/>
        <v>11/2</v>
      </c>
      <c r="AB55" s="51" t="str">
        <f t="shared" si="42"/>
        <v>5/1</v>
      </c>
      <c r="AC55" s="51" t="str">
        <f t="shared" si="43"/>
        <v>4/9</v>
      </c>
      <c r="AD55" s="52">
        <f t="shared" si="44"/>
        <v>0</v>
      </c>
      <c r="AE55" s="52">
        <f t="shared" si="45"/>
        <v>0</v>
      </c>
      <c r="AF55" s="52">
        <f t="shared" si="46"/>
        <v>0</v>
      </c>
      <c r="AG55" s="53" t="str">
        <f t="shared" si="47"/>
        <v/>
      </c>
      <c r="AH55" s="53" t="str">
        <f t="shared" si="48"/>
        <v/>
      </c>
      <c r="AI55" s="53" t="str">
        <f t="shared" si="49"/>
        <v/>
      </c>
      <c r="AJ55" s="53" t="str">
        <f t="shared" si="50"/>
        <v/>
      </c>
      <c r="AK55" s="54" t="str">
        <f t="shared" si="51"/>
        <v/>
      </c>
      <c r="AL55" s="54" t="str">
        <f t="shared" si="52"/>
        <v/>
      </c>
      <c r="AM55" s="54" t="str">
        <f t="shared" si="53"/>
        <v/>
      </c>
      <c r="AN55" s="55">
        <f t="shared" si="54"/>
        <v>0.16207316790000004</v>
      </c>
      <c r="AO55" s="124">
        <f>Poster!B60</f>
        <v>46198</v>
      </c>
      <c r="AP55" s="55">
        <f t="shared" si="55"/>
        <v>0.234375</v>
      </c>
    </row>
    <row r="56" spans="1:42" x14ac:dyDescent="0.25">
      <c r="A56" s="44" t="s">
        <v>1329</v>
      </c>
      <c r="B56" s="1">
        <f>IFERROR(VLOOKUP(Poster!$E61,Lookup03,2,FALSE),"")</f>
        <v>40</v>
      </c>
      <c r="C56" s="45">
        <f>COUNTIF(D$2:D56,D56)+COUNTIF(G$2:G56,D56)</f>
        <v>3</v>
      </c>
      <c r="D56" s="46" t="str">
        <f t="shared" si="27"/>
        <v>South Africa</v>
      </c>
      <c r="E56" s="1">
        <f>IFERROR(VLOOKUP(Poster!$I61,Lookup03,2,FALSE),"")</f>
        <v>23</v>
      </c>
      <c r="F56" s="45">
        <f>COUNTIF(D$2:D56,G56)+COUNTIF(G$2:G56,G56)</f>
        <v>3</v>
      </c>
      <c r="G56" s="46" t="str">
        <f t="shared" si="28"/>
        <v>Korea Republic</v>
      </c>
      <c r="H56" s="1" t="str">
        <f>IF(Poster!$F61="","",Poster!$F61)</f>
        <v/>
      </c>
      <c r="I56" s="1" t="str">
        <f>IF(Poster!$H61="","",Poster!$H61)</f>
        <v/>
      </c>
      <c r="J56" s="305"/>
      <c r="K56" s="305"/>
      <c r="L56" s="305"/>
      <c r="M56" s="305"/>
      <c r="N56" s="66" t="str">
        <f t="shared" si="29"/>
        <v/>
      </c>
      <c r="O56" s="65">
        <f t="shared" si="30"/>
        <v>0</v>
      </c>
      <c r="P56" s="89">
        <f t="shared" si="36"/>
        <v>1425.5317500000001</v>
      </c>
      <c r="Q56" s="89">
        <f t="shared" si="37"/>
        <v>1603.325</v>
      </c>
      <c r="R56" s="92">
        <f t="shared" si="31"/>
        <v>-177.79324999999994</v>
      </c>
      <c r="S56" s="15" t="str">
        <f t="shared" si="32"/>
        <v>T40G3</v>
      </c>
      <c r="T56" s="95" t="str">
        <f t="shared" si="33"/>
        <v/>
      </c>
      <c r="U56" s="15" t="str">
        <f t="shared" si="34"/>
        <v>T23G3</v>
      </c>
      <c r="V56" s="95" t="str">
        <f t="shared" si="35"/>
        <v/>
      </c>
      <c r="W56" s="50">
        <f t="shared" si="8"/>
        <v>0.26333000000000001</v>
      </c>
      <c r="X56" s="50">
        <f t="shared" si="38"/>
        <v>0.17414884445000001</v>
      </c>
      <c r="Y56" s="50">
        <f t="shared" si="39"/>
        <v>0.1783623111</v>
      </c>
      <c r="Z56" s="50">
        <f t="shared" si="40"/>
        <v>0.64748884444999999</v>
      </c>
      <c r="AA56" s="51" t="str">
        <f t="shared" si="41"/>
        <v>9/2</v>
      </c>
      <c r="AB56" s="51" t="str">
        <f t="shared" si="42"/>
        <v>9/2</v>
      </c>
      <c r="AC56" s="51" t="str">
        <f t="shared" si="43"/>
        <v>27/50</v>
      </c>
      <c r="AD56" s="52">
        <f t="shared" si="44"/>
        <v>0</v>
      </c>
      <c r="AE56" s="52">
        <f t="shared" si="45"/>
        <v>0</v>
      </c>
      <c r="AF56" s="52">
        <f t="shared" si="46"/>
        <v>0</v>
      </c>
      <c r="AG56" s="53" t="str">
        <f t="shared" si="47"/>
        <v/>
      </c>
      <c r="AH56" s="53" t="str">
        <f t="shared" si="48"/>
        <v/>
      </c>
      <c r="AI56" s="53" t="str">
        <f t="shared" si="49"/>
        <v/>
      </c>
      <c r="AJ56" s="53" t="str">
        <f t="shared" si="50"/>
        <v/>
      </c>
      <c r="AK56" s="54" t="str">
        <f t="shared" si="51"/>
        <v/>
      </c>
      <c r="AL56" s="54" t="str">
        <f t="shared" si="52"/>
        <v/>
      </c>
      <c r="AM56" s="54" t="str">
        <f t="shared" si="53"/>
        <v/>
      </c>
      <c r="AN56" s="55">
        <f t="shared" si="54"/>
        <v>0.1783623111</v>
      </c>
      <c r="AO56" s="124">
        <f>Poster!B61</f>
        <v>46198</v>
      </c>
      <c r="AP56" s="55">
        <f t="shared" si="55"/>
        <v>0.234375</v>
      </c>
    </row>
    <row r="57" spans="1:42" x14ac:dyDescent="0.25">
      <c r="A57" s="44" t="s">
        <v>1330</v>
      </c>
      <c r="B57" s="1">
        <f>IFERROR(VLOOKUP(Poster!$E62,Lookup03,2,FALSE),"")</f>
        <v>46</v>
      </c>
      <c r="C57" s="45">
        <f>COUNTIF(D$2:D57,D57)+COUNTIF(G$2:G57,D57)</f>
        <v>3</v>
      </c>
      <c r="D57" s="46" t="str">
        <f t="shared" si="27"/>
        <v>Curaçao</v>
      </c>
      <c r="E57" s="1">
        <f>IFERROR(VLOOKUP(Poster!$I62,Lookup03,2,FALSE),"")</f>
        <v>29</v>
      </c>
      <c r="F57" s="45">
        <f>COUNTIF(D$2:D57,G57)+COUNTIF(G$2:G57,G57)</f>
        <v>3</v>
      </c>
      <c r="G57" s="46" t="str">
        <f t="shared" si="28"/>
        <v>Cote d'Ivorie</v>
      </c>
      <c r="H57" s="1" t="str">
        <f>IF(Poster!$F62="","",Poster!$F62)</f>
        <v/>
      </c>
      <c r="I57" s="1" t="str">
        <f>IF(Poster!$H62="","",Poster!$H62)</f>
        <v/>
      </c>
      <c r="J57" s="305"/>
      <c r="K57" s="305"/>
      <c r="L57" s="305"/>
      <c r="M57" s="305"/>
      <c r="N57" s="66" t="str">
        <f t="shared" si="29"/>
        <v/>
      </c>
      <c r="O57" s="65">
        <f t="shared" si="30"/>
        <v>0</v>
      </c>
      <c r="P57" s="89">
        <f t="shared" si="36"/>
        <v>1294.30864</v>
      </c>
      <c r="Q57" s="89">
        <f t="shared" si="37"/>
        <v>1481.6624999999999</v>
      </c>
      <c r="R57" s="92">
        <f t="shared" si="31"/>
        <v>-187.35385999999994</v>
      </c>
      <c r="S57" s="15" t="str">
        <f t="shared" si="32"/>
        <v>T46G3</v>
      </c>
      <c r="T57" s="95" t="str">
        <f t="shared" si="33"/>
        <v/>
      </c>
      <c r="U57" s="15" t="str">
        <f t="shared" si="34"/>
        <v>T29G3</v>
      </c>
      <c r="V57" s="95" t="str">
        <f t="shared" si="35"/>
        <v/>
      </c>
      <c r="W57" s="50">
        <f t="shared" si="8"/>
        <v>0.25222</v>
      </c>
      <c r="X57" s="50">
        <f t="shared" si="38"/>
        <v>0.1657299642</v>
      </c>
      <c r="Y57" s="50">
        <f t="shared" si="39"/>
        <v>0.17298007159999992</v>
      </c>
      <c r="Z57" s="50">
        <f t="shared" si="40"/>
        <v>0.66128996420000008</v>
      </c>
      <c r="AA57" s="51" t="str">
        <f t="shared" si="41"/>
        <v>5/1</v>
      </c>
      <c r="AB57" s="51" t="str">
        <f t="shared" si="42"/>
        <v>9/2</v>
      </c>
      <c r="AC57" s="51" t="str">
        <f t="shared" si="43"/>
        <v>1/2</v>
      </c>
      <c r="AD57" s="52">
        <f t="shared" si="44"/>
        <v>0</v>
      </c>
      <c r="AE57" s="52">
        <f t="shared" si="45"/>
        <v>0</v>
      </c>
      <c r="AF57" s="52">
        <f t="shared" si="46"/>
        <v>0</v>
      </c>
      <c r="AG57" s="53" t="str">
        <f t="shared" si="47"/>
        <v/>
      </c>
      <c r="AH57" s="53" t="str">
        <f t="shared" si="48"/>
        <v/>
      </c>
      <c r="AI57" s="53" t="str">
        <f t="shared" si="49"/>
        <v/>
      </c>
      <c r="AJ57" s="53" t="str">
        <f t="shared" si="50"/>
        <v/>
      </c>
      <c r="AK57" s="54" t="str">
        <f t="shared" si="51"/>
        <v/>
      </c>
      <c r="AL57" s="54" t="str">
        <f t="shared" si="52"/>
        <v/>
      </c>
      <c r="AM57" s="54" t="str">
        <f t="shared" si="53"/>
        <v/>
      </c>
      <c r="AN57" s="55">
        <f t="shared" si="54"/>
        <v>0.17298007160000001</v>
      </c>
      <c r="AO57" s="124">
        <f>Poster!B62</f>
        <v>46198</v>
      </c>
      <c r="AP57" s="55">
        <f t="shared" si="55"/>
        <v>0.234375</v>
      </c>
    </row>
    <row r="58" spans="1:42" x14ac:dyDescent="0.25">
      <c r="A58" s="44" t="s">
        <v>1331</v>
      </c>
      <c r="B58" s="1">
        <f>IFERROR(VLOOKUP(Poster!$E63,Lookup03,2,FALSE),"")</f>
        <v>21</v>
      </c>
      <c r="C58" s="45">
        <f>COUNTIF(D$2:D58,D58)+COUNTIF(G$2:G58,D58)</f>
        <v>3</v>
      </c>
      <c r="D58" s="46" t="str">
        <f t="shared" si="27"/>
        <v>Ecuador</v>
      </c>
      <c r="E58" s="1">
        <f>IFERROR(VLOOKUP(Poster!$I63,Lookup03,2,FALSE),"")</f>
        <v>10</v>
      </c>
      <c r="F58" s="45">
        <f>COUNTIF(D$2:D58,G58)+COUNTIF(G$2:G58,G58)</f>
        <v>3</v>
      </c>
      <c r="G58" s="46" t="str">
        <f t="shared" si="28"/>
        <v>Germany</v>
      </c>
      <c r="H58" s="1" t="str">
        <f>IF(Poster!$F63="","",Poster!$F63)</f>
        <v/>
      </c>
      <c r="I58" s="1" t="str">
        <f>IF(Poster!$H63="","",Poster!$H63)</f>
        <v/>
      </c>
      <c r="J58" s="305"/>
      <c r="K58" s="305"/>
      <c r="L58" s="305"/>
      <c r="M58" s="305"/>
      <c r="N58" s="66" t="str">
        <f t="shared" si="29"/>
        <v/>
      </c>
      <c r="O58" s="65">
        <f t="shared" si="30"/>
        <v>0</v>
      </c>
      <c r="P58" s="89">
        <f t="shared" si="36"/>
        <v>1588.66875</v>
      </c>
      <c r="Q58" s="89">
        <f t="shared" si="37"/>
        <v>1772.3827200000001</v>
      </c>
      <c r="R58" s="92">
        <f t="shared" si="31"/>
        <v>-183.71397000000002</v>
      </c>
      <c r="S58" s="15" t="str">
        <f t="shared" si="32"/>
        <v>T21G3</v>
      </c>
      <c r="T58" s="95" t="str">
        <f t="shared" si="33"/>
        <v/>
      </c>
      <c r="U58" s="15" t="str">
        <f t="shared" si="34"/>
        <v>T10G3</v>
      </c>
      <c r="V58" s="95" t="str">
        <f t="shared" si="35"/>
        <v/>
      </c>
      <c r="W58" s="50">
        <f t="shared" si="8"/>
        <v>0.25667000000000001</v>
      </c>
      <c r="X58" s="50">
        <f t="shared" si="38"/>
        <v>0.16908724445000001</v>
      </c>
      <c r="Y58" s="50">
        <f t="shared" si="39"/>
        <v>0.1751655111</v>
      </c>
      <c r="Z58" s="50">
        <f t="shared" si="40"/>
        <v>0.65574724444999999</v>
      </c>
      <c r="AA58" s="51" t="str">
        <f t="shared" si="41"/>
        <v>9/2</v>
      </c>
      <c r="AB58" s="51" t="str">
        <f t="shared" si="42"/>
        <v>9/2</v>
      </c>
      <c r="AC58" s="51" t="str">
        <f t="shared" si="43"/>
        <v>13/25</v>
      </c>
      <c r="AD58" s="52">
        <f t="shared" si="44"/>
        <v>0</v>
      </c>
      <c r="AE58" s="52">
        <f t="shared" si="45"/>
        <v>0</v>
      </c>
      <c r="AF58" s="52">
        <f t="shared" si="46"/>
        <v>0</v>
      </c>
      <c r="AG58" s="53" t="str">
        <f t="shared" si="47"/>
        <v/>
      </c>
      <c r="AH58" s="53" t="str">
        <f t="shared" si="48"/>
        <v/>
      </c>
      <c r="AI58" s="53" t="str">
        <f t="shared" si="49"/>
        <v/>
      </c>
      <c r="AJ58" s="53" t="str">
        <f t="shared" si="50"/>
        <v/>
      </c>
      <c r="AK58" s="54" t="str">
        <f t="shared" si="51"/>
        <v/>
      </c>
      <c r="AL58" s="54" t="str">
        <f t="shared" si="52"/>
        <v/>
      </c>
      <c r="AM58" s="54" t="str">
        <f t="shared" si="53"/>
        <v/>
      </c>
      <c r="AN58" s="55">
        <f t="shared" si="54"/>
        <v>0.1751655111</v>
      </c>
      <c r="AO58" s="124">
        <f>Poster!B63</f>
        <v>46198</v>
      </c>
      <c r="AP58" s="55">
        <f t="shared" si="55"/>
        <v>0.234375</v>
      </c>
    </row>
    <row r="59" spans="1:42" x14ac:dyDescent="0.25">
      <c r="A59" s="44" t="s">
        <v>1332</v>
      </c>
      <c r="B59" s="1">
        <f>IFERROR(VLOOKUP(Poster!$E64,Lookup03,2,FALSE),"")</f>
        <v>17</v>
      </c>
      <c r="C59" s="45">
        <f>COUNTIF(D$2:D59,D59)+COUNTIF(G$2:G59,D59)</f>
        <v>3</v>
      </c>
      <c r="D59" s="46" t="str">
        <f t="shared" si="27"/>
        <v>Japan</v>
      </c>
      <c r="E59" s="1">
        <f>IFERROR(VLOOKUP(Poster!$I64,Lookup03,2,FALSE),"")</f>
        <v>31</v>
      </c>
      <c r="F59" s="45">
        <f>COUNTIF(D$2:D59,G59)+COUNTIF(G$2:G59,G59)</f>
        <v>3</v>
      </c>
      <c r="G59" s="46" t="str">
        <f t="shared" si="28"/>
        <v>Sweden</v>
      </c>
      <c r="H59" s="1" t="str">
        <f>IF(Poster!$F64="","",Poster!$F64)</f>
        <v/>
      </c>
      <c r="I59" s="1" t="str">
        <f>IF(Poster!$H64="","",Poster!$H64)</f>
        <v/>
      </c>
      <c r="J59" s="305"/>
      <c r="K59" s="305"/>
      <c r="L59" s="305"/>
      <c r="M59" s="305"/>
      <c r="N59" s="66" t="str">
        <f t="shared" si="29"/>
        <v/>
      </c>
      <c r="O59" s="65">
        <f t="shared" si="30"/>
        <v>0</v>
      </c>
      <c r="P59" s="89">
        <f t="shared" si="36"/>
        <v>1663.85625</v>
      </c>
      <c r="Q59" s="89">
        <f t="shared" si="37"/>
        <v>1573.44</v>
      </c>
      <c r="R59" s="92">
        <f t="shared" si="31"/>
        <v>90.416249999999991</v>
      </c>
      <c r="S59" s="15" t="str">
        <f t="shared" si="32"/>
        <v>T17G3</v>
      </c>
      <c r="T59" s="95" t="str">
        <f t="shared" si="33"/>
        <v/>
      </c>
      <c r="U59" s="15" t="str">
        <f t="shared" si="34"/>
        <v>T31G3</v>
      </c>
      <c r="V59" s="95" t="str">
        <f t="shared" si="35"/>
        <v/>
      </c>
      <c r="W59" s="50">
        <f t="shared" si="8"/>
        <v>0.62749999999999995</v>
      </c>
      <c r="X59" s="50">
        <f t="shared" si="38"/>
        <v>0.51844062499999999</v>
      </c>
      <c r="Y59" s="50">
        <f t="shared" si="39"/>
        <v>0.21811875000000003</v>
      </c>
      <c r="Z59" s="50">
        <f t="shared" si="40"/>
        <v>0.26344062499999998</v>
      </c>
      <c r="AA59" s="51" t="str">
        <f t="shared" si="41"/>
        <v>23/25</v>
      </c>
      <c r="AB59" s="51" t="str">
        <f t="shared" si="42"/>
        <v>7/2</v>
      </c>
      <c r="AC59" s="51" t="str">
        <f t="shared" si="43"/>
        <v>11/4</v>
      </c>
      <c r="AD59" s="52">
        <f t="shared" si="44"/>
        <v>0</v>
      </c>
      <c r="AE59" s="52">
        <f t="shared" si="45"/>
        <v>0</v>
      </c>
      <c r="AF59" s="52">
        <f t="shared" si="46"/>
        <v>0</v>
      </c>
      <c r="AG59" s="53" t="str">
        <f t="shared" si="47"/>
        <v/>
      </c>
      <c r="AH59" s="53" t="str">
        <f t="shared" si="48"/>
        <v/>
      </c>
      <c r="AI59" s="53" t="str">
        <f t="shared" si="49"/>
        <v/>
      </c>
      <c r="AJ59" s="53" t="str">
        <f t="shared" si="50"/>
        <v/>
      </c>
      <c r="AK59" s="54" t="str">
        <f t="shared" si="51"/>
        <v/>
      </c>
      <c r="AL59" s="54" t="str">
        <f t="shared" si="52"/>
        <v/>
      </c>
      <c r="AM59" s="54" t="str">
        <f t="shared" si="53"/>
        <v/>
      </c>
      <c r="AN59" s="55">
        <f t="shared" si="54"/>
        <v>0.21811875000000003</v>
      </c>
      <c r="AO59" s="124">
        <f>Poster!B64</f>
        <v>46199</v>
      </c>
      <c r="AP59" s="55">
        <f t="shared" si="55"/>
        <v>0.234375</v>
      </c>
    </row>
    <row r="60" spans="1:42" x14ac:dyDescent="0.25">
      <c r="A60" s="44" t="s">
        <v>1333</v>
      </c>
      <c r="B60" s="1">
        <f>IFERROR(VLOOKUP(Poster!$E65,Lookup03,2,FALSE),"")</f>
        <v>35</v>
      </c>
      <c r="C60" s="45">
        <f>COUNTIF(D$2:D60,D60)+COUNTIF(G$2:G60,D60)</f>
        <v>3</v>
      </c>
      <c r="D60" s="46" t="str">
        <f t="shared" si="27"/>
        <v>Tunisia</v>
      </c>
      <c r="E60" s="1">
        <f>IFERROR(VLOOKUP(Poster!$I65,Lookup03,2,FALSE),"")</f>
        <v>8</v>
      </c>
      <c r="F60" s="45">
        <f>COUNTIF(D$2:D60,G60)+COUNTIF(G$2:G60,G60)</f>
        <v>3</v>
      </c>
      <c r="G60" s="46" t="str">
        <f t="shared" si="28"/>
        <v>Netherlands</v>
      </c>
      <c r="H60" s="1" t="str">
        <f>IF(Poster!$F65="","",Poster!$F65)</f>
        <v/>
      </c>
      <c r="I60" s="1" t="str">
        <f>IF(Poster!$H65="","",Poster!$H65)</f>
        <v/>
      </c>
      <c r="J60" s="305"/>
      <c r="K60" s="305"/>
      <c r="L60" s="305"/>
      <c r="M60" s="305"/>
      <c r="N60" s="66" t="str">
        <f t="shared" si="29"/>
        <v/>
      </c>
      <c r="O60" s="65">
        <f t="shared" si="30"/>
        <v>0</v>
      </c>
      <c r="P60" s="89">
        <f t="shared" si="36"/>
        <v>1499.28</v>
      </c>
      <c r="Q60" s="89">
        <f t="shared" si="37"/>
        <v>1745.2874999999999</v>
      </c>
      <c r="R60" s="92">
        <f t="shared" si="31"/>
        <v>-246.00749999999994</v>
      </c>
      <c r="S60" s="15" t="str">
        <f t="shared" si="32"/>
        <v>T35G3</v>
      </c>
      <c r="T60" s="95" t="str">
        <f t="shared" si="33"/>
        <v/>
      </c>
      <c r="U60" s="15" t="str">
        <f t="shared" si="34"/>
        <v>T8G3</v>
      </c>
      <c r="V60" s="95" t="str">
        <f t="shared" si="35"/>
        <v/>
      </c>
      <c r="W60" s="50">
        <f t="shared" si="8"/>
        <v>0.19</v>
      </c>
      <c r="X60" s="50">
        <f t="shared" si="38"/>
        <v>0.12086250000000001</v>
      </c>
      <c r="Y60" s="50">
        <f t="shared" si="39"/>
        <v>0.13827500000000001</v>
      </c>
      <c r="Z60" s="50">
        <f t="shared" si="40"/>
        <v>0.74086249999999998</v>
      </c>
      <c r="AA60" s="51" t="str">
        <f t="shared" si="41"/>
        <v>7/1</v>
      </c>
      <c r="AB60" s="51" t="str">
        <f t="shared" si="42"/>
        <v>6/1</v>
      </c>
      <c r="AC60" s="51" t="str">
        <f t="shared" si="43"/>
        <v>17/50</v>
      </c>
      <c r="AD60" s="52">
        <f t="shared" si="44"/>
        <v>0</v>
      </c>
      <c r="AE60" s="52">
        <f t="shared" si="45"/>
        <v>0</v>
      </c>
      <c r="AF60" s="52">
        <f t="shared" si="46"/>
        <v>0</v>
      </c>
      <c r="AG60" s="53" t="str">
        <f t="shared" si="47"/>
        <v/>
      </c>
      <c r="AH60" s="53" t="str">
        <f t="shared" si="48"/>
        <v/>
      </c>
      <c r="AI60" s="53" t="str">
        <f t="shared" si="49"/>
        <v/>
      </c>
      <c r="AJ60" s="53" t="str">
        <f t="shared" si="50"/>
        <v/>
      </c>
      <c r="AK60" s="54" t="str">
        <f t="shared" si="51"/>
        <v/>
      </c>
      <c r="AL60" s="54" t="str">
        <f t="shared" si="52"/>
        <v/>
      </c>
      <c r="AM60" s="54" t="str">
        <f t="shared" si="53"/>
        <v/>
      </c>
      <c r="AN60" s="55">
        <f t="shared" si="54"/>
        <v>0.13827499999999998</v>
      </c>
      <c r="AO60" s="124">
        <f>Poster!B65</f>
        <v>46199</v>
      </c>
      <c r="AP60" s="55">
        <f t="shared" si="55"/>
        <v>0.234375</v>
      </c>
    </row>
    <row r="61" spans="1:42" x14ac:dyDescent="0.25">
      <c r="A61" s="44" t="s">
        <v>1334</v>
      </c>
      <c r="B61" s="1">
        <f>IFERROR(VLOOKUP(Poster!$E66,Lookup03,2,FALSE),"")</f>
        <v>20</v>
      </c>
      <c r="C61" s="45">
        <f>COUNTIF(D$2:D61,D61)+COUNTIF(G$2:G61,D61)</f>
        <v>3</v>
      </c>
      <c r="D61" s="46" t="str">
        <f t="shared" si="27"/>
        <v>Turkiye</v>
      </c>
      <c r="E61" s="1">
        <f>IFERROR(VLOOKUP(Poster!$I66,Lookup03,2,FALSE),"")</f>
        <v>16</v>
      </c>
      <c r="F61" s="45">
        <f>COUNTIF(D$2:D61,G61)+COUNTIF(G$2:G61,G61)</f>
        <v>3</v>
      </c>
      <c r="G61" s="46" t="str">
        <f t="shared" si="28"/>
        <v>USA</v>
      </c>
      <c r="H61" s="1" t="str">
        <f>IF(Poster!$F66="","",Poster!$F66)</f>
        <v/>
      </c>
      <c r="I61" s="1" t="str">
        <f>IF(Poster!$H66="","",Poster!$H66)</f>
        <v/>
      </c>
      <c r="J61" s="305"/>
      <c r="K61" s="305"/>
      <c r="L61" s="305"/>
      <c r="M61" s="305"/>
      <c r="N61" s="66" t="str">
        <f t="shared" si="29"/>
        <v/>
      </c>
      <c r="O61" s="65">
        <f t="shared" si="30"/>
        <v>0</v>
      </c>
      <c r="P61" s="89">
        <f t="shared" si="36"/>
        <v>1597.2625</v>
      </c>
      <c r="Q61" s="89">
        <f t="shared" si="37"/>
        <v>1681.4</v>
      </c>
      <c r="R61" s="92">
        <f t="shared" si="31"/>
        <v>-84.137500000000045</v>
      </c>
      <c r="S61" s="15" t="str">
        <f t="shared" si="32"/>
        <v>T20G3</v>
      </c>
      <c r="T61" s="95" t="str">
        <f t="shared" si="33"/>
        <v/>
      </c>
      <c r="U61" s="15" t="str">
        <f t="shared" si="34"/>
        <v>T16G3</v>
      </c>
      <c r="V61" s="95" t="str">
        <f t="shared" si="35"/>
        <v/>
      </c>
      <c r="W61" s="50">
        <f t="shared" si="8"/>
        <v>0.38</v>
      </c>
      <c r="X61" s="50">
        <f t="shared" si="38"/>
        <v>0.27001249999999999</v>
      </c>
      <c r="Y61" s="50">
        <f t="shared" si="39"/>
        <v>0.21997500000000003</v>
      </c>
      <c r="Z61" s="50">
        <f t="shared" si="40"/>
        <v>0.51001249999999998</v>
      </c>
      <c r="AA61" s="51" t="str">
        <f t="shared" si="41"/>
        <v>13/5</v>
      </c>
      <c r="AB61" s="51" t="str">
        <f t="shared" si="42"/>
        <v>7/2</v>
      </c>
      <c r="AC61" s="51" t="str">
        <f t="shared" si="43"/>
        <v>24/25</v>
      </c>
      <c r="AD61" s="52">
        <f t="shared" si="44"/>
        <v>0</v>
      </c>
      <c r="AE61" s="52">
        <f t="shared" si="45"/>
        <v>0</v>
      </c>
      <c r="AF61" s="52">
        <f t="shared" si="46"/>
        <v>0</v>
      </c>
      <c r="AG61" s="53" t="str">
        <f t="shared" si="47"/>
        <v/>
      </c>
      <c r="AH61" s="53" t="str">
        <f t="shared" si="48"/>
        <v/>
      </c>
      <c r="AI61" s="53" t="str">
        <f t="shared" si="49"/>
        <v/>
      </c>
      <c r="AJ61" s="53" t="str">
        <f t="shared" si="50"/>
        <v/>
      </c>
      <c r="AK61" s="54" t="str">
        <f t="shared" si="51"/>
        <v/>
      </c>
      <c r="AL61" s="54" t="str">
        <f t="shared" si="52"/>
        <v/>
      </c>
      <c r="AM61" s="54" t="str">
        <f t="shared" si="53"/>
        <v/>
      </c>
      <c r="AN61" s="55">
        <f t="shared" si="54"/>
        <v>0.219975</v>
      </c>
      <c r="AO61" s="124">
        <f>Poster!B66</f>
        <v>46199</v>
      </c>
      <c r="AP61" s="55">
        <f t="shared" si="55"/>
        <v>0.234375</v>
      </c>
    </row>
    <row r="62" spans="1:42" x14ac:dyDescent="0.25">
      <c r="A62" s="44" t="s">
        <v>1335</v>
      </c>
      <c r="B62" s="1">
        <f>IFERROR(VLOOKUP(Poster!$E67,Lookup03,2,FALSE),"")</f>
        <v>33</v>
      </c>
      <c r="C62" s="45">
        <f>COUNTIF(D$2:D62,D62)+COUNTIF(G$2:G62,D62)</f>
        <v>3</v>
      </c>
      <c r="D62" s="46" t="str">
        <f t="shared" si="27"/>
        <v>Paraguay</v>
      </c>
      <c r="E62" s="1">
        <f>IFERROR(VLOOKUP(Poster!$I67,Lookup03,2,FALSE),"")</f>
        <v>24</v>
      </c>
      <c r="F62" s="45">
        <f>COUNTIF(D$2:D62,G62)+COUNTIF(G$2:G62,G62)</f>
        <v>3</v>
      </c>
      <c r="G62" s="46" t="str">
        <f t="shared" si="28"/>
        <v>Australia</v>
      </c>
      <c r="H62" s="1" t="str">
        <f>IF(Poster!$F67="","",Poster!$F67)</f>
        <v/>
      </c>
      <c r="I62" s="1" t="str">
        <f>IF(Poster!$H67="","",Poster!$H67)</f>
        <v/>
      </c>
      <c r="J62" s="305"/>
      <c r="K62" s="305"/>
      <c r="L62" s="305"/>
      <c r="M62" s="305"/>
      <c r="N62" s="66" t="str">
        <f t="shared" si="29"/>
        <v/>
      </c>
      <c r="O62" s="65">
        <f t="shared" si="30"/>
        <v>0</v>
      </c>
      <c r="P62" s="89">
        <f t="shared" si="36"/>
        <v>1539.8</v>
      </c>
      <c r="Q62" s="89">
        <f t="shared" si="37"/>
        <v>1566.4749999999999</v>
      </c>
      <c r="R62" s="92">
        <f t="shared" si="31"/>
        <v>-26.674999999999955</v>
      </c>
      <c r="S62" s="15" t="str">
        <f t="shared" si="32"/>
        <v>T33G3</v>
      </c>
      <c r="T62" s="95" t="str">
        <f t="shared" si="33"/>
        <v/>
      </c>
      <c r="U62" s="15" t="str">
        <f t="shared" si="34"/>
        <v>T24G3</v>
      </c>
      <c r="V62" s="95" t="str">
        <f t="shared" si="35"/>
        <v/>
      </c>
      <c r="W62" s="50">
        <f t="shared" si="8"/>
        <v>0.46</v>
      </c>
      <c r="X62" s="50">
        <f t="shared" si="38"/>
        <v>0.34361249999999999</v>
      </c>
      <c r="Y62" s="50">
        <f t="shared" si="39"/>
        <v>0.23277500000000007</v>
      </c>
      <c r="Z62" s="50">
        <f t="shared" si="40"/>
        <v>0.4236125</v>
      </c>
      <c r="AA62" s="51" t="str">
        <f t="shared" si="41"/>
        <v>19/10</v>
      </c>
      <c r="AB62" s="51" t="str">
        <f t="shared" si="42"/>
        <v>16/5</v>
      </c>
      <c r="AC62" s="51" t="str">
        <f t="shared" si="43"/>
        <v>13/10</v>
      </c>
      <c r="AD62" s="52">
        <f t="shared" si="44"/>
        <v>0</v>
      </c>
      <c r="AE62" s="52">
        <f t="shared" si="45"/>
        <v>0</v>
      </c>
      <c r="AF62" s="52">
        <f t="shared" si="46"/>
        <v>0</v>
      </c>
      <c r="AG62" s="53" t="str">
        <f t="shared" si="47"/>
        <v/>
      </c>
      <c r="AH62" s="53" t="str">
        <f t="shared" si="48"/>
        <v/>
      </c>
      <c r="AI62" s="53" t="str">
        <f t="shared" si="49"/>
        <v/>
      </c>
      <c r="AJ62" s="53" t="str">
        <f t="shared" si="50"/>
        <v/>
      </c>
      <c r="AK62" s="54" t="str">
        <f t="shared" si="51"/>
        <v/>
      </c>
      <c r="AL62" s="54" t="str">
        <f t="shared" si="52"/>
        <v/>
      </c>
      <c r="AM62" s="54" t="str">
        <f t="shared" si="53"/>
        <v/>
      </c>
      <c r="AN62" s="55">
        <f t="shared" si="54"/>
        <v>0.23277500000000001</v>
      </c>
      <c r="AO62" s="124">
        <f>Poster!B67</f>
        <v>46199</v>
      </c>
      <c r="AP62" s="55">
        <f t="shared" si="55"/>
        <v>0.234375</v>
      </c>
    </row>
    <row r="63" spans="1:42" x14ac:dyDescent="0.25">
      <c r="A63" s="44" t="s">
        <v>1336</v>
      </c>
      <c r="B63" s="1">
        <f>IFERROR(VLOOKUP(Poster!$E68,Lookup03,2,FALSE),"")</f>
        <v>28</v>
      </c>
      <c r="C63" s="45">
        <f>COUNTIF(D$2:D63,D63)+COUNTIF(G$2:G63,D63)</f>
        <v>3</v>
      </c>
      <c r="D63" s="46" t="str">
        <f t="shared" si="27"/>
        <v>Norway</v>
      </c>
      <c r="E63" s="1">
        <f>IFERROR(VLOOKUP(Poster!$I68,Lookup03,2,FALSE),"")</f>
        <v>3</v>
      </c>
      <c r="F63" s="45">
        <f>COUNTIF(D$2:D63,G63)+COUNTIF(G$2:G63,G63)</f>
        <v>3</v>
      </c>
      <c r="G63" s="46" t="str">
        <f t="shared" si="28"/>
        <v>France</v>
      </c>
      <c r="H63" s="1" t="str">
        <f>IF(Poster!$F68="","",Poster!$F68)</f>
        <v/>
      </c>
      <c r="I63" s="1" t="str">
        <f>IF(Poster!$H68="","",Poster!$H68)</f>
        <v/>
      </c>
      <c r="J63" s="305"/>
      <c r="K63" s="305"/>
      <c r="L63" s="305"/>
      <c r="M63" s="305"/>
      <c r="N63" s="66" t="str">
        <f t="shared" si="29"/>
        <v/>
      </c>
      <c r="O63" s="65">
        <f t="shared" si="30"/>
        <v>0</v>
      </c>
      <c r="P63" s="89">
        <f t="shared" si="36"/>
        <v>1637</v>
      </c>
      <c r="Q63" s="89">
        <f t="shared" si="37"/>
        <v>1819</v>
      </c>
      <c r="R63" s="92">
        <f t="shared" si="31"/>
        <v>-182</v>
      </c>
      <c r="S63" s="15" t="str">
        <f t="shared" si="32"/>
        <v>T28G3</v>
      </c>
      <c r="T63" s="95" t="str">
        <f t="shared" si="33"/>
        <v/>
      </c>
      <c r="U63" s="15" t="str">
        <f t="shared" si="34"/>
        <v>T3G3</v>
      </c>
      <c r="V63" s="95" t="str">
        <f t="shared" si="35"/>
        <v/>
      </c>
      <c r="W63" s="50">
        <f t="shared" si="8"/>
        <v>0.25889000000000001</v>
      </c>
      <c r="X63" s="50">
        <f t="shared" si="38"/>
        <v>0.17076951605000001</v>
      </c>
      <c r="Y63" s="50">
        <f t="shared" si="39"/>
        <v>0.17624096789999999</v>
      </c>
      <c r="Z63" s="50">
        <f t="shared" si="40"/>
        <v>0.65298951605</v>
      </c>
      <c r="AA63" s="51" t="str">
        <f t="shared" si="41"/>
        <v>9/2</v>
      </c>
      <c r="AB63" s="51" t="str">
        <f t="shared" si="42"/>
        <v>9/2</v>
      </c>
      <c r="AC63" s="51" t="str">
        <f t="shared" si="43"/>
        <v>13/25</v>
      </c>
      <c r="AD63" s="52">
        <f t="shared" si="44"/>
        <v>0</v>
      </c>
      <c r="AE63" s="52">
        <f t="shared" si="45"/>
        <v>0</v>
      </c>
      <c r="AF63" s="52">
        <f t="shared" si="46"/>
        <v>0</v>
      </c>
      <c r="AG63" s="53" t="str">
        <f t="shared" si="47"/>
        <v/>
      </c>
      <c r="AH63" s="53" t="str">
        <f t="shared" si="48"/>
        <v/>
      </c>
      <c r="AI63" s="53" t="str">
        <f t="shared" si="49"/>
        <v/>
      </c>
      <c r="AJ63" s="53" t="str">
        <f t="shared" si="50"/>
        <v/>
      </c>
      <c r="AK63" s="54" t="str">
        <f t="shared" si="51"/>
        <v/>
      </c>
      <c r="AL63" s="54" t="str">
        <f t="shared" si="52"/>
        <v/>
      </c>
      <c r="AM63" s="54" t="str">
        <f t="shared" si="53"/>
        <v/>
      </c>
      <c r="AN63" s="55">
        <f t="shared" si="54"/>
        <v>0.17624096789999999</v>
      </c>
      <c r="AO63" s="124">
        <f>Poster!B68</f>
        <v>46199</v>
      </c>
      <c r="AP63" s="55">
        <f t="shared" si="55"/>
        <v>0.234375</v>
      </c>
    </row>
    <row r="64" spans="1:42" x14ac:dyDescent="0.25">
      <c r="A64" s="44" t="s">
        <v>1337</v>
      </c>
      <c r="B64" s="1">
        <f>IFERROR(VLOOKUP(Poster!$E69,Lookup03,2,FALSE),"")</f>
        <v>14</v>
      </c>
      <c r="C64" s="45">
        <f>COUNTIF(D$2:D64,D64)+COUNTIF(G$2:G64,D64)</f>
        <v>3</v>
      </c>
      <c r="D64" s="46" t="str">
        <f t="shared" si="27"/>
        <v>Senegal</v>
      </c>
      <c r="E64" s="1">
        <f>IFERROR(VLOOKUP(Poster!$I69,Lookup03,2,FALSE),"")</f>
        <v>39</v>
      </c>
      <c r="F64" s="45">
        <f>COUNTIF(D$2:D64,G64)+COUNTIF(G$2:G64,G64)</f>
        <v>3</v>
      </c>
      <c r="G64" s="46" t="str">
        <f t="shared" si="28"/>
        <v>Iraq</v>
      </c>
      <c r="H64" s="1" t="str">
        <f>IF(Poster!$F69="","",Poster!$F69)</f>
        <v/>
      </c>
      <c r="I64" s="1" t="str">
        <f>IF(Poster!$H69="","",Poster!$H69)</f>
        <v/>
      </c>
      <c r="J64" s="305"/>
      <c r="K64" s="305"/>
      <c r="L64" s="305"/>
      <c r="M64" s="305"/>
      <c r="N64" s="66" t="str">
        <f t="shared" si="29"/>
        <v/>
      </c>
      <c r="O64" s="65">
        <f t="shared" si="30"/>
        <v>0</v>
      </c>
      <c r="P64" s="89">
        <f t="shared" si="36"/>
        <v>1654</v>
      </c>
      <c r="Q64" s="89">
        <f t="shared" si="37"/>
        <v>1446</v>
      </c>
      <c r="R64" s="92">
        <f t="shared" si="31"/>
        <v>208</v>
      </c>
      <c r="S64" s="15" t="str">
        <f t="shared" si="32"/>
        <v>T14G3</v>
      </c>
      <c r="T64" s="95" t="str">
        <f t="shared" si="33"/>
        <v/>
      </c>
      <c r="U64" s="15" t="str">
        <f t="shared" si="34"/>
        <v>T39G3</v>
      </c>
      <c r="V64" s="95" t="str">
        <f t="shared" si="35"/>
        <v/>
      </c>
      <c r="W64" s="50">
        <f t="shared" si="8"/>
        <v>0.77110999999999996</v>
      </c>
      <c r="X64" s="50">
        <f t="shared" si="38"/>
        <v>0.69067281604999997</v>
      </c>
      <c r="Y64" s="50">
        <f t="shared" si="39"/>
        <v>0.16087436789999998</v>
      </c>
      <c r="Z64" s="50">
        <f t="shared" si="40"/>
        <v>0.14845281604999999</v>
      </c>
      <c r="AA64" s="51" t="str">
        <f t="shared" si="41"/>
        <v>4/9</v>
      </c>
      <c r="AB64" s="51" t="str">
        <f t="shared" si="42"/>
        <v>5/1</v>
      </c>
      <c r="AC64" s="51" t="str">
        <f t="shared" si="43"/>
        <v>11/2</v>
      </c>
      <c r="AD64" s="52">
        <f t="shared" si="44"/>
        <v>0</v>
      </c>
      <c r="AE64" s="52">
        <f t="shared" si="45"/>
        <v>0</v>
      </c>
      <c r="AF64" s="52">
        <f t="shared" si="46"/>
        <v>0</v>
      </c>
      <c r="AG64" s="53" t="str">
        <f t="shared" si="47"/>
        <v/>
      </c>
      <c r="AH64" s="53" t="str">
        <f t="shared" si="48"/>
        <v/>
      </c>
      <c r="AI64" s="53" t="str">
        <f t="shared" si="49"/>
        <v/>
      </c>
      <c r="AJ64" s="53" t="str">
        <f t="shared" si="50"/>
        <v/>
      </c>
      <c r="AK64" s="54" t="str">
        <f t="shared" si="51"/>
        <v/>
      </c>
      <c r="AL64" s="54" t="str">
        <f t="shared" si="52"/>
        <v/>
      </c>
      <c r="AM64" s="54" t="str">
        <f t="shared" si="53"/>
        <v/>
      </c>
      <c r="AN64" s="55">
        <f t="shared" si="54"/>
        <v>0.16087436790000004</v>
      </c>
      <c r="AO64" s="124">
        <f>Poster!B69</f>
        <v>46199</v>
      </c>
      <c r="AP64" s="55">
        <f t="shared" si="55"/>
        <v>0.234375</v>
      </c>
    </row>
    <row r="65" spans="1:42" x14ac:dyDescent="0.25">
      <c r="A65" s="44" t="s">
        <v>1338</v>
      </c>
      <c r="B65" s="1">
        <f>IFERROR(VLOOKUP(Poster!$E70,Lookup03,2,FALSE),"")</f>
        <v>44</v>
      </c>
      <c r="C65" s="45">
        <f>COUNTIF(D$2:D65,D65)+COUNTIF(G$2:G65,D65)</f>
        <v>3</v>
      </c>
      <c r="D65" s="46" t="str">
        <f t="shared" si="27"/>
        <v>Cabo Verde</v>
      </c>
      <c r="E65" s="1">
        <f>IFERROR(VLOOKUP(Poster!$I70,Lookup03,2,FALSE),"")</f>
        <v>41</v>
      </c>
      <c r="F65" s="45">
        <f>COUNTIF(D$2:D65,G65)+COUNTIF(G$2:G65,G65)</f>
        <v>3</v>
      </c>
      <c r="G65" s="46" t="str">
        <f t="shared" si="28"/>
        <v>Saudi Arabia</v>
      </c>
      <c r="H65" s="1" t="str">
        <f>IF(Poster!$F70="","",Poster!$F70)</f>
        <v/>
      </c>
      <c r="I65" s="1" t="str">
        <f>IF(Poster!$H70="","",Poster!$H70)</f>
        <v/>
      </c>
      <c r="J65" s="305"/>
      <c r="K65" s="305"/>
      <c r="L65" s="305"/>
      <c r="M65" s="305"/>
      <c r="N65" s="66" t="str">
        <f t="shared" si="29"/>
        <v/>
      </c>
      <c r="O65" s="65">
        <f t="shared" si="30"/>
        <v>0</v>
      </c>
      <c r="P65" s="89">
        <f t="shared" si="36"/>
        <v>1377.7874999999999</v>
      </c>
      <c r="Q65" s="89">
        <f t="shared" si="37"/>
        <v>1433.3545999999999</v>
      </c>
      <c r="R65" s="92">
        <f t="shared" si="31"/>
        <v>-55.567099999999982</v>
      </c>
      <c r="S65" s="15" t="str">
        <f t="shared" si="32"/>
        <v>T44G3</v>
      </c>
      <c r="T65" s="95" t="str">
        <f t="shared" si="33"/>
        <v/>
      </c>
      <c r="U65" s="15" t="str">
        <f t="shared" si="34"/>
        <v>T41G3</v>
      </c>
      <c r="V65" s="95" t="str">
        <f t="shared" si="35"/>
        <v/>
      </c>
      <c r="W65" s="50">
        <f t="shared" si="8"/>
        <v>0.41875000000000001</v>
      </c>
      <c r="X65" s="50">
        <f t="shared" si="38"/>
        <v>0.30486328125000001</v>
      </c>
      <c r="Y65" s="50">
        <f t="shared" si="39"/>
        <v>0.22777343750000006</v>
      </c>
      <c r="Z65" s="50">
        <f t="shared" si="40"/>
        <v>0.46736328124999993</v>
      </c>
      <c r="AA65" s="51" t="str">
        <f t="shared" si="41"/>
        <v>9/4</v>
      </c>
      <c r="AB65" s="51" t="str">
        <f t="shared" si="42"/>
        <v>10/3</v>
      </c>
      <c r="AC65" s="51" t="str">
        <f t="shared" si="43"/>
        <v>11/10</v>
      </c>
      <c r="AD65" s="52">
        <f t="shared" si="44"/>
        <v>0</v>
      </c>
      <c r="AE65" s="52">
        <f t="shared" si="45"/>
        <v>0</v>
      </c>
      <c r="AF65" s="52">
        <f t="shared" si="46"/>
        <v>0</v>
      </c>
      <c r="AG65" s="53" t="str">
        <f t="shared" si="47"/>
        <v/>
      </c>
      <c r="AH65" s="53" t="str">
        <f t="shared" si="48"/>
        <v/>
      </c>
      <c r="AI65" s="53" t="str">
        <f t="shared" si="49"/>
        <v/>
      </c>
      <c r="AJ65" s="53" t="str">
        <f t="shared" si="50"/>
        <v/>
      </c>
      <c r="AK65" s="54" t="str">
        <f t="shared" si="51"/>
        <v/>
      </c>
      <c r="AL65" s="54" t="str">
        <f t="shared" si="52"/>
        <v/>
      </c>
      <c r="AM65" s="54" t="str">
        <f t="shared" si="53"/>
        <v/>
      </c>
      <c r="AN65" s="55">
        <f t="shared" si="54"/>
        <v>0.22777343750000001</v>
      </c>
      <c r="AO65" s="124">
        <f>Poster!B70</f>
        <v>46200</v>
      </c>
      <c r="AP65" s="55">
        <f t="shared" si="55"/>
        <v>0.234375</v>
      </c>
    </row>
    <row r="66" spans="1:42" x14ac:dyDescent="0.25">
      <c r="A66" s="44" t="s">
        <v>1339</v>
      </c>
      <c r="B66" s="1">
        <f>IFERROR(VLOOKUP(Poster!$E71,Lookup03,2,FALSE),"")</f>
        <v>15</v>
      </c>
      <c r="C66" s="45">
        <f>COUNTIF(D$2:D66,D66)+COUNTIF(G$2:G66,D66)</f>
        <v>3</v>
      </c>
      <c r="D66" s="46" t="str">
        <f t="shared" si="27"/>
        <v>Uruguay</v>
      </c>
      <c r="E66" s="1">
        <f>IFERROR(VLOOKUP(Poster!$I71,Lookup03,2,FALSE),"")</f>
        <v>2</v>
      </c>
      <c r="F66" s="45">
        <f>COUNTIF(D$2:D66,G66)+COUNTIF(G$2:G66,G66)</f>
        <v>3</v>
      </c>
      <c r="G66" s="46" t="str">
        <f t="shared" si="28"/>
        <v>Spain</v>
      </c>
      <c r="H66" s="1" t="str">
        <f>IF(Poster!$F71="","",Poster!$F71)</f>
        <v/>
      </c>
      <c r="I66" s="1" t="str">
        <f>IF(Poster!$H71="","",Poster!$H71)</f>
        <v/>
      </c>
      <c r="J66" s="305"/>
      <c r="K66" s="305"/>
      <c r="L66" s="305"/>
      <c r="M66" s="305"/>
      <c r="N66" s="66" t="str">
        <f t="shared" si="29"/>
        <v/>
      </c>
      <c r="O66" s="65">
        <f t="shared" si="30"/>
        <v>0</v>
      </c>
      <c r="P66" s="89">
        <f t="shared" si="36"/>
        <v>1668.3226999999999</v>
      </c>
      <c r="Q66" s="89">
        <f t="shared" si="37"/>
        <v>1821.425</v>
      </c>
      <c r="R66" s="92">
        <f t="shared" si="31"/>
        <v>-153.10230000000001</v>
      </c>
      <c r="S66" s="15" t="str">
        <f t="shared" si="32"/>
        <v>T15G3</v>
      </c>
      <c r="T66" s="95" t="str">
        <f t="shared" si="33"/>
        <v/>
      </c>
      <c r="U66" s="15" t="str">
        <f t="shared" si="34"/>
        <v>T2G3</v>
      </c>
      <c r="V66" s="95" t="str">
        <f t="shared" si="35"/>
        <v/>
      </c>
      <c r="W66" s="50">
        <f t="shared" si="8"/>
        <v>0.29125000000000001</v>
      </c>
      <c r="X66" s="50">
        <f t="shared" si="38"/>
        <v>0.19585078124999999</v>
      </c>
      <c r="Y66" s="50">
        <f t="shared" si="39"/>
        <v>0.19079843750000003</v>
      </c>
      <c r="Z66" s="50">
        <f t="shared" si="40"/>
        <v>0.61335078124999998</v>
      </c>
      <c r="AA66" s="51" t="str">
        <f t="shared" si="41"/>
        <v>4/1</v>
      </c>
      <c r="AB66" s="51" t="str">
        <f t="shared" si="42"/>
        <v>4/1</v>
      </c>
      <c r="AC66" s="51" t="str">
        <f t="shared" si="43"/>
        <v>8/13</v>
      </c>
      <c r="AD66" s="52">
        <f t="shared" si="44"/>
        <v>0</v>
      </c>
      <c r="AE66" s="52">
        <f t="shared" si="45"/>
        <v>0</v>
      </c>
      <c r="AF66" s="52">
        <f t="shared" si="46"/>
        <v>0</v>
      </c>
      <c r="AG66" s="53" t="str">
        <f t="shared" si="47"/>
        <v/>
      </c>
      <c r="AH66" s="53" t="str">
        <f t="shared" si="48"/>
        <v/>
      </c>
      <c r="AI66" s="53" t="str">
        <f t="shared" si="49"/>
        <v/>
      </c>
      <c r="AJ66" s="53" t="str">
        <f t="shared" si="50"/>
        <v/>
      </c>
      <c r="AK66" s="54" t="str">
        <f t="shared" si="51"/>
        <v/>
      </c>
      <c r="AL66" s="54" t="str">
        <f t="shared" si="52"/>
        <v/>
      </c>
      <c r="AM66" s="54" t="str">
        <f t="shared" si="53"/>
        <v/>
      </c>
      <c r="AN66" s="55">
        <f t="shared" si="54"/>
        <v>0.1907984375</v>
      </c>
      <c r="AO66" s="124">
        <f>Poster!B71</f>
        <v>46200</v>
      </c>
      <c r="AP66" s="55">
        <f t="shared" si="55"/>
        <v>0.234375</v>
      </c>
    </row>
    <row r="67" spans="1:42" x14ac:dyDescent="0.25">
      <c r="A67" s="44" t="s">
        <v>1340</v>
      </c>
      <c r="B67" s="1">
        <f>IFERROR(VLOOKUP(Poster!$E72,Lookup03,2,FALSE),"")</f>
        <v>26</v>
      </c>
      <c r="C67" s="45">
        <f>COUNTIF(D$2:D67,D67)+COUNTIF(G$2:G67,D67)</f>
        <v>3</v>
      </c>
      <c r="D67" s="46" t="str">
        <f t="shared" si="27"/>
        <v>Egypt</v>
      </c>
      <c r="E67" s="1">
        <f>IFERROR(VLOOKUP(Poster!$I72,Lookup03,2,FALSE),"")</f>
        <v>19</v>
      </c>
      <c r="F67" s="45">
        <f>COUNTIF(D$2:D67,G67)+COUNTIF(G$2:G67,G67)</f>
        <v>3</v>
      </c>
      <c r="G67" s="46" t="str">
        <f t="shared" si="28"/>
        <v>IR Iran</v>
      </c>
      <c r="H67" s="1" t="str">
        <f>IF(Poster!$F72="","",Poster!$F72)</f>
        <v/>
      </c>
      <c r="I67" s="1" t="str">
        <f>IF(Poster!$H72="","",Poster!$H72)</f>
        <v/>
      </c>
      <c r="J67" s="305"/>
      <c r="K67" s="305"/>
      <c r="L67" s="305"/>
      <c r="M67" s="305"/>
      <c r="N67" s="66" t="str">
        <f t="shared" si="29"/>
        <v/>
      </c>
      <c r="O67" s="65">
        <f t="shared" si="30"/>
        <v>0</v>
      </c>
      <c r="P67" s="89">
        <f t="shared" ref="P67:P98" si="56">IFERROR(VLOOKUP(B67,Team,3+C67,FALSE),"")</f>
        <v>1565.4833000000001</v>
      </c>
      <c r="Q67" s="89">
        <f t="shared" ref="Q67:Q98" si="57">IFERROR(VLOOKUP(E67,Team,3+F67,FALSE),"")</f>
        <v>1559.425</v>
      </c>
      <c r="R67" s="92">
        <f t="shared" si="31"/>
        <v>6.0583000000001448</v>
      </c>
      <c r="S67" s="15" t="str">
        <f t="shared" si="32"/>
        <v>T26G3</v>
      </c>
      <c r="T67" s="95" t="str">
        <f t="shared" si="33"/>
        <v/>
      </c>
      <c r="U67" s="15" t="str">
        <f t="shared" si="34"/>
        <v>T19G3</v>
      </c>
      <c r="V67" s="95" t="str">
        <f t="shared" si="35"/>
        <v/>
      </c>
      <c r="W67" s="50">
        <f t="shared" si="8"/>
        <v>0.51285999999999998</v>
      </c>
      <c r="X67" s="50">
        <f t="shared" ref="X67:X98" si="58">IFERROR(IF(W67-AN67/2&lt;0.01,0.01,W67-AN67/2),"")</f>
        <v>0.39575518979999996</v>
      </c>
      <c r="Y67" s="50">
        <f t="shared" ref="Y67:Y98" si="59">IFERROR(IF(N67&gt;0,1-Z67-X67,""),"")</f>
        <v>0.2342096204000001</v>
      </c>
      <c r="Z67" s="50">
        <f t="shared" ref="Z67:Z98" si="60">IFERROR(IF(1-X67-AN67&lt;0.01,0.01,1-X67-AN67),"")</f>
        <v>0.37003518979999994</v>
      </c>
      <c r="AA67" s="51" t="str">
        <f t="shared" ref="AA67:AA98" si="61">IFERROR(VLOOKUP(1/X67,Odds,5,TRUE),"")</f>
        <v>6/4</v>
      </c>
      <c r="AB67" s="51" t="str">
        <f t="shared" ref="AB67:AB98" si="62">IFERROR(VLOOKUP(1/Y67,Odds,5,TRUE),"")</f>
        <v>16/5</v>
      </c>
      <c r="AC67" s="51" t="str">
        <f t="shared" ref="AC67:AC98" si="63">IFERROR(VLOOKUP(1/Z67,Odds,5,TRUE),"")</f>
        <v>17/10</v>
      </c>
      <c r="AD67" s="52">
        <f t="shared" ref="AD67:AD98" si="64">IF(N67=1,1,0)</f>
        <v>0</v>
      </c>
      <c r="AE67" s="52">
        <f t="shared" ref="AE67:AE98" si="65">IF(N67=2,1,0)</f>
        <v>0</v>
      </c>
      <c r="AF67" s="52">
        <f t="shared" ref="AF67:AF98" si="66">IF(N67=3,1,0)</f>
        <v>0</v>
      </c>
      <c r="AG67" s="53" t="str">
        <f t="shared" ref="AG67:AG98" si="67">IFERROR(IF(N67="","",X67*AD67+Y67*AE67+Z67*AF67),"")</f>
        <v/>
      </c>
      <c r="AH67" s="53" t="str">
        <f t="shared" ref="AH67:AH98" si="68">IF(AND(SUM($AD67:$AF67)=1,SUM($X67:$Z67)=1),X67,"")</f>
        <v/>
      </c>
      <c r="AI67" s="53" t="str">
        <f t="shared" ref="AI67:AI98" si="69">IF(AND(SUM($AD67:$AF67)=1,SUM($X67:$Z67)=1),Y67,"")</f>
        <v/>
      </c>
      <c r="AJ67" s="53" t="str">
        <f t="shared" ref="AJ67:AJ98" si="70">IF(AND(SUM($AD67:$AF67)=1,SUM($X67:$Z67)=1),Z67,"")</f>
        <v/>
      </c>
      <c r="AK67" s="54" t="str">
        <f t="shared" ref="AK67:AK98" si="71">IF(AH67="","",AD67)</f>
        <v/>
      </c>
      <c r="AL67" s="54" t="str">
        <f t="shared" ref="AL67:AL98" si="72">IF(AI67="","",AE67)</f>
        <v/>
      </c>
      <c r="AM67" s="54" t="str">
        <f t="shared" ref="AM67:AM98" si="73">IF(AJ67="","",AF67)</f>
        <v/>
      </c>
      <c r="AN67" s="55">
        <f t="shared" ref="AN67:AN98" si="74">IFERROR(AP67-(W67-0.5)*(W67-0.5),"")</f>
        <v>0.23420962040000001</v>
      </c>
      <c r="AO67" s="124">
        <f>Poster!B72</f>
        <v>46200</v>
      </c>
      <c r="AP67" s="55">
        <f t="shared" ref="AP67:AP98" si="75">DFactor</f>
        <v>0.234375</v>
      </c>
    </row>
    <row r="68" spans="1:42" x14ac:dyDescent="0.25">
      <c r="A68" s="44" t="s">
        <v>1341</v>
      </c>
      <c r="B68" s="1">
        <f>IFERROR(VLOOKUP(Poster!$E73,Lookup03,2,FALSE),"")</f>
        <v>48</v>
      </c>
      <c r="C68" s="45">
        <f>COUNTIF(D$2:D68,D68)+COUNTIF(G$2:G68,D68)</f>
        <v>3</v>
      </c>
      <c r="D68" s="46" t="str">
        <f t="shared" ref="D68:D106" si="76">IFERROR(VLOOKUP(B68,Team,2,FALSE),"")</f>
        <v>New Zealand</v>
      </c>
      <c r="E68" s="1">
        <f>IFERROR(VLOOKUP(Poster!$I73,Lookup03,2,FALSE),"")</f>
        <v>9</v>
      </c>
      <c r="F68" s="45">
        <f>COUNTIF(D$2:D68,G68)+COUNTIF(G$2:G68,G68)</f>
        <v>3</v>
      </c>
      <c r="G68" s="46" t="str">
        <f t="shared" ref="G68:G106" si="77">IFERROR(VLOOKUP(E68,Team,2,FALSE),"")</f>
        <v>Belgium</v>
      </c>
      <c r="H68" s="1" t="str">
        <f>IF(Poster!$F73="","",Poster!$F73)</f>
        <v/>
      </c>
      <c r="I68" s="1" t="str">
        <f>IF(Poster!$H73="","",Poster!$H73)</f>
        <v/>
      </c>
      <c r="J68" s="305"/>
      <c r="K68" s="305"/>
      <c r="L68" s="305"/>
      <c r="M68" s="305"/>
      <c r="N68" s="66" t="str">
        <f t="shared" ref="N68:N106" si="78">IF(OR(H68="",H68="P"),"",IF(H68&gt;I68,1,IF(H68=I68,2,3)))</f>
        <v/>
      </c>
      <c r="O68" s="65">
        <f t="shared" ref="O68:O106" si="79">IFERROR(IF(ABS(H68-I68)&gt;GoalDiff,Bonus,0),0)</f>
        <v>0</v>
      </c>
      <c r="P68" s="89">
        <f t="shared" si="56"/>
        <v>1281.2874999999999</v>
      </c>
      <c r="Q68" s="89">
        <f t="shared" si="57"/>
        <v>1728.0334</v>
      </c>
      <c r="R68" s="92">
        <f t="shared" ref="R68:R106" si="80">IFERROR(IF(P68-Q68&gt;735,735,IF(P68-Q68&lt;-735,-735,P68-Q68)),"")</f>
        <v>-446.74590000000012</v>
      </c>
      <c r="S68" s="15" t="str">
        <f t="shared" ref="S68:S106" si="81">CONCATENATE("T",B68,"G",C68)</f>
        <v>T48G3</v>
      </c>
      <c r="T68" s="95" t="str">
        <f t="shared" ref="T68:T106" si="82">IF(H68="P",0,IF(N68="","",(KFactor+O68)/KFactor*VLOOKUP(R68,Ratings,N68+2,TRUE)))</f>
        <v/>
      </c>
      <c r="U68" s="15" t="str">
        <f t="shared" ref="U68:U106" si="83">CONCATENATE("T",E68,"G",F68)</f>
        <v>T9G3</v>
      </c>
      <c r="V68" s="95" t="str">
        <f t="shared" ref="V68:V106" si="84">IF(H68="P",0,IF(N68="","",(KFactor+O68)/KFactor*VLOOKUP(R68,Ratings,N68+5,TRUE)))</f>
        <v/>
      </c>
      <c r="W68" s="50">
        <f t="shared" si="8"/>
        <v>5.4579999999999997E-2</v>
      </c>
      <c r="X68" s="50">
        <f t="shared" si="58"/>
        <v>3.6591988199999988E-2</v>
      </c>
      <c r="Y68" s="50">
        <f t="shared" si="59"/>
        <v>3.5976023600000066E-2</v>
      </c>
      <c r="Z68" s="50">
        <f t="shared" si="60"/>
        <v>0.92743198819999995</v>
      </c>
      <c r="AA68" s="51" t="str">
        <f t="shared" si="61"/>
        <v>26/1</v>
      </c>
      <c r="AB68" s="51" t="str">
        <f t="shared" si="62"/>
        <v>26/1</v>
      </c>
      <c r="AC68" s="51" t="str">
        <f t="shared" si="63"/>
        <v>1/13</v>
      </c>
      <c r="AD68" s="52">
        <f t="shared" si="64"/>
        <v>0</v>
      </c>
      <c r="AE68" s="52">
        <f t="shared" si="65"/>
        <v>0</v>
      </c>
      <c r="AF68" s="52">
        <f t="shared" si="66"/>
        <v>0</v>
      </c>
      <c r="AG68" s="53" t="str">
        <f t="shared" si="67"/>
        <v/>
      </c>
      <c r="AH68" s="53" t="str">
        <f t="shared" si="68"/>
        <v/>
      </c>
      <c r="AI68" s="53" t="str">
        <f t="shared" si="69"/>
        <v/>
      </c>
      <c r="AJ68" s="53" t="str">
        <f t="shared" si="70"/>
        <v/>
      </c>
      <c r="AK68" s="54" t="str">
        <f t="shared" si="71"/>
        <v/>
      </c>
      <c r="AL68" s="54" t="str">
        <f t="shared" si="72"/>
        <v/>
      </c>
      <c r="AM68" s="54" t="str">
        <f t="shared" si="73"/>
        <v/>
      </c>
      <c r="AN68" s="55">
        <f t="shared" si="74"/>
        <v>3.5976023600000018E-2</v>
      </c>
      <c r="AO68" s="124">
        <f>Poster!B73</f>
        <v>46200</v>
      </c>
      <c r="AP68" s="55">
        <f t="shared" si="75"/>
        <v>0.234375</v>
      </c>
    </row>
    <row r="69" spans="1:42" x14ac:dyDescent="0.25">
      <c r="A69" s="44" t="s">
        <v>1342</v>
      </c>
      <c r="B69" s="1">
        <f>IFERROR(VLOOKUP(Poster!$E74,Lookup03,2,FALSE),"")</f>
        <v>30</v>
      </c>
      <c r="C69" s="45">
        <f>COUNTIF(D$2:D69,D69)+COUNTIF(G$2:G69,D69)</f>
        <v>3</v>
      </c>
      <c r="D69" s="46" t="str">
        <f t="shared" si="76"/>
        <v>Panama</v>
      </c>
      <c r="E69" s="1">
        <f>IFERROR(VLOOKUP(Poster!$I74,Lookup03,2,FALSE),"")</f>
        <v>4</v>
      </c>
      <c r="F69" s="45">
        <f>COUNTIF(D$2:D69,G69)+COUNTIF(G$2:G69,G69)</f>
        <v>3</v>
      </c>
      <c r="G69" s="46" t="str">
        <f t="shared" si="77"/>
        <v>England</v>
      </c>
      <c r="H69" s="1" t="str">
        <f>IF(Poster!$F74="","",Poster!$F74)</f>
        <v/>
      </c>
      <c r="I69" s="1" t="str">
        <f>IF(Poster!$H74="","",Poster!$H74)</f>
        <v/>
      </c>
      <c r="J69" s="305"/>
      <c r="K69" s="305"/>
      <c r="L69" s="305"/>
      <c r="M69" s="305"/>
      <c r="N69" s="66" t="str">
        <f t="shared" si="78"/>
        <v/>
      </c>
      <c r="O69" s="65">
        <f t="shared" si="79"/>
        <v>0</v>
      </c>
      <c r="P69" s="89">
        <f t="shared" si="56"/>
        <v>1569</v>
      </c>
      <c r="Q69" s="89">
        <f t="shared" si="57"/>
        <v>1803</v>
      </c>
      <c r="R69" s="92">
        <f t="shared" si="80"/>
        <v>-234</v>
      </c>
      <c r="S69" s="15" t="str">
        <f t="shared" si="81"/>
        <v>T30G3</v>
      </c>
      <c r="T69" s="95" t="str">
        <f t="shared" si="82"/>
        <v/>
      </c>
      <c r="U69" s="15" t="str">
        <f t="shared" si="83"/>
        <v>T4G3</v>
      </c>
      <c r="V69" s="95" t="str">
        <f t="shared" si="84"/>
        <v/>
      </c>
      <c r="W69" s="50">
        <f t="shared" si="8"/>
        <v>0.20300000000000001</v>
      </c>
      <c r="X69" s="50">
        <f t="shared" si="58"/>
        <v>0.129917</v>
      </c>
      <c r="Y69" s="50">
        <f t="shared" si="59"/>
        <v>0.14616600000000007</v>
      </c>
      <c r="Z69" s="50">
        <f t="shared" si="60"/>
        <v>0.72391699999999992</v>
      </c>
      <c r="AA69" s="51" t="str">
        <f t="shared" si="61"/>
        <v>13/2</v>
      </c>
      <c r="AB69" s="51" t="str">
        <f t="shared" si="62"/>
        <v>11/2</v>
      </c>
      <c r="AC69" s="51" t="str">
        <f t="shared" si="63"/>
        <v>19/50</v>
      </c>
      <c r="AD69" s="52">
        <f t="shared" si="64"/>
        <v>0</v>
      </c>
      <c r="AE69" s="52">
        <f t="shared" si="65"/>
        <v>0</v>
      </c>
      <c r="AF69" s="52">
        <f t="shared" si="66"/>
        <v>0</v>
      </c>
      <c r="AG69" s="53" t="str">
        <f t="shared" si="67"/>
        <v/>
      </c>
      <c r="AH69" s="53" t="str">
        <f t="shared" si="68"/>
        <v/>
      </c>
      <c r="AI69" s="53" t="str">
        <f t="shared" si="69"/>
        <v/>
      </c>
      <c r="AJ69" s="53" t="str">
        <f t="shared" si="70"/>
        <v/>
      </c>
      <c r="AK69" s="54" t="str">
        <f t="shared" si="71"/>
        <v/>
      </c>
      <c r="AL69" s="54" t="str">
        <f t="shared" si="72"/>
        <v/>
      </c>
      <c r="AM69" s="54" t="str">
        <f t="shared" si="73"/>
        <v/>
      </c>
      <c r="AN69" s="55">
        <f t="shared" si="74"/>
        <v>0.14616600000000002</v>
      </c>
      <c r="AO69" s="124">
        <f>Poster!B74</f>
        <v>46200</v>
      </c>
      <c r="AP69" s="55">
        <f t="shared" si="75"/>
        <v>0.234375</v>
      </c>
    </row>
    <row r="70" spans="1:42" x14ac:dyDescent="0.25">
      <c r="A70" s="44" t="s">
        <v>1343</v>
      </c>
      <c r="B70" s="1">
        <f>IFERROR(VLOOKUP(Poster!$E75,Lookup03,2,FALSE),"")</f>
        <v>11</v>
      </c>
      <c r="C70" s="45">
        <f>COUNTIF(D$2:D70,D70)+COUNTIF(G$2:G70,D70)</f>
        <v>3</v>
      </c>
      <c r="D70" s="46" t="str">
        <f t="shared" si="76"/>
        <v>Croatia</v>
      </c>
      <c r="E70" s="1">
        <f>IFERROR(VLOOKUP(Poster!$I75,Lookup03,2,FALSE),"")</f>
        <v>45</v>
      </c>
      <c r="F70" s="45">
        <f>COUNTIF(D$2:D70,G70)+COUNTIF(G$2:G70,G70)</f>
        <v>3</v>
      </c>
      <c r="G70" s="46" t="str">
        <f t="shared" si="77"/>
        <v>Ghana</v>
      </c>
      <c r="H70" s="1" t="str">
        <f>IF(Poster!$F75="","",Poster!$F75)</f>
        <v/>
      </c>
      <c r="I70" s="1" t="str">
        <f>IF(Poster!$H75="","",Poster!$H75)</f>
        <v/>
      </c>
      <c r="J70" s="305"/>
      <c r="K70" s="305"/>
      <c r="L70" s="305"/>
      <c r="M70" s="305"/>
      <c r="N70" s="66" t="str">
        <f t="shared" si="78"/>
        <v/>
      </c>
      <c r="O70" s="65">
        <f t="shared" si="79"/>
        <v>0</v>
      </c>
      <c r="P70" s="89">
        <f t="shared" si="56"/>
        <v>1695</v>
      </c>
      <c r="Q70" s="89">
        <f t="shared" si="57"/>
        <v>1447</v>
      </c>
      <c r="R70" s="92">
        <f t="shared" si="80"/>
        <v>248</v>
      </c>
      <c r="S70" s="15" t="str">
        <f t="shared" si="81"/>
        <v>T11G3</v>
      </c>
      <c r="T70" s="95" t="str">
        <f t="shared" si="82"/>
        <v/>
      </c>
      <c r="U70" s="15" t="str">
        <f t="shared" si="83"/>
        <v>T45G3</v>
      </c>
      <c r="V70" s="95" t="str">
        <f t="shared" si="84"/>
        <v/>
      </c>
      <c r="W70" s="50">
        <f t="shared" si="8"/>
        <v>0.81181999999999999</v>
      </c>
      <c r="X70" s="50">
        <f t="shared" si="58"/>
        <v>0.74324835619999996</v>
      </c>
      <c r="Y70" s="50">
        <f t="shared" si="59"/>
        <v>0.13714328759999994</v>
      </c>
      <c r="Z70" s="50">
        <f t="shared" si="60"/>
        <v>0.11960835620000004</v>
      </c>
      <c r="AA70" s="51" t="str">
        <f t="shared" si="61"/>
        <v>17/50</v>
      </c>
      <c r="AB70" s="51" t="str">
        <f t="shared" si="62"/>
        <v>6/1</v>
      </c>
      <c r="AC70" s="51" t="str">
        <f t="shared" si="63"/>
        <v>7/1</v>
      </c>
      <c r="AD70" s="52">
        <f t="shared" si="64"/>
        <v>0</v>
      </c>
      <c r="AE70" s="52">
        <f t="shared" si="65"/>
        <v>0</v>
      </c>
      <c r="AF70" s="52">
        <f t="shared" si="66"/>
        <v>0</v>
      </c>
      <c r="AG70" s="53" t="str">
        <f t="shared" si="67"/>
        <v/>
      </c>
      <c r="AH70" s="53" t="str">
        <f t="shared" si="68"/>
        <v/>
      </c>
      <c r="AI70" s="53" t="str">
        <f t="shared" si="69"/>
        <v/>
      </c>
      <c r="AJ70" s="53" t="str">
        <f t="shared" si="70"/>
        <v/>
      </c>
      <c r="AK70" s="54" t="str">
        <f t="shared" si="71"/>
        <v/>
      </c>
      <c r="AL70" s="54" t="str">
        <f t="shared" si="72"/>
        <v/>
      </c>
      <c r="AM70" s="54" t="str">
        <f t="shared" si="73"/>
        <v/>
      </c>
      <c r="AN70" s="55">
        <f t="shared" si="74"/>
        <v>0.1371432876</v>
      </c>
      <c r="AO70" s="124">
        <f>Poster!B75</f>
        <v>46200</v>
      </c>
      <c r="AP70" s="55">
        <f t="shared" si="75"/>
        <v>0.234375</v>
      </c>
    </row>
    <row r="71" spans="1:42" x14ac:dyDescent="0.25">
      <c r="A71" s="44" t="s">
        <v>1344</v>
      </c>
      <c r="B71" s="1">
        <f>IFERROR(VLOOKUP(Poster!$E76,Lookup03,2,FALSE),"")</f>
        <v>12</v>
      </c>
      <c r="C71" s="45">
        <f>COUNTIF(D$2:D71,D71)+COUNTIF(G$2:G71,D71)</f>
        <v>3</v>
      </c>
      <c r="D71" s="46" t="str">
        <f t="shared" si="76"/>
        <v>Colombia</v>
      </c>
      <c r="E71" s="1">
        <f>IFERROR(VLOOKUP(Poster!$I76,Lookup03,2,FALSE),"")</f>
        <v>5</v>
      </c>
      <c r="F71" s="45">
        <f>COUNTIF(D$2:D71,G71)+COUNTIF(G$2:G71,G71)</f>
        <v>3</v>
      </c>
      <c r="G71" s="46" t="str">
        <f t="shared" si="77"/>
        <v>Portugal</v>
      </c>
      <c r="H71" s="1" t="str">
        <f>IF(Poster!$F76="","",Poster!$F76)</f>
        <v/>
      </c>
      <c r="I71" s="1" t="str">
        <f>IF(Poster!$H76="","",Poster!$H76)</f>
        <v/>
      </c>
      <c r="J71" s="305"/>
      <c r="K71" s="305"/>
      <c r="L71" s="305"/>
      <c r="M71" s="305"/>
      <c r="N71" s="66" t="str">
        <f t="shared" si="78"/>
        <v/>
      </c>
      <c r="O71" s="65">
        <f t="shared" si="79"/>
        <v>0</v>
      </c>
      <c r="P71" s="89">
        <f t="shared" si="56"/>
        <v>1723</v>
      </c>
      <c r="Q71" s="89">
        <f t="shared" si="57"/>
        <v>1798</v>
      </c>
      <c r="R71" s="92">
        <f t="shared" si="80"/>
        <v>-75</v>
      </c>
      <c r="S71" s="15" t="str">
        <f t="shared" si="81"/>
        <v>T12G3</v>
      </c>
      <c r="T71" s="95" t="str">
        <f t="shared" si="82"/>
        <v/>
      </c>
      <c r="U71" s="15" t="str">
        <f t="shared" si="83"/>
        <v>T5G3</v>
      </c>
      <c r="V71" s="95" t="str">
        <f t="shared" si="84"/>
        <v/>
      </c>
      <c r="W71" s="50">
        <f t="shared" si="8"/>
        <v>0.39374999999999999</v>
      </c>
      <c r="X71" s="50">
        <f t="shared" si="58"/>
        <v>0.28220703125000002</v>
      </c>
      <c r="Y71" s="50">
        <f t="shared" si="59"/>
        <v>0.22308593750000005</v>
      </c>
      <c r="Z71" s="50">
        <f t="shared" si="60"/>
        <v>0.49470703124999998</v>
      </c>
      <c r="AA71" s="51" t="str">
        <f t="shared" si="61"/>
        <v>5/2</v>
      </c>
      <c r="AB71" s="51" t="str">
        <f t="shared" si="62"/>
        <v>10/3</v>
      </c>
      <c r="AC71" s="51" t="str">
        <f t="shared" si="63"/>
        <v>51/50</v>
      </c>
      <c r="AD71" s="52">
        <f t="shared" si="64"/>
        <v>0</v>
      </c>
      <c r="AE71" s="52">
        <f t="shared" si="65"/>
        <v>0</v>
      </c>
      <c r="AF71" s="52">
        <f t="shared" si="66"/>
        <v>0</v>
      </c>
      <c r="AG71" s="53" t="str">
        <f t="shared" si="67"/>
        <v/>
      </c>
      <c r="AH71" s="53" t="str">
        <f t="shared" si="68"/>
        <v/>
      </c>
      <c r="AI71" s="53" t="str">
        <f t="shared" si="69"/>
        <v/>
      </c>
      <c r="AJ71" s="53" t="str">
        <f t="shared" si="70"/>
        <v/>
      </c>
      <c r="AK71" s="54" t="str">
        <f t="shared" si="71"/>
        <v/>
      </c>
      <c r="AL71" s="54" t="str">
        <f t="shared" si="72"/>
        <v/>
      </c>
      <c r="AM71" s="54" t="str">
        <f t="shared" si="73"/>
        <v/>
      </c>
      <c r="AN71" s="55">
        <f t="shared" si="74"/>
        <v>0.2230859375</v>
      </c>
      <c r="AO71" s="124">
        <f>Poster!B76</f>
        <v>46201</v>
      </c>
      <c r="AP71" s="55">
        <f t="shared" si="75"/>
        <v>0.234375</v>
      </c>
    </row>
    <row r="72" spans="1:42" x14ac:dyDescent="0.25">
      <c r="A72" s="44" t="s">
        <v>1345</v>
      </c>
      <c r="B72" s="1">
        <f>IFERROR(VLOOKUP(Poster!$E77,Lookup03,2,FALSE),"")</f>
        <v>36</v>
      </c>
      <c r="C72" s="45">
        <f>COUNTIF(D$2:D72,D72)+COUNTIF(G$2:G72,D72)</f>
        <v>3</v>
      </c>
      <c r="D72" s="46" t="str">
        <f t="shared" si="76"/>
        <v>Congo DR</v>
      </c>
      <c r="E72" s="1">
        <f>IFERROR(VLOOKUP(Poster!$I77,Lookup03,2,FALSE),"")</f>
        <v>37</v>
      </c>
      <c r="F72" s="45">
        <f>COUNTIF(D$2:D72,G72)+COUNTIF(G$2:G72,G72)</f>
        <v>3</v>
      </c>
      <c r="G72" s="46" t="str">
        <f t="shared" si="77"/>
        <v>Uzbekistan</v>
      </c>
      <c r="H72" s="1" t="str">
        <f>IF(Poster!$F77="","",Poster!$F77)</f>
        <v/>
      </c>
      <c r="I72" s="1" t="str">
        <f>IF(Poster!$H77="","",Poster!$H77)</f>
        <v/>
      </c>
      <c r="J72" s="305"/>
      <c r="K72" s="305"/>
      <c r="L72" s="305"/>
      <c r="M72" s="305"/>
      <c r="N72" s="66" t="str">
        <f t="shared" si="78"/>
        <v/>
      </c>
      <c r="O72" s="65">
        <f t="shared" si="79"/>
        <v>0</v>
      </c>
      <c r="P72" s="89">
        <f t="shared" si="56"/>
        <v>1474</v>
      </c>
      <c r="Q72" s="89">
        <f t="shared" si="57"/>
        <v>1459</v>
      </c>
      <c r="R72" s="92">
        <f t="shared" si="80"/>
        <v>15</v>
      </c>
      <c r="S72" s="15" t="str">
        <f t="shared" si="81"/>
        <v>T36G3</v>
      </c>
      <c r="T72" s="95" t="str">
        <f t="shared" si="82"/>
        <v/>
      </c>
      <c r="U72" s="15" t="str">
        <f t="shared" si="83"/>
        <v>T37G3</v>
      </c>
      <c r="V72" s="95" t="str">
        <f t="shared" si="84"/>
        <v/>
      </c>
      <c r="W72" s="50">
        <f t="shared" si="8"/>
        <v>0.52571000000000001</v>
      </c>
      <c r="X72" s="50">
        <f t="shared" si="58"/>
        <v>0.40885300205000003</v>
      </c>
      <c r="Y72" s="50">
        <f t="shared" si="59"/>
        <v>0.23371399590000003</v>
      </c>
      <c r="Z72" s="50">
        <f t="shared" si="60"/>
        <v>0.35743300204999995</v>
      </c>
      <c r="AA72" s="51" t="str">
        <f t="shared" si="61"/>
        <v>7/5</v>
      </c>
      <c r="AB72" s="51" t="str">
        <f t="shared" si="62"/>
        <v>16/5</v>
      </c>
      <c r="AC72" s="51" t="str">
        <f t="shared" si="63"/>
        <v>7/4</v>
      </c>
      <c r="AD72" s="52">
        <f t="shared" si="64"/>
        <v>0</v>
      </c>
      <c r="AE72" s="52">
        <f t="shared" si="65"/>
        <v>0</v>
      </c>
      <c r="AF72" s="52">
        <f t="shared" si="66"/>
        <v>0</v>
      </c>
      <c r="AG72" s="53" t="str">
        <f t="shared" si="67"/>
        <v/>
      </c>
      <c r="AH72" s="53" t="str">
        <f t="shared" si="68"/>
        <v/>
      </c>
      <c r="AI72" s="53" t="str">
        <f t="shared" si="69"/>
        <v/>
      </c>
      <c r="AJ72" s="53" t="str">
        <f t="shared" si="70"/>
        <v/>
      </c>
      <c r="AK72" s="54" t="str">
        <f t="shared" si="71"/>
        <v/>
      </c>
      <c r="AL72" s="54" t="str">
        <f t="shared" si="72"/>
        <v/>
      </c>
      <c r="AM72" s="54" t="str">
        <f t="shared" si="73"/>
        <v/>
      </c>
      <c r="AN72" s="55">
        <f t="shared" si="74"/>
        <v>0.2337139959</v>
      </c>
      <c r="AO72" s="124">
        <f>Poster!B77</f>
        <v>46201</v>
      </c>
      <c r="AP72" s="55">
        <f t="shared" si="75"/>
        <v>0.234375</v>
      </c>
    </row>
    <row r="73" spans="1:42" x14ac:dyDescent="0.25">
      <c r="A73" s="44" t="s">
        <v>1346</v>
      </c>
      <c r="B73" s="1">
        <f>IFERROR(VLOOKUP(Poster!$E78,Lookup03,2,FALSE),"")</f>
        <v>25</v>
      </c>
      <c r="C73" s="45">
        <f>COUNTIF(D$2:D73,D73)+COUNTIF(G$2:G73,D73)</f>
        <v>3</v>
      </c>
      <c r="D73" s="46" t="str">
        <f t="shared" si="76"/>
        <v>Algeria</v>
      </c>
      <c r="E73" s="1">
        <f>IFERROR(VLOOKUP(Poster!$I78,Lookup03,2,FALSE),"")</f>
        <v>22</v>
      </c>
      <c r="F73" s="45">
        <f>COUNTIF(D$2:D73,G73)+COUNTIF(G$2:G73,G73)</f>
        <v>3</v>
      </c>
      <c r="G73" s="46" t="str">
        <f t="shared" si="77"/>
        <v>Austria</v>
      </c>
      <c r="H73" s="1" t="str">
        <f>IF(Poster!$F78="","",Poster!$F78)</f>
        <v/>
      </c>
      <c r="I73" s="1" t="str">
        <f>IF(Poster!$H78="","",Poster!$H78)</f>
        <v/>
      </c>
      <c r="J73" s="305"/>
      <c r="K73" s="305"/>
      <c r="L73" s="305"/>
      <c r="M73" s="305"/>
      <c r="N73" s="66" t="str">
        <f t="shared" si="78"/>
        <v/>
      </c>
      <c r="O73" s="65">
        <f t="shared" si="79"/>
        <v>0</v>
      </c>
      <c r="P73" s="89">
        <f t="shared" si="56"/>
        <v>1591</v>
      </c>
      <c r="Q73" s="89">
        <f t="shared" si="57"/>
        <v>1607</v>
      </c>
      <c r="R73" s="92">
        <f t="shared" si="80"/>
        <v>-16</v>
      </c>
      <c r="S73" s="15" t="str">
        <f t="shared" si="81"/>
        <v>T25G3</v>
      </c>
      <c r="T73" s="95" t="str">
        <f t="shared" si="82"/>
        <v/>
      </c>
      <c r="U73" s="15" t="str">
        <f t="shared" si="83"/>
        <v>T22G3</v>
      </c>
      <c r="V73" s="95" t="str">
        <f t="shared" si="84"/>
        <v/>
      </c>
      <c r="W73" s="50">
        <f t="shared" si="8"/>
        <v>0.47428999999999999</v>
      </c>
      <c r="X73" s="50">
        <f t="shared" si="58"/>
        <v>0.35743300205</v>
      </c>
      <c r="Y73" s="50">
        <f t="shared" si="59"/>
        <v>0.23371399590000003</v>
      </c>
      <c r="Z73" s="50">
        <f t="shared" si="60"/>
        <v>0.40885300204999997</v>
      </c>
      <c r="AA73" s="51" t="str">
        <f t="shared" si="61"/>
        <v>7/4</v>
      </c>
      <c r="AB73" s="51" t="str">
        <f t="shared" si="62"/>
        <v>16/5</v>
      </c>
      <c r="AC73" s="51" t="str">
        <f t="shared" si="63"/>
        <v>7/5</v>
      </c>
      <c r="AD73" s="52">
        <f t="shared" si="64"/>
        <v>0</v>
      </c>
      <c r="AE73" s="52">
        <f t="shared" si="65"/>
        <v>0</v>
      </c>
      <c r="AF73" s="52">
        <f t="shared" si="66"/>
        <v>0</v>
      </c>
      <c r="AG73" s="53" t="str">
        <f t="shared" si="67"/>
        <v/>
      </c>
      <c r="AH73" s="53" t="str">
        <f t="shared" si="68"/>
        <v/>
      </c>
      <c r="AI73" s="53" t="str">
        <f t="shared" si="69"/>
        <v/>
      </c>
      <c r="AJ73" s="53" t="str">
        <f t="shared" si="70"/>
        <v/>
      </c>
      <c r="AK73" s="54" t="str">
        <f t="shared" si="71"/>
        <v/>
      </c>
      <c r="AL73" s="54" t="str">
        <f t="shared" si="72"/>
        <v/>
      </c>
      <c r="AM73" s="54" t="str">
        <f t="shared" si="73"/>
        <v/>
      </c>
      <c r="AN73" s="55">
        <f t="shared" si="74"/>
        <v>0.2337139959</v>
      </c>
      <c r="AO73" s="124">
        <f>Poster!B78</f>
        <v>46201</v>
      </c>
      <c r="AP73" s="55">
        <f t="shared" si="75"/>
        <v>0.234375</v>
      </c>
    </row>
    <row r="74" spans="1:42" x14ac:dyDescent="0.25">
      <c r="A74" s="44" t="s">
        <v>1347</v>
      </c>
      <c r="B74" s="1">
        <f>IFERROR(VLOOKUP(Poster!$E79,Lookup03,2,FALSE),"")</f>
        <v>42</v>
      </c>
      <c r="C74" s="45">
        <f>COUNTIF(D$2:D74,D74)+COUNTIF(G$2:G74,D74)</f>
        <v>3</v>
      </c>
      <c r="D74" s="46" t="str">
        <f t="shared" si="76"/>
        <v>Jordan</v>
      </c>
      <c r="E74" s="1">
        <f>IFERROR(VLOOKUP(Poster!$I79,Lookup03,2,FALSE),"")</f>
        <v>1</v>
      </c>
      <c r="F74" s="45">
        <f>COUNTIF(D$2:D74,G74)+COUNTIF(G$2:G74,G74)</f>
        <v>3</v>
      </c>
      <c r="G74" s="46" t="str">
        <f t="shared" si="77"/>
        <v>Argentina</v>
      </c>
      <c r="H74" s="1" t="str">
        <f>IF(Poster!$F79="","",Poster!$F79)</f>
        <v/>
      </c>
      <c r="I74" s="1" t="str">
        <f>IF(Poster!$H79="","",Poster!$H79)</f>
        <v/>
      </c>
      <c r="J74" s="305"/>
      <c r="K74" s="305"/>
      <c r="L74" s="305"/>
      <c r="M74" s="305"/>
      <c r="N74" s="66" t="str">
        <f t="shared" si="78"/>
        <v/>
      </c>
      <c r="O74" s="65">
        <f t="shared" si="79"/>
        <v>0</v>
      </c>
      <c r="P74" s="89">
        <f t="shared" si="56"/>
        <v>1388</v>
      </c>
      <c r="Q74" s="89">
        <f t="shared" si="57"/>
        <v>1792</v>
      </c>
      <c r="R74" s="92">
        <f t="shared" si="80"/>
        <v>-404</v>
      </c>
      <c r="S74" s="15" t="str">
        <f t="shared" si="81"/>
        <v>T42G3</v>
      </c>
      <c r="T74" s="95" t="str">
        <f t="shared" si="82"/>
        <v/>
      </c>
      <c r="U74" s="15" t="str">
        <f t="shared" si="83"/>
        <v>T1G3</v>
      </c>
      <c r="V74" s="95" t="str">
        <f t="shared" si="84"/>
        <v/>
      </c>
      <c r="W74" s="50">
        <f t="shared" si="8"/>
        <v>7.4499999999999997E-2</v>
      </c>
      <c r="X74" s="50">
        <f t="shared" si="58"/>
        <v>4.7837624999999995E-2</v>
      </c>
      <c r="Y74" s="50">
        <f t="shared" si="59"/>
        <v>5.3324750000000032E-2</v>
      </c>
      <c r="Z74" s="50">
        <f t="shared" si="60"/>
        <v>0.89883762499999997</v>
      </c>
      <c r="AA74" s="51" t="str">
        <f t="shared" si="61"/>
        <v>39/2</v>
      </c>
      <c r="AB74" s="51" t="str">
        <f t="shared" si="62"/>
        <v>35/2</v>
      </c>
      <c r="AC74" s="51" t="str">
        <f t="shared" si="63"/>
        <v>1/9</v>
      </c>
      <c r="AD74" s="52">
        <f t="shared" si="64"/>
        <v>0</v>
      </c>
      <c r="AE74" s="52">
        <f t="shared" si="65"/>
        <v>0</v>
      </c>
      <c r="AF74" s="52">
        <f t="shared" si="66"/>
        <v>0</v>
      </c>
      <c r="AG74" s="53" t="str">
        <f t="shared" si="67"/>
        <v/>
      </c>
      <c r="AH74" s="53" t="str">
        <f t="shared" si="68"/>
        <v/>
      </c>
      <c r="AI74" s="53" t="str">
        <f t="shared" si="69"/>
        <v/>
      </c>
      <c r="AJ74" s="53" t="str">
        <f t="shared" si="70"/>
        <v/>
      </c>
      <c r="AK74" s="54" t="str">
        <f t="shared" si="71"/>
        <v/>
      </c>
      <c r="AL74" s="54" t="str">
        <f t="shared" si="72"/>
        <v/>
      </c>
      <c r="AM74" s="54" t="str">
        <f t="shared" si="73"/>
        <v/>
      </c>
      <c r="AN74" s="55">
        <f t="shared" si="74"/>
        <v>5.3324750000000004E-2</v>
      </c>
      <c r="AO74" s="124">
        <f>Poster!B79</f>
        <v>46201</v>
      </c>
      <c r="AP74" s="55">
        <f t="shared" si="75"/>
        <v>0.234375</v>
      </c>
    </row>
    <row r="75" spans="1:42" x14ac:dyDescent="0.25">
      <c r="A75" s="44" t="s">
        <v>1229</v>
      </c>
      <c r="B75" s="1" t="str">
        <f>IFERROR(VLOOKUP(Poster!$E84,Lookup03,2,FALSE),"")</f>
        <v/>
      </c>
      <c r="C75" s="45">
        <f>COUNTIF(D$2:D75,D75)+COUNTIF(G$2:G75,D75)</f>
        <v>2</v>
      </c>
      <c r="D75" s="46" t="str">
        <f t="shared" si="76"/>
        <v/>
      </c>
      <c r="E75" s="1" t="str">
        <f>IFERROR(VLOOKUP(Poster!$I84,Lookup03,2,FALSE),"")</f>
        <v/>
      </c>
      <c r="F75" s="45">
        <f>COUNTIF(D$2:D75,G75)+COUNTIF(G$2:G75,G75)</f>
        <v>2</v>
      </c>
      <c r="G75" s="46" t="str">
        <f t="shared" si="77"/>
        <v/>
      </c>
      <c r="H75" s="1" t="str">
        <f>IF(Poster!$F84="","",Poster!$F84)</f>
        <v/>
      </c>
      <c r="I75" s="1" t="str">
        <f>IF(Poster!$H84="","",Poster!$H84)</f>
        <v/>
      </c>
      <c r="J75" s="1" t="str">
        <f>IF(Poster!$F85="","",Poster!$F85)</f>
        <v/>
      </c>
      <c r="K75" s="1" t="str">
        <f>IF(Poster!$H85="","",Poster!$H85)</f>
        <v/>
      </c>
      <c r="L75" s="1" t="str">
        <f>IF(Poster!$F86="","",Poster!$F86)</f>
        <v/>
      </c>
      <c r="M75" s="1" t="str">
        <f>IF(Poster!$H86="","",Poster!$H86)</f>
        <v/>
      </c>
      <c r="N75" s="66" t="str">
        <f t="shared" si="78"/>
        <v/>
      </c>
      <c r="O75" s="65">
        <f t="shared" si="79"/>
        <v>0</v>
      </c>
      <c r="P75" s="89" t="str">
        <f t="shared" si="56"/>
        <v/>
      </c>
      <c r="Q75" s="89" t="str">
        <f t="shared" si="57"/>
        <v/>
      </c>
      <c r="R75" s="92" t="str">
        <f t="shared" si="80"/>
        <v/>
      </c>
      <c r="S75" s="15" t="str">
        <f t="shared" si="81"/>
        <v>TG2</v>
      </c>
      <c r="T75" s="95" t="str">
        <f t="shared" si="82"/>
        <v/>
      </c>
      <c r="U75" s="15" t="str">
        <f t="shared" si="83"/>
        <v>TG2</v>
      </c>
      <c r="V75" s="95" t="str">
        <f t="shared" si="84"/>
        <v/>
      </c>
      <c r="W75" s="50" t="str">
        <f t="shared" si="8"/>
        <v/>
      </c>
      <c r="X75" s="50" t="str">
        <f t="shared" si="58"/>
        <v/>
      </c>
      <c r="Y75" s="50" t="str">
        <f t="shared" si="59"/>
        <v/>
      </c>
      <c r="Z75" s="50" t="str">
        <f t="shared" si="60"/>
        <v/>
      </c>
      <c r="AA75" s="51" t="str">
        <f t="shared" si="61"/>
        <v/>
      </c>
      <c r="AB75" s="51" t="str">
        <f t="shared" si="62"/>
        <v/>
      </c>
      <c r="AC75" s="51" t="str">
        <f t="shared" si="63"/>
        <v/>
      </c>
      <c r="AD75" s="52">
        <f t="shared" si="64"/>
        <v>0</v>
      </c>
      <c r="AE75" s="52">
        <f t="shared" si="65"/>
        <v>0</v>
      </c>
      <c r="AF75" s="52">
        <f t="shared" si="66"/>
        <v>0</v>
      </c>
      <c r="AG75" s="53" t="str">
        <f t="shared" si="67"/>
        <v/>
      </c>
      <c r="AH75" s="53" t="str">
        <f t="shared" si="68"/>
        <v/>
      </c>
      <c r="AI75" s="53" t="str">
        <f t="shared" si="69"/>
        <v/>
      </c>
      <c r="AJ75" s="53" t="str">
        <f t="shared" si="70"/>
        <v/>
      </c>
      <c r="AK75" s="54" t="str">
        <f t="shared" si="71"/>
        <v/>
      </c>
      <c r="AL75" s="54" t="str">
        <f t="shared" si="72"/>
        <v/>
      </c>
      <c r="AM75" s="54" t="str">
        <f t="shared" si="73"/>
        <v/>
      </c>
      <c r="AN75" s="55" t="str">
        <f t="shared" si="74"/>
        <v/>
      </c>
      <c r="AO75" s="124">
        <f>Poster!B84</f>
        <v>46201</v>
      </c>
      <c r="AP75" s="55">
        <f t="shared" si="75"/>
        <v>0.234375</v>
      </c>
    </row>
    <row r="76" spans="1:42" x14ac:dyDescent="0.25">
      <c r="A76" s="44" t="s">
        <v>1231</v>
      </c>
      <c r="B76" s="1" t="str">
        <f>IFERROR(VLOOKUP(Poster!$E87,Lookup03,2,FALSE),"")</f>
        <v/>
      </c>
      <c r="C76" s="45">
        <f>COUNTIF(D$2:D76,D76)+COUNTIF(G$2:G76,D76)</f>
        <v>4</v>
      </c>
      <c r="D76" s="46" t="str">
        <f t="shared" si="76"/>
        <v/>
      </c>
      <c r="E76" s="1" t="str">
        <f>IFERROR(VLOOKUP(Poster!$I87,Lookup03,2,FALSE),"")</f>
        <v/>
      </c>
      <c r="F76" s="45">
        <f>COUNTIF(D$2:D76,G76)+COUNTIF(G$2:G76,G76)</f>
        <v>4</v>
      </c>
      <c r="G76" s="46" t="str">
        <f t="shared" si="77"/>
        <v/>
      </c>
      <c r="H76" s="1" t="str">
        <f>IF(Poster!$F87="","",Poster!$F87)</f>
        <v/>
      </c>
      <c r="I76" s="1" t="str">
        <f>IF(Poster!$H87="","",Poster!$H87)</f>
        <v/>
      </c>
      <c r="J76" s="1" t="str">
        <f>IF(Poster!$F88="","",Poster!$F88)</f>
        <v/>
      </c>
      <c r="K76" s="1" t="str">
        <f>IF(Poster!$H88="","",Poster!$H88)</f>
        <v/>
      </c>
      <c r="L76" s="1" t="str">
        <f>IF(Poster!$F89="","",Poster!$F89)</f>
        <v/>
      </c>
      <c r="M76" s="1" t="str">
        <f>IF(Poster!$H89="","",Poster!$H89)</f>
        <v/>
      </c>
      <c r="N76" s="66" t="str">
        <f t="shared" si="78"/>
        <v/>
      </c>
      <c r="O76" s="65">
        <f t="shared" si="79"/>
        <v>0</v>
      </c>
      <c r="P76" s="89" t="str">
        <f t="shared" si="56"/>
        <v/>
      </c>
      <c r="Q76" s="89" t="str">
        <f t="shared" si="57"/>
        <v/>
      </c>
      <c r="R76" s="92" t="str">
        <f t="shared" si="80"/>
        <v/>
      </c>
      <c r="S76" s="15" t="str">
        <f t="shared" si="81"/>
        <v>TG4</v>
      </c>
      <c r="T76" s="95" t="str">
        <f t="shared" si="82"/>
        <v/>
      </c>
      <c r="U76" s="15" t="str">
        <f t="shared" si="83"/>
        <v>TG4</v>
      </c>
      <c r="V76" s="95" t="str">
        <f t="shared" si="84"/>
        <v/>
      </c>
      <c r="W76" s="50" t="str">
        <f t="shared" si="8"/>
        <v/>
      </c>
      <c r="X76" s="50" t="str">
        <f t="shared" si="58"/>
        <v/>
      </c>
      <c r="Y76" s="50" t="str">
        <f t="shared" si="59"/>
        <v/>
      </c>
      <c r="Z76" s="50" t="str">
        <f t="shared" si="60"/>
        <v/>
      </c>
      <c r="AA76" s="51" t="str">
        <f t="shared" si="61"/>
        <v/>
      </c>
      <c r="AB76" s="51" t="str">
        <f t="shared" si="62"/>
        <v/>
      </c>
      <c r="AC76" s="51" t="str">
        <f t="shared" si="63"/>
        <v/>
      </c>
      <c r="AD76" s="52">
        <f t="shared" si="64"/>
        <v>0</v>
      </c>
      <c r="AE76" s="52">
        <f t="shared" si="65"/>
        <v>0</v>
      </c>
      <c r="AF76" s="52">
        <f t="shared" si="66"/>
        <v>0</v>
      </c>
      <c r="AG76" s="53" t="str">
        <f t="shared" si="67"/>
        <v/>
      </c>
      <c r="AH76" s="53" t="str">
        <f t="shared" si="68"/>
        <v/>
      </c>
      <c r="AI76" s="53" t="str">
        <f t="shared" si="69"/>
        <v/>
      </c>
      <c r="AJ76" s="53" t="str">
        <f t="shared" si="70"/>
        <v/>
      </c>
      <c r="AK76" s="54" t="str">
        <f t="shared" si="71"/>
        <v/>
      </c>
      <c r="AL76" s="54" t="str">
        <f t="shared" si="72"/>
        <v/>
      </c>
      <c r="AM76" s="54" t="str">
        <f t="shared" si="73"/>
        <v/>
      </c>
      <c r="AN76" s="55" t="str">
        <f t="shared" si="74"/>
        <v/>
      </c>
      <c r="AO76" s="124">
        <f>Poster!B87</f>
        <v>46202</v>
      </c>
      <c r="AP76" s="55">
        <f t="shared" si="75"/>
        <v>0.234375</v>
      </c>
    </row>
    <row r="77" spans="1:42" x14ac:dyDescent="0.25">
      <c r="A77" s="44" t="s">
        <v>1232</v>
      </c>
      <c r="B77" s="1" t="str">
        <f>IFERROR(VLOOKUP(Poster!$E90,Lookup03,2,FALSE),"")</f>
        <v/>
      </c>
      <c r="C77" s="45">
        <f>COUNTIF(D$2:D77,D77)+COUNTIF(G$2:G77,D77)</f>
        <v>6</v>
      </c>
      <c r="D77" s="46" t="str">
        <f t="shared" si="76"/>
        <v/>
      </c>
      <c r="E77" s="1" t="str">
        <f>IFERROR(VLOOKUP(Poster!$I90,Lookup03,2,FALSE),"")</f>
        <v/>
      </c>
      <c r="F77" s="45">
        <f>COUNTIF(D$2:D77,G77)+COUNTIF(G$2:G77,G77)</f>
        <v>6</v>
      </c>
      <c r="G77" s="46" t="str">
        <f t="shared" si="77"/>
        <v/>
      </c>
      <c r="H77" s="1" t="str">
        <f>IF(Poster!$F90="","",Poster!$F90)</f>
        <v/>
      </c>
      <c r="I77" s="1" t="str">
        <f>IF(Poster!$H90="","",Poster!$H90)</f>
        <v/>
      </c>
      <c r="J77" s="1" t="str">
        <f>IF(Poster!$F91="","",Poster!$F91)</f>
        <v/>
      </c>
      <c r="K77" s="1" t="str">
        <f>IF(Poster!$H91="","",Poster!$H91)</f>
        <v/>
      </c>
      <c r="L77" s="1" t="str">
        <f>IF(Poster!$F92="","",Poster!$F92)</f>
        <v/>
      </c>
      <c r="M77" s="1" t="str">
        <f>IF(Poster!$H92="","",Poster!$H92)</f>
        <v/>
      </c>
      <c r="N77" s="66" t="str">
        <f t="shared" si="78"/>
        <v/>
      </c>
      <c r="O77" s="65">
        <f t="shared" si="79"/>
        <v>0</v>
      </c>
      <c r="P77" s="89" t="str">
        <f t="shared" si="56"/>
        <v/>
      </c>
      <c r="Q77" s="89" t="str">
        <f t="shared" si="57"/>
        <v/>
      </c>
      <c r="R77" s="92" t="str">
        <f t="shared" si="80"/>
        <v/>
      </c>
      <c r="S77" s="15" t="str">
        <f t="shared" si="81"/>
        <v>TG6</v>
      </c>
      <c r="T77" s="95" t="str">
        <f t="shared" si="82"/>
        <v/>
      </c>
      <c r="U77" s="15" t="str">
        <f t="shared" si="83"/>
        <v>TG6</v>
      </c>
      <c r="V77" s="95" t="str">
        <f t="shared" si="84"/>
        <v/>
      </c>
      <c r="W77" s="50" t="str">
        <f t="shared" si="8"/>
        <v/>
      </c>
      <c r="X77" s="50" t="str">
        <f t="shared" si="58"/>
        <v/>
      </c>
      <c r="Y77" s="50" t="str">
        <f t="shared" si="59"/>
        <v/>
      </c>
      <c r="Z77" s="50" t="str">
        <f t="shared" si="60"/>
        <v/>
      </c>
      <c r="AA77" s="51" t="str">
        <f t="shared" si="61"/>
        <v/>
      </c>
      <c r="AB77" s="51" t="str">
        <f t="shared" si="62"/>
        <v/>
      </c>
      <c r="AC77" s="51" t="str">
        <f t="shared" si="63"/>
        <v/>
      </c>
      <c r="AD77" s="52">
        <f t="shared" si="64"/>
        <v>0</v>
      </c>
      <c r="AE77" s="52">
        <f t="shared" si="65"/>
        <v>0</v>
      </c>
      <c r="AF77" s="52">
        <f t="shared" si="66"/>
        <v>0</v>
      </c>
      <c r="AG77" s="53" t="str">
        <f t="shared" si="67"/>
        <v/>
      </c>
      <c r="AH77" s="53" t="str">
        <f t="shared" si="68"/>
        <v/>
      </c>
      <c r="AI77" s="53" t="str">
        <f t="shared" si="69"/>
        <v/>
      </c>
      <c r="AJ77" s="53" t="str">
        <f t="shared" si="70"/>
        <v/>
      </c>
      <c r="AK77" s="54" t="str">
        <f t="shared" si="71"/>
        <v/>
      </c>
      <c r="AL77" s="54" t="str">
        <f t="shared" si="72"/>
        <v/>
      </c>
      <c r="AM77" s="54" t="str">
        <f t="shared" si="73"/>
        <v/>
      </c>
      <c r="AN77" s="55" t="str">
        <f t="shared" si="74"/>
        <v/>
      </c>
      <c r="AO77" s="124">
        <f>Poster!B90</f>
        <v>46202</v>
      </c>
      <c r="AP77" s="55">
        <f t="shared" si="75"/>
        <v>0.234375</v>
      </c>
    </row>
    <row r="78" spans="1:42" x14ac:dyDescent="0.25">
      <c r="A78" s="44" t="s">
        <v>1230</v>
      </c>
      <c r="B78" s="1" t="str">
        <f>IFERROR(VLOOKUP(Poster!$E93,Lookup03,2,FALSE),"")</f>
        <v/>
      </c>
      <c r="C78" s="45">
        <f>COUNTIF(D$2:D78,D78)+COUNTIF(G$2:G78,D78)</f>
        <v>8</v>
      </c>
      <c r="D78" s="46" t="str">
        <f t="shared" si="76"/>
        <v/>
      </c>
      <c r="E78" s="1" t="str">
        <f>IFERROR(VLOOKUP(Poster!$I93,Lookup03,2,FALSE),"")</f>
        <v/>
      </c>
      <c r="F78" s="45">
        <f>COUNTIF(D$2:D78,G78)+COUNTIF(G$2:G78,G78)</f>
        <v>8</v>
      </c>
      <c r="G78" s="46" t="str">
        <f t="shared" si="77"/>
        <v/>
      </c>
      <c r="H78" s="1" t="str">
        <f>IF(Poster!$F93="","",Poster!$F93)</f>
        <v/>
      </c>
      <c r="I78" s="1" t="str">
        <f>IF(Poster!$H93="","",Poster!$H93)</f>
        <v/>
      </c>
      <c r="J78" s="1" t="str">
        <f>IF(Poster!$F94="","",Poster!$F94)</f>
        <v/>
      </c>
      <c r="K78" s="1" t="str">
        <f>IF(Poster!$H94="","",Poster!$H94)</f>
        <v/>
      </c>
      <c r="L78" s="1" t="str">
        <f>IF(Poster!$F95="","",Poster!$F95)</f>
        <v/>
      </c>
      <c r="M78" s="1" t="str">
        <f>IF(Poster!$H95="","",Poster!$H95)</f>
        <v/>
      </c>
      <c r="N78" s="66" t="str">
        <f t="shared" si="78"/>
        <v/>
      </c>
      <c r="O78" s="65">
        <f t="shared" si="79"/>
        <v>0</v>
      </c>
      <c r="P78" s="89" t="str">
        <f t="shared" si="56"/>
        <v/>
      </c>
      <c r="Q78" s="89" t="str">
        <f t="shared" si="57"/>
        <v/>
      </c>
      <c r="R78" s="92" t="str">
        <f t="shared" si="80"/>
        <v/>
      </c>
      <c r="S78" s="15" t="str">
        <f t="shared" si="81"/>
        <v>TG8</v>
      </c>
      <c r="T78" s="95" t="str">
        <f t="shared" si="82"/>
        <v/>
      </c>
      <c r="U78" s="15" t="str">
        <f t="shared" si="83"/>
        <v>TG8</v>
      </c>
      <c r="V78" s="95" t="str">
        <f t="shared" si="84"/>
        <v/>
      </c>
      <c r="W78" s="50" t="str">
        <f t="shared" si="8"/>
        <v/>
      </c>
      <c r="X78" s="50" t="str">
        <f t="shared" si="58"/>
        <v/>
      </c>
      <c r="Y78" s="50" t="str">
        <f t="shared" si="59"/>
        <v/>
      </c>
      <c r="Z78" s="50" t="str">
        <f t="shared" si="60"/>
        <v/>
      </c>
      <c r="AA78" s="51" t="str">
        <f t="shared" si="61"/>
        <v/>
      </c>
      <c r="AB78" s="51" t="str">
        <f t="shared" si="62"/>
        <v/>
      </c>
      <c r="AC78" s="51" t="str">
        <f t="shared" si="63"/>
        <v/>
      </c>
      <c r="AD78" s="52">
        <f t="shared" si="64"/>
        <v>0</v>
      </c>
      <c r="AE78" s="52">
        <f t="shared" si="65"/>
        <v>0</v>
      </c>
      <c r="AF78" s="52">
        <f t="shared" si="66"/>
        <v>0</v>
      </c>
      <c r="AG78" s="53" t="str">
        <f t="shared" si="67"/>
        <v/>
      </c>
      <c r="AH78" s="53" t="str">
        <f t="shared" si="68"/>
        <v/>
      </c>
      <c r="AI78" s="53" t="str">
        <f t="shared" si="69"/>
        <v/>
      </c>
      <c r="AJ78" s="53" t="str">
        <f t="shared" si="70"/>
        <v/>
      </c>
      <c r="AK78" s="54" t="str">
        <f t="shared" si="71"/>
        <v/>
      </c>
      <c r="AL78" s="54" t="str">
        <f t="shared" si="72"/>
        <v/>
      </c>
      <c r="AM78" s="54" t="str">
        <f t="shared" si="73"/>
        <v/>
      </c>
      <c r="AN78" s="55" t="str">
        <f t="shared" si="74"/>
        <v/>
      </c>
      <c r="AO78" s="124">
        <f>Poster!B93</f>
        <v>46203</v>
      </c>
      <c r="AP78" s="55">
        <f t="shared" si="75"/>
        <v>0.234375</v>
      </c>
    </row>
    <row r="79" spans="1:42" x14ac:dyDescent="0.25">
      <c r="A79" s="44" t="s">
        <v>1233</v>
      </c>
      <c r="B79" s="1" t="str">
        <f>IFERROR(VLOOKUP(Poster!$E96,Lookup03,2,FALSE),"")</f>
        <v/>
      </c>
      <c r="C79" s="45">
        <f>COUNTIF(D$2:D79,D79)+COUNTIF(G$2:G79,D79)</f>
        <v>10</v>
      </c>
      <c r="D79" s="46" t="str">
        <f t="shared" si="76"/>
        <v/>
      </c>
      <c r="E79" s="1" t="str">
        <f>IFERROR(VLOOKUP(Poster!$I96,Lookup03,2,FALSE),"")</f>
        <v/>
      </c>
      <c r="F79" s="45">
        <f>COUNTIF(D$2:D79,G79)+COUNTIF(G$2:G79,G79)</f>
        <v>10</v>
      </c>
      <c r="G79" s="46" t="str">
        <f t="shared" si="77"/>
        <v/>
      </c>
      <c r="H79" s="1" t="str">
        <f>IF(Poster!$F96="","",Poster!$F96)</f>
        <v/>
      </c>
      <c r="I79" s="1" t="str">
        <f>IF(Poster!$H96="","",Poster!$H96)</f>
        <v/>
      </c>
      <c r="J79" s="1" t="str">
        <f>IF(Poster!$F97="","",Poster!$F97)</f>
        <v/>
      </c>
      <c r="K79" s="1" t="str">
        <f>IF(Poster!$H97="","",Poster!$H97)</f>
        <v/>
      </c>
      <c r="L79" s="1" t="str">
        <f>IF(Poster!$F98="","",Poster!$F98)</f>
        <v/>
      </c>
      <c r="M79" s="1" t="str">
        <f>IF(Poster!$H98="","",Poster!$H98)</f>
        <v/>
      </c>
      <c r="N79" s="66" t="str">
        <f t="shared" si="78"/>
        <v/>
      </c>
      <c r="O79" s="65">
        <f t="shared" si="79"/>
        <v>0</v>
      </c>
      <c r="P79" s="89" t="str">
        <f t="shared" si="56"/>
        <v/>
      </c>
      <c r="Q79" s="89" t="str">
        <f t="shared" si="57"/>
        <v/>
      </c>
      <c r="R79" s="92" t="str">
        <f t="shared" si="80"/>
        <v/>
      </c>
      <c r="S79" s="15" t="str">
        <f t="shared" si="81"/>
        <v>TG10</v>
      </c>
      <c r="T79" s="95" t="str">
        <f t="shared" si="82"/>
        <v/>
      </c>
      <c r="U79" s="15" t="str">
        <f t="shared" si="83"/>
        <v>TG10</v>
      </c>
      <c r="V79" s="95" t="str">
        <f t="shared" si="84"/>
        <v/>
      </c>
      <c r="W79" s="50" t="str">
        <f t="shared" si="8"/>
        <v/>
      </c>
      <c r="X79" s="50" t="str">
        <f t="shared" si="58"/>
        <v/>
      </c>
      <c r="Y79" s="50" t="str">
        <f t="shared" si="59"/>
        <v/>
      </c>
      <c r="Z79" s="50" t="str">
        <f t="shared" si="60"/>
        <v/>
      </c>
      <c r="AA79" s="51" t="str">
        <f t="shared" si="61"/>
        <v/>
      </c>
      <c r="AB79" s="51" t="str">
        <f t="shared" si="62"/>
        <v/>
      </c>
      <c r="AC79" s="51" t="str">
        <f t="shared" si="63"/>
        <v/>
      </c>
      <c r="AD79" s="52">
        <f t="shared" si="64"/>
        <v>0</v>
      </c>
      <c r="AE79" s="52">
        <f t="shared" si="65"/>
        <v>0</v>
      </c>
      <c r="AF79" s="52">
        <f t="shared" si="66"/>
        <v>0</v>
      </c>
      <c r="AG79" s="53" t="str">
        <f t="shared" si="67"/>
        <v/>
      </c>
      <c r="AH79" s="53" t="str">
        <f t="shared" si="68"/>
        <v/>
      </c>
      <c r="AI79" s="53" t="str">
        <f t="shared" si="69"/>
        <v/>
      </c>
      <c r="AJ79" s="53" t="str">
        <f t="shared" si="70"/>
        <v/>
      </c>
      <c r="AK79" s="54" t="str">
        <f t="shared" si="71"/>
        <v/>
      </c>
      <c r="AL79" s="54" t="str">
        <f t="shared" si="72"/>
        <v/>
      </c>
      <c r="AM79" s="54" t="str">
        <f t="shared" si="73"/>
        <v/>
      </c>
      <c r="AN79" s="55" t="str">
        <f t="shared" si="74"/>
        <v/>
      </c>
      <c r="AO79" s="124">
        <f>Poster!B96</f>
        <v>46203</v>
      </c>
      <c r="AP79" s="55">
        <f t="shared" si="75"/>
        <v>0.234375</v>
      </c>
    </row>
    <row r="80" spans="1:42" x14ac:dyDescent="0.25">
      <c r="A80" s="44" t="s">
        <v>1234</v>
      </c>
      <c r="B80" s="1" t="str">
        <f>IFERROR(VLOOKUP(Poster!$E99,Lookup03,2,FALSE),"")</f>
        <v/>
      </c>
      <c r="C80" s="45">
        <f>COUNTIF(D$2:D80,D80)+COUNTIF(G$2:G80,D80)</f>
        <v>12</v>
      </c>
      <c r="D80" s="46" t="str">
        <f t="shared" si="76"/>
        <v/>
      </c>
      <c r="E80" s="1" t="str">
        <f>IFERROR(VLOOKUP(Poster!$I99,Lookup03,2,FALSE),"")</f>
        <v/>
      </c>
      <c r="F80" s="45">
        <f>COUNTIF(D$2:D80,G80)+COUNTIF(G$2:G80,G80)</f>
        <v>12</v>
      </c>
      <c r="G80" s="46" t="str">
        <f t="shared" si="77"/>
        <v/>
      </c>
      <c r="H80" s="1" t="str">
        <f>IF(Poster!$F99="","",Poster!$F99)</f>
        <v/>
      </c>
      <c r="I80" s="1" t="str">
        <f>IF(Poster!$H99="","",Poster!$H99)</f>
        <v/>
      </c>
      <c r="J80" s="1" t="str">
        <f>IF(Poster!$F100="","",Poster!$F100)</f>
        <v/>
      </c>
      <c r="K80" s="1" t="str">
        <f>IF(Poster!$H100="","",Poster!$H100)</f>
        <v/>
      </c>
      <c r="L80" s="1" t="str">
        <f>IF(Poster!$F101="","",Poster!$F101)</f>
        <v/>
      </c>
      <c r="M80" s="1" t="str">
        <f>IF(Poster!$H101="","",Poster!$H101)</f>
        <v/>
      </c>
      <c r="N80" s="66" t="str">
        <f t="shared" si="78"/>
        <v/>
      </c>
      <c r="O80" s="65">
        <f t="shared" si="79"/>
        <v>0</v>
      </c>
      <c r="P80" s="89" t="str">
        <f t="shared" si="56"/>
        <v/>
      </c>
      <c r="Q80" s="89" t="str">
        <f t="shared" si="57"/>
        <v/>
      </c>
      <c r="R80" s="92" t="str">
        <f t="shared" si="80"/>
        <v/>
      </c>
      <c r="S80" s="15" t="str">
        <f t="shared" si="81"/>
        <v>TG12</v>
      </c>
      <c r="T80" s="95" t="str">
        <f t="shared" si="82"/>
        <v/>
      </c>
      <c r="U80" s="15" t="str">
        <f t="shared" si="83"/>
        <v>TG12</v>
      </c>
      <c r="V80" s="95" t="str">
        <f t="shared" si="84"/>
        <v/>
      </c>
      <c r="W80" s="50" t="str">
        <f t="shared" si="8"/>
        <v/>
      </c>
      <c r="X80" s="50" t="str">
        <f t="shared" si="58"/>
        <v/>
      </c>
      <c r="Y80" s="50" t="str">
        <f t="shared" si="59"/>
        <v/>
      </c>
      <c r="Z80" s="50" t="str">
        <f t="shared" si="60"/>
        <v/>
      </c>
      <c r="AA80" s="51" t="str">
        <f t="shared" si="61"/>
        <v/>
      </c>
      <c r="AB80" s="51" t="str">
        <f t="shared" si="62"/>
        <v/>
      </c>
      <c r="AC80" s="51" t="str">
        <f t="shared" si="63"/>
        <v/>
      </c>
      <c r="AD80" s="52">
        <f t="shared" si="64"/>
        <v>0</v>
      </c>
      <c r="AE80" s="52">
        <f t="shared" si="65"/>
        <v>0</v>
      </c>
      <c r="AF80" s="52">
        <f t="shared" si="66"/>
        <v>0</v>
      </c>
      <c r="AG80" s="53" t="str">
        <f t="shared" si="67"/>
        <v/>
      </c>
      <c r="AH80" s="53" t="str">
        <f t="shared" si="68"/>
        <v/>
      </c>
      <c r="AI80" s="53" t="str">
        <f t="shared" si="69"/>
        <v/>
      </c>
      <c r="AJ80" s="53" t="str">
        <f t="shared" si="70"/>
        <v/>
      </c>
      <c r="AK80" s="54" t="str">
        <f t="shared" si="71"/>
        <v/>
      </c>
      <c r="AL80" s="54" t="str">
        <f t="shared" si="72"/>
        <v/>
      </c>
      <c r="AM80" s="54" t="str">
        <f t="shared" si="73"/>
        <v/>
      </c>
      <c r="AN80" s="55" t="str">
        <f t="shared" si="74"/>
        <v/>
      </c>
      <c r="AO80" s="124">
        <f>Poster!B99</f>
        <v>46203</v>
      </c>
      <c r="AP80" s="55">
        <f t="shared" si="75"/>
        <v>0.234375</v>
      </c>
    </row>
    <row r="81" spans="1:42" x14ac:dyDescent="0.25">
      <c r="A81" s="44" t="s">
        <v>1235</v>
      </c>
      <c r="B81" s="1" t="str">
        <f>IFERROR(VLOOKUP(Poster!$E102,Lookup03,2,FALSE),"")</f>
        <v/>
      </c>
      <c r="C81" s="45">
        <f>COUNTIF(D$2:D81,D81)+COUNTIF(G$2:G81,D81)</f>
        <v>14</v>
      </c>
      <c r="D81" s="46" t="str">
        <f t="shared" si="76"/>
        <v/>
      </c>
      <c r="E81" s="1" t="str">
        <f>IFERROR(VLOOKUP(Poster!$I102,Lookup03,2,FALSE),"")</f>
        <v/>
      </c>
      <c r="F81" s="45">
        <f>COUNTIF(D$2:D81,G81)+COUNTIF(G$2:G81,G81)</f>
        <v>14</v>
      </c>
      <c r="G81" s="46" t="str">
        <f t="shared" si="77"/>
        <v/>
      </c>
      <c r="H81" s="1" t="str">
        <f>IF(Poster!$F102="","",Poster!$F102)</f>
        <v/>
      </c>
      <c r="I81" s="1" t="str">
        <f>IF(Poster!$H102="","",Poster!$H102)</f>
        <v/>
      </c>
      <c r="J81" s="1" t="str">
        <f>IF(Poster!$F103="","",Poster!$F103)</f>
        <v/>
      </c>
      <c r="K81" s="1" t="str">
        <f>IF(Poster!$H103="","",Poster!$H103)</f>
        <v/>
      </c>
      <c r="L81" s="1" t="str">
        <f>IF(Poster!$F104="","",Poster!$F104)</f>
        <v/>
      </c>
      <c r="M81" s="1" t="str">
        <f>IF(Poster!$H104="","",Poster!$H104)</f>
        <v/>
      </c>
      <c r="N81" s="66" t="str">
        <f t="shared" si="78"/>
        <v/>
      </c>
      <c r="O81" s="65">
        <f t="shared" si="79"/>
        <v>0</v>
      </c>
      <c r="P81" s="89" t="str">
        <f t="shared" si="56"/>
        <v/>
      </c>
      <c r="Q81" s="89" t="str">
        <f t="shared" si="57"/>
        <v/>
      </c>
      <c r="R81" s="92" t="str">
        <f t="shared" si="80"/>
        <v/>
      </c>
      <c r="S81" s="15" t="str">
        <f t="shared" si="81"/>
        <v>TG14</v>
      </c>
      <c r="T81" s="95" t="str">
        <f t="shared" si="82"/>
        <v/>
      </c>
      <c r="U81" s="15" t="str">
        <f t="shared" si="83"/>
        <v>TG14</v>
      </c>
      <c r="V81" s="95" t="str">
        <f t="shared" si="84"/>
        <v/>
      </c>
      <c r="W81" s="50" t="str">
        <f t="shared" si="8"/>
        <v/>
      </c>
      <c r="X81" s="50" t="str">
        <f t="shared" si="58"/>
        <v/>
      </c>
      <c r="Y81" s="50" t="str">
        <f t="shared" si="59"/>
        <v/>
      </c>
      <c r="Z81" s="50" t="str">
        <f t="shared" si="60"/>
        <v/>
      </c>
      <c r="AA81" s="51" t="str">
        <f t="shared" si="61"/>
        <v/>
      </c>
      <c r="AB81" s="51" t="str">
        <f t="shared" si="62"/>
        <v/>
      </c>
      <c r="AC81" s="51" t="str">
        <f t="shared" si="63"/>
        <v/>
      </c>
      <c r="AD81" s="52">
        <f t="shared" si="64"/>
        <v>0</v>
      </c>
      <c r="AE81" s="52">
        <f t="shared" si="65"/>
        <v>0</v>
      </c>
      <c r="AF81" s="52">
        <f t="shared" si="66"/>
        <v>0</v>
      </c>
      <c r="AG81" s="53" t="str">
        <f t="shared" si="67"/>
        <v/>
      </c>
      <c r="AH81" s="53" t="str">
        <f t="shared" si="68"/>
        <v/>
      </c>
      <c r="AI81" s="53" t="str">
        <f t="shared" si="69"/>
        <v/>
      </c>
      <c r="AJ81" s="53" t="str">
        <f t="shared" si="70"/>
        <v/>
      </c>
      <c r="AK81" s="54" t="str">
        <f t="shared" si="71"/>
        <v/>
      </c>
      <c r="AL81" s="54" t="str">
        <f t="shared" si="72"/>
        <v/>
      </c>
      <c r="AM81" s="54" t="str">
        <f t="shared" si="73"/>
        <v/>
      </c>
      <c r="AN81" s="55" t="str">
        <f t="shared" si="74"/>
        <v/>
      </c>
      <c r="AO81" s="124">
        <f>Poster!B102</f>
        <v>46204</v>
      </c>
      <c r="AP81" s="55">
        <f t="shared" si="75"/>
        <v>0.234375</v>
      </c>
    </row>
    <row r="82" spans="1:42" x14ac:dyDescent="0.25">
      <c r="A82" s="44" t="s">
        <v>1236</v>
      </c>
      <c r="B82" s="1" t="str">
        <f>IFERROR(VLOOKUP(Poster!$E105,Lookup03,2,FALSE),"")</f>
        <v/>
      </c>
      <c r="C82" s="45">
        <f>COUNTIF(D$2:D82,D82)+COUNTIF(G$2:G82,D82)</f>
        <v>16</v>
      </c>
      <c r="D82" s="46" t="str">
        <f t="shared" si="76"/>
        <v/>
      </c>
      <c r="E82" s="1" t="str">
        <f>IFERROR(VLOOKUP(Poster!$I105,Lookup03,2,FALSE),"")</f>
        <v/>
      </c>
      <c r="F82" s="45">
        <f>COUNTIF(D$2:D82,G82)+COUNTIF(G$2:G82,G82)</f>
        <v>16</v>
      </c>
      <c r="G82" s="46" t="str">
        <f t="shared" si="77"/>
        <v/>
      </c>
      <c r="H82" s="1" t="str">
        <f>IF(Poster!$F105="","",Poster!$F105)</f>
        <v/>
      </c>
      <c r="I82" s="1" t="str">
        <f>IF(Poster!$H105="","",Poster!$H105)</f>
        <v/>
      </c>
      <c r="J82" s="1" t="str">
        <f>IF(Poster!$F106="","",Poster!$F106)</f>
        <v/>
      </c>
      <c r="K82" s="1" t="str">
        <f>IF(Poster!$H106="","",Poster!$H106)</f>
        <v/>
      </c>
      <c r="L82" s="1" t="str">
        <f>IF(Poster!$F107="","",Poster!$F107)</f>
        <v/>
      </c>
      <c r="M82" s="1" t="str">
        <f>IF(Poster!$H107="","",Poster!$H107)</f>
        <v/>
      </c>
      <c r="N82" s="66" t="str">
        <f t="shared" si="78"/>
        <v/>
      </c>
      <c r="O82" s="65">
        <f t="shared" si="79"/>
        <v>0</v>
      </c>
      <c r="P82" s="89" t="str">
        <f t="shared" si="56"/>
        <v/>
      </c>
      <c r="Q82" s="89" t="str">
        <f t="shared" si="57"/>
        <v/>
      </c>
      <c r="R82" s="92" t="str">
        <f t="shared" si="80"/>
        <v/>
      </c>
      <c r="S82" s="15" t="str">
        <f t="shared" si="81"/>
        <v>TG16</v>
      </c>
      <c r="T82" s="95" t="str">
        <f t="shared" si="82"/>
        <v/>
      </c>
      <c r="U82" s="15" t="str">
        <f t="shared" si="83"/>
        <v>TG16</v>
      </c>
      <c r="V82" s="95" t="str">
        <f t="shared" si="84"/>
        <v/>
      </c>
      <c r="W82" s="50" t="str">
        <f t="shared" si="8"/>
        <v/>
      </c>
      <c r="X82" s="50" t="str">
        <f t="shared" si="58"/>
        <v/>
      </c>
      <c r="Y82" s="50" t="str">
        <f t="shared" si="59"/>
        <v/>
      </c>
      <c r="Z82" s="50" t="str">
        <f t="shared" si="60"/>
        <v/>
      </c>
      <c r="AA82" s="51" t="str">
        <f t="shared" si="61"/>
        <v/>
      </c>
      <c r="AB82" s="51" t="str">
        <f t="shared" si="62"/>
        <v/>
      </c>
      <c r="AC82" s="51" t="str">
        <f t="shared" si="63"/>
        <v/>
      </c>
      <c r="AD82" s="52">
        <f t="shared" si="64"/>
        <v>0</v>
      </c>
      <c r="AE82" s="52">
        <f t="shared" si="65"/>
        <v>0</v>
      </c>
      <c r="AF82" s="52">
        <f t="shared" si="66"/>
        <v>0</v>
      </c>
      <c r="AG82" s="53" t="str">
        <f t="shared" si="67"/>
        <v/>
      </c>
      <c r="AH82" s="53" t="str">
        <f t="shared" si="68"/>
        <v/>
      </c>
      <c r="AI82" s="53" t="str">
        <f t="shared" si="69"/>
        <v/>
      </c>
      <c r="AJ82" s="53" t="str">
        <f t="shared" si="70"/>
        <v/>
      </c>
      <c r="AK82" s="54" t="str">
        <f t="shared" si="71"/>
        <v/>
      </c>
      <c r="AL82" s="54" t="str">
        <f t="shared" si="72"/>
        <v/>
      </c>
      <c r="AM82" s="54" t="str">
        <f t="shared" si="73"/>
        <v/>
      </c>
      <c r="AN82" s="55" t="str">
        <f t="shared" si="74"/>
        <v/>
      </c>
      <c r="AO82" s="124">
        <f>Poster!B105</f>
        <v>46204</v>
      </c>
      <c r="AP82" s="55">
        <f t="shared" si="75"/>
        <v>0.234375</v>
      </c>
    </row>
    <row r="83" spans="1:42" x14ac:dyDescent="0.25">
      <c r="A83" s="44" t="s">
        <v>1237</v>
      </c>
      <c r="B83" s="1" t="str">
        <f>IFERROR(VLOOKUP(Poster!$E108,Lookup03,2,FALSE),"")</f>
        <v/>
      </c>
      <c r="C83" s="45">
        <f>COUNTIF(D$2:D83,D83)+COUNTIF(G$2:G83,D83)</f>
        <v>18</v>
      </c>
      <c r="D83" s="46" t="str">
        <f t="shared" si="76"/>
        <v/>
      </c>
      <c r="E83" s="1" t="str">
        <f>IFERROR(VLOOKUP(Poster!$I108,Lookup03,2,FALSE),"")</f>
        <v/>
      </c>
      <c r="F83" s="45">
        <f>COUNTIF(D$2:D83,G83)+COUNTIF(G$2:G83,G83)</f>
        <v>18</v>
      </c>
      <c r="G83" s="46" t="str">
        <f t="shared" si="77"/>
        <v/>
      </c>
      <c r="H83" s="1" t="str">
        <f>IF(Poster!$F108="","",Poster!$F108)</f>
        <v/>
      </c>
      <c r="I83" s="1" t="str">
        <f>IF(Poster!$H108="","",Poster!$H108)</f>
        <v/>
      </c>
      <c r="J83" s="1" t="str">
        <f>IF(Poster!$F109="","",Poster!$F109)</f>
        <v/>
      </c>
      <c r="K83" s="1" t="str">
        <f>IF(Poster!$H109="","",Poster!$H109)</f>
        <v/>
      </c>
      <c r="L83" s="1" t="str">
        <f>IF(Poster!$F110="","",Poster!$F110)</f>
        <v/>
      </c>
      <c r="M83" s="1" t="str">
        <f>IF(Poster!$H110="","",Poster!$H110)</f>
        <v/>
      </c>
      <c r="N83" s="66" t="str">
        <f t="shared" si="78"/>
        <v/>
      </c>
      <c r="O83" s="65">
        <f t="shared" si="79"/>
        <v>0</v>
      </c>
      <c r="P83" s="89" t="str">
        <f t="shared" si="56"/>
        <v/>
      </c>
      <c r="Q83" s="89" t="str">
        <f t="shared" si="57"/>
        <v/>
      </c>
      <c r="R83" s="92" t="str">
        <f t="shared" si="80"/>
        <v/>
      </c>
      <c r="S83" s="15" t="str">
        <f t="shared" si="81"/>
        <v>TG18</v>
      </c>
      <c r="T83" s="95" t="str">
        <f t="shared" si="82"/>
        <v/>
      </c>
      <c r="U83" s="15" t="str">
        <f t="shared" si="83"/>
        <v>TG18</v>
      </c>
      <c r="V83" s="95" t="str">
        <f t="shared" si="84"/>
        <v/>
      </c>
      <c r="W83" s="50" t="str">
        <f t="shared" si="8"/>
        <v/>
      </c>
      <c r="X83" s="50" t="str">
        <f t="shared" si="58"/>
        <v/>
      </c>
      <c r="Y83" s="50" t="str">
        <f t="shared" si="59"/>
        <v/>
      </c>
      <c r="Z83" s="50" t="str">
        <f t="shared" si="60"/>
        <v/>
      </c>
      <c r="AA83" s="51" t="str">
        <f t="shared" si="61"/>
        <v/>
      </c>
      <c r="AB83" s="51" t="str">
        <f t="shared" si="62"/>
        <v/>
      </c>
      <c r="AC83" s="51" t="str">
        <f t="shared" si="63"/>
        <v/>
      </c>
      <c r="AD83" s="52">
        <f t="shared" si="64"/>
        <v>0</v>
      </c>
      <c r="AE83" s="52">
        <f t="shared" si="65"/>
        <v>0</v>
      </c>
      <c r="AF83" s="52">
        <f t="shared" si="66"/>
        <v>0</v>
      </c>
      <c r="AG83" s="53" t="str">
        <f t="shared" si="67"/>
        <v/>
      </c>
      <c r="AH83" s="53" t="str">
        <f t="shared" si="68"/>
        <v/>
      </c>
      <c r="AI83" s="53" t="str">
        <f t="shared" si="69"/>
        <v/>
      </c>
      <c r="AJ83" s="53" t="str">
        <f t="shared" si="70"/>
        <v/>
      </c>
      <c r="AK83" s="54" t="str">
        <f t="shared" si="71"/>
        <v/>
      </c>
      <c r="AL83" s="54" t="str">
        <f t="shared" si="72"/>
        <v/>
      </c>
      <c r="AM83" s="54" t="str">
        <f t="shared" si="73"/>
        <v/>
      </c>
      <c r="AN83" s="55" t="str">
        <f t="shared" si="74"/>
        <v/>
      </c>
      <c r="AO83" s="124">
        <f>Poster!B108</f>
        <v>46204</v>
      </c>
      <c r="AP83" s="55">
        <f t="shared" si="75"/>
        <v>0.234375</v>
      </c>
    </row>
    <row r="84" spans="1:42" x14ac:dyDescent="0.25">
      <c r="A84" s="44" t="s">
        <v>1238</v>
      </c>
      <c r="B84" s="1" t="str">
        <f>IFERROR(VLOOKUP(Poster!$E111,Lookup03,2,FALSE),"")</f>
        <v/>
      </c>
      <c r="C84" s="45">
        <f>COUNTIF(D$2:D84,D84)+COUNTIF(G$2:G84,D84)</f>
        <v>20</v>
      </c>
      <c r="D84" s="46" t="str">
        <f t="shared" si="76"/>
        <v/>
      </c>
      <c r="E84" s="1" t="str">
        <f>IFERROR(VLOOKUP(Poster!$I111,Lookup03,2,FALSE),"")</f>
        <v/>
      </c>
      <c r="F84" s="45">
        <f>COUNTIF(D$2:D84,G84)+COUNTIF(G$2:G84,G84)</f>
        <v>20</v>
      </c>
      <c r="G84" s="46" t="str">
        <f t="shared" si="77"/>
        <v/>
      </c>
      <c r="H84" s="1" t="str">
        <f>IF(Poster!$F111="","",Poster!$F111)</f>
        <v/>
      </c>
      <c r="I84" s="1" t="str">
        <f>IF(Poster!$H111="","",Poster!$H111)</f>
        <v/>
      </c>
      <c r="J84" s="1" t="str">
        <f>IF(Poster!$F112="","",Poster!$F112)</f>
        <v/>
      </c>
      <c r="K84" s="1" t="str">
        <f>IF(Poster!$H112="","",Poster!$H112)</f>
        <v/>
      </c>
      <c r="L84" s="1" t="str">
        <f>IF(Poster!$F113="","",Poster!$F113)</f>
        <v/>
      </c>
      <c r="M84" s="1" t="str">
        <f>IF(Poster!$H113="","",Poster!$H113)</f>
        <v/>
      </c>
      <c r="N84" s="66" t="str">
        <f t="shared" si="78"/>
        <v/>
      </c>
      <c r="O84" s="65">
        <f t="shared" si="79"/>
        <v>0</v>
      </c>
      <c r="P84" s="89" t="str">
        <f t="shared" si="56"/>
        <v/>
      </c>
      <c r="Q84" s="89" t="str">
        <f t="shared" si="57"/>
        <v/>
      </c>
      <c r="R84" s="92" t="str">
        <f t="shared" si="80"/>
        <v/>
      </c>
      <c r="S84" s="15" t="str">
        <f t="shared" si="81"/>
        <v>TG20</v>
      </c>
      <c r="T84" s="95" t="str">
        <f t="shared" si="82"/>
        <v/>
      </c>
      <c r="U84" s="15" t="str">
        <f t="shared" si="83"/>
        <v>TG20</v>
      </c>
      <c r="V84" s="95" t="str">
        <f t="shared" si="84"/>
        <v/>
      </c>
      <c r="W84" s="50" t="str">
        <f t="shared" si="8"/>
        <v/>
      </c>
      <c r="X84" s="50" t="str">
        <f t="shared" si="58"/>
        <v/>
      </c>
      <c r="Y84" s="50" t="str">
        <f t="shared" si="59"/>
        <v/>
      </c>
      <c r="Z84" s="50" t="str">
        <f t="shared" si="60"/>
        <v/>
      </c>
      <c r="AA84" s="51" t="str">
        <f t="shared" si="61"/>
        <v/>
      </c>
      <c r="AB84" s="51" t="str">
        <f t="shared" si="62"/>
        <v/>
      </c>
      <c r="AC84" s="51" t="str">
        <f t="shared" si="63"/>
        <v/>
      </c>
      <c r="AD84" s="52">
        <f t="shared" si="64"/>
        <v>0</v>
      </c>
      <c r="AE84" s="52">
        <f t="shared" si="65"/>
        <v>0</v>
      </c>
      <c r="AF84" s="52">
        <f t="shared" si="66"/>
        <v>0</v>
      </c>
      <c r="AG84" s="53" t="str">
        <f t="shared" si="67"/>
        <v/>
      </c>
      <c r="AH84" s="53" t="str">
        <f t="shared" si="68"/>
        <v/>
      </c>
      <c r="AI84" s="53" t="str">
        <f t="shared" si="69"/>
        <v/>
      </c>
      <c r="AJ84" s="53" t="str">
        <f t="shared" si="70"/>
        <v/>
      </c>
      <c r="AK84" s="54" t="str">
        <f t="shared" si="71"/>
        <v/>
      </c>
      <c r="AL84" s="54" t="str">
        <f t="shared" si="72"/>
        <v/>
      </c>
      <c r="AM84" s="54" t="str">
        <f t="shared" si="73"/>
        <v/>
      </c>
      <c r="AN84" s="55" t="str">
        <f t="shared" si="74"/>
        <v/>
      </c>
      <c r="AO84" s="124">
        <f>Poster!B111</f>
        <v>46205</v>
      </c>
      <c r="AP84" s="55">
        <f t="shared" si="75"/>
        <v>0.234375</v>
      </c>
    </row>
    <row r="85" spans="1:42" x14ac:dyDescent="0.25">
      <c r="A85" s="44" t="s">
        <v>1239</v>
      </c>
      <c r="B85" s="1" t="str">
        <f>IFERROR(VLOOKUP(Poster!$E114,Lookup03,2,FALSE),"")</f>
        <v/>
      </c>
      <c r="C85" s="45">
        <f>COUNTIF(D$2:D85,D85)+COUNTIF(G$2:G85,D85)</f>
        <v>22</v>
      </c>
      <c r="D85" s="46" t="str">
        <f t="shared" si="76"/>
        <v/>
      </c>
      <c r="E85" s="1" t="str">
        <f>IFERROR(VLOOKUP(Poster!$I114,Lookup03,2,FALSE),"")</f>
        <v/>
      </c>
      <c r="F85" s="45">
        <f>COUNTIF(D$2:D85,G85)+COUNTIF(G$2:G85,G85)</f>
        <v>22</v>
      </c>
      <c r="G85" s="46" t="str">
        <f t="shared" si="77"/>
        <v/>
      </c>
      <c r="H85" s="1" t="str">
        <f>IF(Poster!$F114="","",Poster!$F114)</f>
        <v/>
      </c>
      <c r="I85" s="1" t="str">
        <f>IF(Poster!$H114="","",Poster!$H114)</f>
        <v/>
      </c>
      <c r="J85" s="1" t="str">
        <f>IF(Poster!$F115="","",Poster!$F115)</f>
        <v/>
      </c>
      <c r="K85" s="1" t="str">
        <f>IF(Poster!$H115="","",Poster!$H115)</f>
        <v/>
      </c>
      <c r="L85" s="1" t="str">
        <f>IF(Poster!$F116="","",Poster!$F116)</f>
        <v/>
      </c>
      <c r="M85" s="1" t="str">
        <f>IF(Poster!$H116="","",Poster!$H116)</f>
        <v/>
      </c>
      <c r="N85" s="66" t="str">
        <f t="shared" si="78"/>
        <v/>
      </c>
      <c r="O85" s="65">
        <f t="shared" si="79"/>
        <v>0</v>
      </c>
      <c r="P85" s="89" t="str">
        <f t="shared" si="56"/>
        <v/>
      </c>
      <c r="Q85" s="89" t="str">
        <f t="shared" si="57"/>
        <v/>
      </c>
      <c r="R85" s="92" t="str">
        <f t="shared" si="80"/>
        <v/>
      </c>
      <c r="S85" s="15" t="str">
        <f t="shared" si="81"/>
        <v>TG22</v>
      </c>
      <c r="T85" s="95" t="str">
        <f t="shared" si="82"/>
        <v/>
      </c>
      <c r="U85" s="15" t="str">
        <f t="shared" si="83"/>
        <v>TG22</v>
      </c>
      <c r="V85" s="95" t="str">
        <f t="shared" si="84"/>
        <v/>
      </c>
      <c r="W85" s="50" t="str">
        <f t="shared" si="8"/>
        <v/>
      </c>
      <c r="X85" s="50" t="str">
        <f t="shared" si="58"/>
        <v/>
      </c>
      <c r="Y85" s="50" t="str">
        <f t="shared" si="59"/>
        <v/>
      </c>
      <c r="Z85" s="50" t="str">
        <f t="shared" si="60"/>
        <v/>
      </c>
      <c r="AA85" s="51" t="str">
        <f t="shared" si="61"/>
        <v/>
      </c>
      <c r="AB85" s="51" t="str">
        <f t="shared" si="62"/>
        <v/>
      </c>
      <c r="AC85" s="51" t="str">
        <f t="shared" si="63"/>
        <v/>
      </c>
      <c r="AD85" s="52">
        <f t="shared" si="64"/>
        <v>0</v>
      </c>
      <c r="AE85" s="52">
        <f t="shared" si="65"/>
        <v>0</v>
      </c>
      <c r="AF85" s="52">
        <f t="shared" si="66"/>
        <v>0</v>
      </c>
      <c r="AG85" s="53" t="str">
        <f t="shared" si="67"/>
        <v/>
      </c>
      <c r="AH85" s="53" t="str">
        <f t="shared" si="68"/>
        <v/>
      </c>
      <c r="AI85" s="53" t="str">
        <f t="shared" si="69"/>
        <v/>
      </c>
      <c r="AJ85" s="53" t="str">
        <f t="shared" si="70"/>
        <v/>
      </c>
      <c r="AK85" s="54" t="str">
        <f t="shared" si="71"/>
        <v/>
      </c>
      <c r="AL85" s="54" t="str">
        <f t="shared" si="72"/>
        <v/>
      </c>
      <c r="AM85" s="54" t="str">
        <f t="shared" si="73"/>
        <v/>
      </c>
      <c r="AN85" s="55" t="str">
        <f t="shared" si="74"/>
        <v/>
      </c>
      <c r="AO85" s="124">
        <f>Poster!B114</f>
        <v>46205</v>
      </c>
      <c r="AP85" s="55">
        <f t="shared" si="75"/>
        <v>0.234375</v>
      </c>
    </row>
    <row r="86" spans="1:42" x14ac:dyDescent="0.25">
      <c r="A86" s="44" t="s">
        <v>1240</v>
      </c>
      <c r="B86" s="1" t="str">
        <f>IFERROR(VLOOKUP(Poster!$E117,Lookup03,2,FALSE),"")</f>
        <v/>
      </c>
      <c r="C86" s="45">
        <f>COUNTIF(D$2:D86,D86)+COUNTIF(G$2:G86,D86)</f>
        <v>24</v>
      </c>
      <c r="D86" s="46" t="str">
        <f t="shared" si="76"/>
        <v/>
      </c>
      <c r="E86" s="1" t="str">
        <f>IFERROR(VLOOKUP(Poster!$I117,Lookup03,2,FALSE),"")</f>
        <v/>
      </c>
      <c r="F86" s="45">
        <f>COUNTIF(D$2:D86,G86)+COUNTIF(G$2:G86,G86)</f>
        <v>24</v>
      </c>
      <c r="G86" s="46" t="str">
        <f t="shared" si="77"/>
        <v/>
      </c>
      <c r="H86" s="1" t="str">
        <f>IF(Poster!$F117="","",Poster!$F117)</f>
        <v/>
      </c>
      <c r="I86" s="1" t="str">
        <f>IF(Poster!$H117="","",Poster!$H117)</f>
        <v/>
      </c>
      <c r="J86" s="1" t="str">
        <f>IF(Poster!$F118="","",Poster!$F118)</f>
        <v/>
      </c>
      <c r="K86" s="1" t="str">
        <f>IF(Poster!$H118="","",Poster!$H118)</f>
        <v/>
      </c>
      <c r="L86" s="1" t="str">
        <f>IF(Poster!$F119="","",Poster!$F119)</f>
        <v/>
      </c>
      <c r="M86" s="1" t="str">
        <f>IF(Poster!$H119="","",Poster!$H119)</f>
        <v/>
      </c>
      <c r="N86" s="66" t="str">
        <f t="shared" si="78"/>
        <v/>
      </c>
      <c r="O86" s="65">
        <f t="shared" si="79"/>
        <v>0</v>
      </c>
      <c r="P86" s="89" t="str">
        <f t="shared" si="56"/>
        <v/>
      </c>
      <c r="Q86" s="89" t="str">
        <f t="shared" si="57"/>
        <v/>
      </c>
      <c r="R86" s="92" t="str">
        <f t="shared" si="80"/>
        <v/>
      </c>
      <c r="S86" s="15" t="str">
        <f t="shared" si="81"/>
        <v>TG24</v>
      </c>
      <c r="T86" s="95" t="str">
        <f t="shared" si="82"/>
        <v/>
      </c>
      <c r="U86" s="15" t="str">
        <f t="shared" si="83"/>
        <v>TG24</v>
      </c>
      <c r="V86" s="95" t="str">
        <f t="shared" si="84"/>
        <v/>
      </c>
      <c r="W86" s="50" t="str">
        <f t="shared" si="8"/>
        <v/>
      </c>
      <c r="X86" s="50" t="str">
        <f t="shared" si="58"/>
        <v/>
      </c>
      <c r="Y86" s="50" t="str">
        <f t="shared" si="59"/>
        <v/>
      </c>
      <c r="Z86" s="50" t="str">
        <f t="shared" si="60"/>
        <v/>
      </c>
      <c r="AA86" s="51" t="str">
        <f t="shared" si="61"/>
        <v/>
      </c>
      <c r="AB86" s="51" t="str">
        <f t="shared" si="62"/>
        <v/>
      </c>
      <c r="AC86" s="51" t="str">
        <f t="shared" si="63"/>
        <v/>
      </c>
      <c r="AD86" s="52">
        <f t="shared" si="64"/>
        <v>0</v>
      </c>
      <c r="AE86" s="52">
        <f t="shared" si="65"/>
        <v>0</v>
      </c>
      <c r="AF86" s="52">
        <f t="shared" si="66"/>
        <v>0</v>
      </c>
      <c r="AG86" s="53" t="str">
        <f t="shared" si="67"/>
        <v/>
      </c>
      <c r="AH86" s="53" t="str">
        <f t="shared" si="68"/>
        <v/>
      </c>
      <c r="AI86" s="53" t="str">
        <f t="shared" si="69"/>
        <v/>
      </c>
      <c r="AJ86" s="53" t="str">
        <f t="shared" si="70"/>
        <v/>
      </c>
      <c r="AK86" s="54" t="str">
        <f t="shared" si="71"/>
        <v/>
      </c>
      <c r="AL86" s="54" t="str">
        <f t="shared" si="72"/>
        <v/>
      </c>
      <c r="AM86" s="54" t="str">
        <f t="shared" si="73"/>
        <v/>
      </c>
      <c r="AN86" s="55" t="str">
        <f t="shared" si="74"/>
        <v/>
      </c>
      <c r="AO86" s="124">
        <f>Poster!B117</f>
        <v>46206</v>
      </c>
      <c r="AP86" s="55">
        <f t="shared" si="75"/>
        <v>0.234375</v>
      </c>
    </row>
    <row r="87" spans="1:42" x14ac:dyDescent="0.25">
      <c r="A87" s="44" t="s">
        <v>1241</v>
      </c>
      <c r="B87" s="1" t="str">
        <f>IFERROR(VLOOKUP(Poster!$E120,Lookup03,2,FALSE),"")</f>
        <v/>
      </c>
      <c r="C87" s="45">
        <f>COUNTIF(D$2:D87,D87)+COUNTIF(G$2:G87,D87)</f>
        <v>26</v>
      </c>
      <c r="D87" s="46" t="str">
        <f t="shared" si="76"/>
        <v/>
      </c>
      <c r="E87" s="1" t="str">
        <f>IFERROR(VLOOKUP(Poster!$I120,Lookup03,2,FALSE),"")</f>
        <v/>
      </c>
      <c r="F87" s="45">
        <f>COUNTIF(D$2:D87,G87)+COUNTIF(G$2:G87,G87)</f>
        <v>26</v>
      </c>
      <c r="G87" s="46" t="str">
        <f t="shared" si="77"/>
        <v/>
      </c>
      <c r="H87" s="1" t="str">
        <f>IF(Poster!$F120="","",Poster!$F120)</f>
        <v/>
      </c>
      <c r="I87" s="1" t="str">
        <f>IF(Poster!$H120="","",Poster!$H120)</f>
        <v/>
      </c>
      <c r="J87" s="1" t="str">
        <f>IF(Poster!$F121="","",Poster!$F121)</f>
        <v/>
      </c>
      <c r="K87" s="1" t="str">
        <f>IF(Poster!$H121="","",Poster!$H121)</f>
        <v/>
      </c>
      <c r="L87" s="1" t="str">
        <f>IF(Poster!$F122="","",Poster!$F122)</f>
        <v/>
      </c>
      <c r="M87" s="1" t="str">
        <f>IF(Poster!$H122="","",Poster!$H122)</f>
        <v/>
      </c>
      <c r="N87" s="66" t="str">
        <f t="shared" si="78"/>
        <v/>
      </c>
      <c r="O87" s="65">
        <f t="shared" si="79"/>
        <v>0</v>
      </c>
      <c r="P87" s="89" t="str">
        <f t="shared" si="56"/>
        <v/>
      </c>
      <c r="Q87" s="89" t="str">
        <f t="shared" si="57"/>
        <v/>
      </c>
      <c r="R87" s="92" t="str">
        <f t="shared" si="80"/>
        <v/>
      </c>
      <c r="S87" s="15" t="str">
        <f t="shared" si="81"/>
        <v>TG26</v>
      </c>
      <c r="T87" s="95" t="str">
        <f t="shared" si="82"/>
        <v/>
      </c>
      <c r="U87" s="15" t="str">
        <f t="shared" si="83"/>
        <v>TG26</v>
      </c>
      <c r="V87" s="95" t="str">
        <f t="shared" si="84"/>
        <v/>
      </c>
      <c r="W87" s="50" t="str">
        <f t="shared" si="8"/>
        <v/>
      </c>
      <c r="X87" s="50" t="str">
        <f t="shared" si="58"/>
        <v/>
      </c>
      <c r="Y87" s="50" t="str">
        <f t="shared" si="59"/>
        <v/>
      </c>
      <c r="Z87" s="50" t="str">
        <f t="shared" si="60"/>
        <v/>
      </c>
      <c r="AA87" s="51" t="str">
        <f t="shared" si="61"/>
        <v/>
      </c>
      <c r="AB87" s="51" t="str">
        <f t="shared" si="62"/>
        <v/>
      </c>
      <c r="AC87" s="51" t="str">
        <f t="shared" si="63"/>
        <v/>
      </c>
      <c r="AD87" s="52">
        <f t="shared" si="64"/>
        <v>0</v>
      </c>
      <c r="AE87" s="52">
        <f t="shared" si="65"/>
        <v>0</v>
      </c>
      <c r="AF87" s="52">
        <f t="shared" si="66"/>
        <v>0</v>
      </c>
      <c r="AG87" s="53" t="str">
        <f t="shared" si="67"/>
        <v/>
      </c>
      <c r="AH87" s="53" t="str">
        <f t="shared" si="68"/>
        <v/>
      </c>
      <c r="AI87" s="53" t="str">
        <f t="shared" si="69"/>
        <v/>
      </c>
      <c r="AJ87" s="53" t="str">
        <f t="shared" si="70"/>
        <v/>
      </c>
      <c r="AK87" s="54" t="str">
        <f t="shared" si="71"/>
        <v/>
      </c>
      <c r="AL87" s="54" t="str">
        <f t="shared" si="72"/>
        <v/>
      </c>
      <c r="AM87" s="54" t="str">
        <f t="shared" si="73"/>
        <v/>
      </c>
      <c r="AN87" s="55" t="str">
        <f t="shared" si="74"/>
        <v/>
      </c>
      <c r="AO87" s="124">
        <f>Poster!B120</f>
        <v>46206</v>
      </c>
      <c r="AP87" s="55">
        <f t="shared" si="75"/>
        <v>0.234375</v>
      </c>
    </row>
    <row r="88" spans="1:42" x14ac:dyDescent="0.25">
      <c r="A88" s="44" t="s">
        <v>1242</v>
      </c>
      <c r="B88" s="1" t="str">
        <f>IFERROR(VLOOKUP(Poster!$E123,Lookup03,2,FALSE),"")</f>
        <v/>
      </c>
      <c r="C88" s="45">
        <f>COUNTIF(D$2:D88,D88)+COUNTIF(G$2:G88,D88)</f>
        <v>28</v>
      </c>
      <c r="D88" s="46" t="str">
        <f t="shared" si="76"/>
        <v/>
      </c>
      <c r="E88" s="1" t="str">
        <f>IFERROR(VLOOKUP(Poster!$I123,Lookup03,2,FALSE),"")</f>
        <v/>
      </c>
      <c r="F88" s="45">
        <f>COUNTIF(D$2:D88,G88)+COUNTIF(G$2:G88,G88)</f>
        <v>28</v>
      </c>
      <c r="G88" s="46" t="str">
        <f t="shared" si="77"/>
        <v/>
      </c>
      <c r="H88" s="1" t="str">
        <f>IF(Poster!$F123="","",Poster!$F123)</f>
        <v/>
      </c>
      <c r="I88" s="1" t="str">
        <f>IF(Poster!$H123="","",Poster!$H123)</f>
        <v/>
      </c>
      <c r="J88" s="1" t="str">
        <f>IF(Poster!$F124="","",Poster!$F124)</f>
        <v/>
      </c>
      <c r="K88" s="1" t="str">
        <f>IF(Poster!$H124="","",Poster!$H124)</f>
        <v/>
      </c>
      <c r="L88" s="1" t="str">
        <f>IF(Poster!$F125="","",Poster!$F125)</f>
        <v/>
      </c>
      <c r="M88" s="1" t="str">
        <f>IF(Poster!$H125="","",Poster!$H125)</f>
        <v/>
      </c>
      <c r="N88" s="66" t="str">
        <f t="shared" si="78"/>
        <v/>
      </c>
      <c r="O88" s="65">
        <f t="shared" si="79"/>
        <v>0</v>
      </c>
      <c r="P88" s="89" t="str">
        <f t="shared" si="56"/>
        <v/>
      </c>
      <c r="Q88" s="89" t="str">
        <f t="shared" si="57"/>
        <v/>
      </c>
      <c r="R88" s="92" t="str">
        <f t="shared" si="80"/>
        <v/>
      </c>
      <c r="S88" s="15" t="str">
        <f t="shared" si="81"/>
        <v>TG28</v>
      </c>
      <c r="T88" s="95" t="str">
        <f t="shared" si="82"/>
        <v/>
      </c>
      <c r="U88" s="15" t="str">
        <f t="shared" si="83"/>
        <v>TG28</v>
      </c>
      <c r="V88" s="95" t="str">
        <f t="shared" si="84"/>
        <v/>
      </c>
      <c r="W88" s="50" t="str">
        <f t="shared" si="8"/>
        <v/>
      </c>
      <c r="X88" s="50" t="str">
        <f t="shared" si="58"/>
        <v/>
      </c>
      <c r="Y88" s="50" t="str">
        <f t="shared" si="59"/>
        <v/>
      </c>
      <c r="Z88" s="50" t="str">
        <f t="shared" si="60"/>
        <v/>
      </c>
      <c r="AA88" s="51" t="str">
        <f t="shared" si="61"/>
        <v/>
      </c>
      <c r="AB88" s="51" t="str">
        <f t="shared" si="62"/>
        <v/>
      </c>
      <c r="AC88" s="51" t="str">
        <f t="shared" si="63"/>
        <v/>
      </c>
      <c r="AD88" s="52">
        <f t="shared" si="64"/>
        <v>0</v>
      </c>
      <c r="AE88" s="52">
        <f t="shared" si="65"/>
        <v>0</v>
      </c>
      <c r="AF88" s="52">
        <f t="shared" si="66"/>
        <v>0</v>
      </c>
      <c r="AG88" s="53" t="str">
        <f t="shared" si="67"/>
        <v/>
      </c>
      <c r="AH88" s="53" t="str">
        <f t="shared" si="68"/>
        <v/>
      </c>
      <c r="AI88" s="53" t="str">
        <f t="shared" si="69"/>
        <v/>
      </c>
      <c r="AJ88" s="53" t="str">
        <f t="shared" si="70"/>
        <v/>
      </c>
      <c r="AK88" s="54" t="str">
        <f t="shared" si="71"/>
        <v/>
      </c>
      <c r="AL88" s="54" t="str">
        <f t="shared" si="72"/>
        <v/>
      </c>
      <c r="AM88" s="54" t="str">
        <f t="shared" si="73"/>
        <v/>
      </c>
      <c r="AN88" s="55" t="str">
        <f t="shared" si="74"/>
        <v/>
      </c>
      <c r="AO88" s="124">
        <f>Poster!B123</f>
        <v>46206</v>
      </c>
      <c r="AP88" s="55">
        <f t="shared" si="75"/>
        <v>0.234375</v>
      </c>
    </row>
    <row r="89" spans="1:42" x14ac:dyDescent="0.25">
      <c r="A89" s="44" t="s">
        <v>1243</v>
      </c>
      <c r="B89" s="1" t="str">
        <f>IFERROR(VLOOKUP(Poster!$E126,Lookup03,2,FALSE),"")</f>
        <v/>
      </c>
      <c r="C89" s="45">
        <f>COUNTIF(D$2:D89,D89)+COUNTIF(G$2:G89,D89)</f>
        <v>30</v>
      </c>
      <c r="D89" s="46" t="str">
        <f t="shared" si="76"/>
        <v/>
      </c>
      <c r="E89" s="1" t="str">
        <f>IFERROR(VLOOKUP(Poster!$I126,Lookup03,2,FALSE),"")</f>
        <v/>
      </c>
      <c r="F89" s="45">
        <f>COUNTIF(D$2:D89,G89)+COUNTIF(G$2:G89,G89)</f>
        <v>30</v>
      </c>
      <c r="G89" s="46" t="str">
        <f t="shared" si="77"/>
        <v/>
      </c>
      <c r="H89" s="1" t="str">
        <f>IF(Poster!$F126="","",Poster!$F1264)</f>
        <v/>
      </c>
      <c r="I89" s="1" t="str">
        <f>IF(Poster!$H126="","",Poster!$H126)</f>
        <v/>
      </c>
      <c r="J89" s="1" t="str">
        <f>IF(Poster!$F127="","",Poster!$F1265)</f>
        <v/>
      </c>
      <c r="K89" s="1" t="str">
        <f>IF(Poster!$H127="","",Poster!$H127)</f>
        <v/>
      </c>
      <c r="L89" s="1" t="str">
        <f>IF(Poster!$F128="","",Poster!$F1266)</f>
        <v/>
      </c>
      <c r="M89" s="1" t="str">
        <f>IF(Poster!$H128="","",Poster!$H128)</f>
        <v/>
      </c>
      <c r="N89" s="66" t="str">
        <f t="shared" si="78"/>
        <v/>
      </c>
      <c r="O89" s="65">
        <f t="shared" si="79"/>
        <v>0</v>
      </c>
      <c r="P89" s="89" t="str">
        <f t="shared" si="56"/>
        <v/>
      </c>
      <c r="Q89" s="89" t="str">
        <f t="shared" si="57"/>
        <v/>
      </c>
      <c r="R89" s="92" t="str">
        <f t="shared" si="80"/>
        <v/>
      </c>
      <c r="S89" s="15" t="str">
        <f t="shared" si="81"/>
        <v>TG30</v>
      </c>
      <c r="T89" s="95" t="str">
        <f t="shared" si="82"/>
        <v/>
      </c>
      <c r="U89" s="15" t="str">
        <f t="shared" si="83"/>
        <v>TG30</v>
      </c>
      <c r="V89" s="95" t="str">
        <f t="shared" si="84"/>
        <v/>
      </c>
      <c r="W89" s="50" t="str">
        <f t="shared" si="8"/>
        <v/>
      </c>
      <c r="X89" s="50" t="str">
        <f t="shared" si="58"/>
        <v/>
      </c>
      <c r="Y89" s="50" t="str">
        <f t="shared" si="59"/>
        <v/>
      </c>
      <c r="Z89" s="50" t="str">
        <f t="shared" si="60"/>
        <v/>
      </c>
      <c r="AA89" s="51" t="str">
        <f t="shared" si="61"/>
        <v/>
      </c>
      <c r="AB89" s="51" t="str">
        <f t="shared" si="62"/>
        <v/>
      </c>
      <c r="AC89" s="51" t="str">
        <f t="shared" si="63"/>
        <v/>
      </c>
      <c r="AD89" s="52">
        <f t="shared" si="64"/>
        <v>0</v>
      </c>
      <c r="AE89" s="52">
        <f t="shared" si="65"/>
        <v>0</v>
      </c>
      <c r="AF89" s="52">
        <f t="shared" si="66"/>
        <v>0</v>
      </c>
      <c r="AG89" s="53" t="str">
        <f t="shared" si="67"/>
        <v/>
      </c>
      <c r="AH89" s="53" t="str">
        <f t="shared" si="68"/>
        <v/>
      </c>
      <c r="AI89" s="53" t="str">
        <f t="shared" si="69"/>
        <v/>
      </c>
      <c r="AJ89" s="53" t="str">
        <f t="shared" si="70"/>
        <v/>
      </c>
      <c r="AK89" s="54" t="str">
        <f t="shared" si="71"/>
        <v/>
      </c>
      <c r="AL89" s="54" t="str">
        <f t="shared" si="72"/>
        <v/>
      </c>
      <c r="AM89" s="54" t="str">
        <f t="shared" si="73"/>
        <v/>
      </c>
      <c r="AN89" s="55" t="str">
        <f t="shared" si="74"/>
        <v/>
      </c>
      <c r="AO89" s="124">
        <f>Poster!B126</f>
        <v>46206</v>
      </c>
      <c r="AP89" s="55">
        <f t="shared" si="75"/>
        <v>0.234375</v>
      </c>
    </row>
    <row r="90" spans="1:42" x14ac:dyDescent="0.25">
      <c r="A90" s="44" t="s">
        <v>1244</v>
      </c>
      <c r="B90" s="1" t="str">
        <f>IFERROR(VLOOKUP(Poster!$E129,Lookup03,2,FALSE),"")</f>
        <v/>
      </c>
      <c r="C90" s="45">
        <f>COUNTIF(D$2:D90,D90)+COUNTIF(G$2:G90,D90)</f>
        <v>32</v>
      </c>
      <c r="D90" s="46" t="str">
        <f t="shared" si="76"/>
        <v/>
      </c>
      <c r="E90" s="1" t="str">
        <f>IFERROR(VLOOKUP(Poster!$I129,Lookup03,2,FALSE),"")</f>
        <v/>
      </c>
      <c r="F90" s="45">
        <f>COUNTIF(D$2:D90,G90)+COUNTIF(G$2:G90,G90)</f>
        <v>32</v>
      </c>
      <c r="G90" s="46" t="str">
        <f t="shared" si="77"/>
        <v/>
      </c>
      <c r="H90" s="1" t="str">
        <f>IF(Poster!$F129="","",Poster!$F129)</f>
        <v/>
      </c>
      <c r="I90" s="1" t="str">
        <f>IF(Poster!$H129="","",Poster!$H129)</f>
        <v/>
      </c>
      <c r="J90" s="1" t="str">
        <f>IF(Poster!$F130="","",Poster!$F130)</f>
        <v/>
      </c>
      <c r="K90" s="1" t="str">
        <f>IF(Poster!$H130="","",Poster!$H130)</f>
        <v/>
      </c>
      <c r="L90" s="1" t="str">
        <f>IF(Poster!$F131="","",Poster!$F131)</f>
        <v/>
      </c>
      <c r="M90" s="1" t="str">
        <f>IF(Poster!$H131="","",Poster!$H131)</f>
        <v/>
      </c>
      <c r="N90" s="66" t="str">
        <f t="shared" si="78"/>
        <v/>
      </c>
      <c r="O90" s="65">
        <f t="shared" si="79"/>
        <v>0</v>
      </c>
      <c r="P90" s="89" t="str">
        <f t="shared" si="56"/>
        <v/>
      </c>
      <c r="Q90" s="89" t="str">
        <f t="shared" si="57"/>
        <v/>
      </c>
      <c r="R90" s="92" t="str">
        <f t="shared" si="80"/>
        <v/>
      </c>
      <c r="S90" s="15" t="str">
        <f t="shared" si="81"/>
        <v>TG32</v>
      </c>
      <c r="T90" s="95" t="str">
        <f t="shared" si="82"/>
        <v/>
      </c>
      <c r="U90" s="15" t="str">
        <f t="shared" si="83"/>
        <v>TG32</v>
      </c>
      <c r="V90" s="95" t="str">
        <f t="shared" si="84"/>
        <v/>
      </c>
      <c r="W90" s="50" t="str">
        <f t="shared" si="8"/>
        <v/>
      </c>
      <c r="X90" s="50" t="str">
        <f t="shared" si="58"/>
        <v/>
      </c>
      <c r="Y90" s="50" t="str">
        <f t="shared" si="59"/>
        <v/>
      </c>
      <c r="Z90" s="50" t="str">
        <f t="shared" si="60"/>
        <v/>
      </c>
      <c r="AA90" s="51" t="str">
        <f t="shared" si="61"/>
        <v/>
      </c>
      <c r="AB90" s="51" t="str">
        <f t="shared" si="62"/>
        <v/>
      </c>
      <c r="AC90" s="51" t="str">
        <f t="shared" si="63"/>
        <v/>
      </c>
      <c r="AD90" s="52">
        <f t="shared" si="64"/>
        <v>0</v>
      </c>
      <c r="AE90" s="52">
        <f t="shared" si="65"/>
        <v>0</v>
      </c>
      <c r="AF90" s="52">
        <f t="shared" si="66"/>
        <v>0</v>
      </c>
      <c r="AG90" s="53" t="str">
        <f t="shared" si="67"/>
        <v/>
      </c>
      <c r="AH90" s="53" t="str">
        <f t="shared" si="68"/>
        <v/>
      </c>
      <c r="AI90" s="53" t="str">
        <f t="shared" si="69"/>
        <v/>
      </c>
      <c r="AJ90" s="53" t="str">
        <f t="shared" si="70"/>
        <v/>
      </c>
      <c r="AK90" s="54" t="str">
        <f t="shared" si="71"/>
        <v/>
      </c>
      <c r="AL90" s="54" t="str">
        <f t="shared" si="72"/>
        <v/>
      </c>
      <c r="AM90" s="54" t="str">
        <f t="shared" si="73"/>
        <v/>
      </c>
      <c r="AN90" s="55" t="str">
        <f t="shared" si="74"/>
        <v/>
      </c>
      <c r="AO90" s="124">
        <f>Poster!B129</f>
        <v>46207</v>
      </c>
      <c r="AP90" s="55">
        <f t="shared" si="75"/>
        <v>0.234375</v>
      </c>
    </row>
    <row r="91" spans="1:42" x14ac:dyDescent="0.25">
      <c r="A91" s="44" t="s">
        <v>1246</v>
      </c>
      <c r="B91" s="1" t="str">
        <f>IFERROR(VLOOKUP(Poster!$E135,Lookup03,2,FALSE),"")</f>
        <v/>
      </c>
      <c r="C91" s="45">
        <f>COUNTIF(D$2:D91,D91)+COUNTIF(G$2:G91,D91)</f>
        <v>34</v>
      </c>
      <c r="D91" s="46" t="str">
        <f t="shared" si="76"/>
        <v/>
      </c>
      <c r="E91" s="1" t="str">
        <f>IFERROR(VLOOKUP(Poster!$I135,Lookup03,2,FALSE),"")</f>
        <v/>
      </c>
      <c r="F91" s="45">
        <f>COUNTIF(D$2:D91,G91)+COUNTIF(G$2:G91,G91)</f>
        <v>34</v>
      </c>
      <c r="G91" s="46" t="str">
        <f t="shared" si="77"/>
        <v/>
      </c>
      <c r="H91" s="1" t="str">
        <f>IF(Poster!$F135="","",Poster!$F135)</f>
        <v/>
      </c>
      <c r="I91" s="1" t="str">
        <f>IF(Poster!$H135="","",Poster!$H135)</f>
        <v/>
      </c>
      <c r="J91" s="1" t="str">
        <f>IF(Poster!$F136="","",Poster!$F136)</f>
        <v/>
      </c>
      <c r="K91" s="1" t="str">
        <f>IF(Poster!$H136="","",Poster!$H136)</f>
        <v/>
      </c>
      <c r="L91" s="1" t="str">
        <f>IF(Poster!$F137="","",Poster!$F137)</f>
        <v/>
      </c>
      <c r="M91" s="1" t="str">
        <f>IF(Poster!$H137="","",Poster!$H137)</f>
        <v/>
      </c>
      <c r="N91" s="66" t="str">
        <f t="shared" si="78"/>
        <v/>
      </c>
      <c r="O91" s="65">
        <f t="shared" si="79"/>
        <v>0</v>
      </c>
      <c r="P91" s="89" t="str">
        <f t="shared" si="56"/>
        <v/>
      </c>
      <c r="Q91" s="89" t="str">
        <f t="shared" si="57"/>
        <v/>
      </c>
      <c r="R91" s="92" t="str">
        <f t="shared" si="80"/>
        <v/>
      </c>
      <c r="S91" s="15" t="str">
        <f t="shared" si="81"/>
        <v>TG34</v>
      </c>
      <c r="T91" s="95" t="str">
        <f t="shared" si="82"/>
        <v/>
      </c>
      <c r="U91" s="15" t="str">
        <f t="shared" si="83"/>
        <v>TG34</v>
      </c>
      <c r="V91" s="95" t="str">
        <f t="shared" si="84"/>
        <v/>
      </c>
      <c r="W91" s="50" t="str">
        <f t="shared" si="8"/>
        <v/>
      </c>
      <c r="X91" s="50" t="str">
        <f t="shared" si="58"/>
        <v/>
      </c>
      <c r="Y91" s="50" t="str">
        <f t="shared" si="59"/>
        <v/>
      </c>
      <c r="Z91" s="50" t="str">
        <f t="shared" si="60"/>
        <v/>
      </c>
      <c r="AA91" s="51" t="str">
        <f t="shared" si="61"/>
        <v/>
      </c>
      <c r="AB91" s="51" t="str">
        <f t="shared" si="62"/>
        <v/>
      </c>
      <c r="AC91" s="51" t="str">
        <f t="shared" si="63"/>
        <v/>
      </c>
      <c r="AD91" s="52">
        <f t="shared" si="64"/>
        <v>0</v>
      </c>
      <c r="AE91" s="52">
        <f t="shared" si="65"/>
        <v>0</v>
      </c>
      <c r="AF91" s="52">
        <f t="shared" si="66"/>
        <v>0</v>
      </c>
      <c r="AG91" s="53" t="str">
        <f t="shared" si="67"/>
        <v/>
      </c>
      <c r="AH91" s="53" t="str">
        <f t="shared" si="68"/>
        <v/>
      </c>
      <c r="AI91" s="53" t="str">
        <f t="shared" si="69"/>
        <v/>
      </c>
      <c r="AJ91" s="53" t="str">
        <f t="shared" si="70"/>
        <v/>
      </c>
      <c r="AK91" s="54" t="str">
        <f t="shared" si="71"/>
        <v/>
      </c>
      <c r="AL91" s="54" t="str">
        <f t="shared" si="72"/>
        <v/>
      </c>
      <c r="AM91" s="54" t="str">
        <f t="shared" si="73"/>
        <v/>
      </c>
      <c r="AN91" s="55" t="str">
        <f t="shared" si="74"/>
        <v/>
      </c>
      <c r="AO91" s="124">
        <f>Poster!B135</f>
        <v>46207</v>
      </c>
      <c r="AP91" s="55">
        <f t="shared" si="75"/>
        <v>0.234375</v>
      </c>
    </row>
    <row r="92" spans="1:42" x14ac:dyDescent="0.25">
      <c r="A92" s="44" t="s">
        <v>1245</v>
      </c>
      <c r="B92" s="1" t="str">
        <f>IFERROR(VLOOKUP(Poster!$E138,Lookup03,2,FALSE),"")</f>
        <v/>
      </c>
      <c r="C92" s="45">
        <f>COUNTIF(D$2:D92,D92)+COUNTIF(G$2:G92,D92)</f>
        <v>36</v>
      </c>
      <c r="D92" s="46" t="str">
        <f t="shared" si="76"/>
        <v/>
      </c>
      <c r="E92" s="1" t="str">
        <f>IFERROR(VLOOKUP(Poster!$I138,Lookup03,2,FALSE),"")</f>
        <v/>
      </c>
      <c r="F92" s="45">
        <f>COUNTIF(D$2:D92,G92)+COUNTIF(G$2:G92,G92)</f>
        <v>36</v>
      </c>
      <c r="G92" s="46" t="str">
        <f t="shared" si="77"/>
        <v/>
      </c>
      <c r="H92" s="1" t="str">
        <f>IF(Poster!$F138="","",Poster!$F138)</f>
        <v/>
      </c>
      <c r="I92" s="1" t="str">
        <f>IF(Poster!$H138="","",Poster!$H138)</f>
        <v/>
      </c>
      <c r="J92" s="1" t="str">
        <f>IF(Poster!$F139="","",Poster!$F139)</f>
        <v/>
      </c>
      <c r="K92" s="1" t="str">
        <f>IF(Poster!$H139="","",Poster!$H139)</f>
        <v/>
      </c>
      <c r="L92" s="1" t="str">
        <f>IF(Poster!$F140="","",Poster!$F140)</f>
        <v/>
      </c>
      <c r="M92" s="1" t="str">
        <f>IF(Poster!$H140="","",Poster!$H140)</f>
        <v/>
      </c>
      <c r="N92" s="66" t="str">
        <f t="shared" si="78"/>
        <v/>
      </c>
      <c r="O92" s="65">
        <f t="shared" si="79"/>
        <v>0</v>
      </c>
      <c r="P92" s="89" t="str">
        <f t="shared" si="56"/>
        <v/>
      </c>
      <c r="Q92" s="89" t="str">
        <f t="shared" si="57"/>
        <v/>
      </c>
      <c r="R92" s="92" t="str">
        <f t="shared" si="80"/>
        <v/>
      </c>
      <c r="S92" s="15" t="str">
        <f t="shared" si="81"/>
        <v>TG36</v>
      </c>
      <c r="T92" s="95" t="str">
        <f t="shared" si="82"/>
        <v/>
      </c>
      <c r="U92" s="15" t="str">
        <f t="shared" si="83"/>
        <v>TG36</v>
      </c>
      <c r="V92" s="95" t="str">
        <f t="shared" si="84"/>
        <v/>
      </c>
      <c r="W92" s="50" t="str">
        <f t="shared" si="8"/>
        <v/>
      </c>
      <c r="X92" s="50" t="str">
        <f t="shared" si="58"/>
        <v/>
      </c>
      <c r="Y92" s="50" t="str">
        <f t="shared" si="59"/>
        <v/>
      </c>
      <c r="Z92" s="50" t="str">
        <f t="shared" si="60"/>
        <v/>
      </c>
      <c r="AA92" s="51" t="str">
        <f t="shared" si="61"/>
        <v/>
      </c>
      <c r="AB92" s="51" t="str">
        <f t="shared" si="62"/>
        <v/>
      </c>
      <c r="AC92" s="51" t="str">
        <f t="shared" si="63"/>
        <v/>
      </c>
      <c r="AD92" s="52">
        <f t="shared" si="64"/>
        <v>0</v>
      </c>
      <c r="AE92" s="52">
        <f t="shared" si="65"/>
        <v>0</v>
      </c>
      <c r="AF92" s="52">
        <f t="shared" si="66"/>
        <v>0</v>
      </c>
      <c r="AG92" s="53" t="str">
        <f t="shared" si="67"/>
        <v/>
      </c>
      <c r="AH92" s="53" t="str">
        <f t="shared" si="68"/>
        <v/>
      </c>
      <c r="AI92" s="53" t="str">
        <f t="shared" si="69"/>
        <v/>
      </c>
      <c r="AJ92" s="53" t="str">
        <f t="shared" si="70"/>
        <v/>
      </c>
      <c r="AK92" s="54" t="str">
        <f t="shared" si="71"/>
        <v/>
      </c>
      <c r="AL92" s="54" t="str">
        <f t="shared" si="72"/>
        <v/>
      </c>
      <c r="AM92" s="54" t="str">
        <f t="shared" si="73"/>
        <v/>
      </c>
      <c r="AN92" s="55" t="str">
        <f t="shared" si="74"/>
        <v/>
      </c>
      <c r="AO92" s="124">
        <f>Poster!B138</f>
        <v>46207</v>
      </c>
      <c r="AP92" s="55">
        <f t="shared" si="75"/>
        <v>0.234375</v>
      </c>
    </row>
    <row r="93" spans="1:42" x14ac:dyDescent="0.25">
      <c r="A93" s="44" t="s">
        <v>1251</v>
      </c>
      <c r="B93" s="1" t="str">
        <f>IFERROR(VLOOKUP(Poster!$E141,Lookup03,2,FALSE),"")</f>
        <v/>
      </c>
      <c r="C93" s="45">
        <f>COUNTIF(D$2:D93,D93)+COUNTIF(G$2:G93,D93)</f>
        <v>38</v>
      </c>
      <c r="D93" s="46" t="str">
        <f t="shared" si="76"/>
        <v/>
      </c>
      <c r="E93" s="1" t="str">
        <f>IFERROR(VLOOKUP(Poster!$I141,Lookup03,2,FALSE),"")</f>
        <v/>
      </c>
      <c r="F93" s="45">
        <f>COUNTIF(D$2:D93,G93)+COUNTIF(G$2:G93,G93)</f>
        <v>38</v>
      </c>
      <c r="G93" s="46" t="str">
        <f t="shared" si="77"/>
        <v/>
      </c>
      <c r="H93" s="1" t="str">
        <f>IF(Poster!$F141="","",Poster!$F141)</f>
        <v/>
      </c>
      <c r="I93" s="1" t="str">
        <f>IF(Poster!$H141="","",Poster!$H141)</f>
        <v/>
      </c>
      <c r="J93" s="1" t="str">
        <f>IF(Poster!$F142="","",Poster!$F142)</f>
        <v/>
      </c>
      <c r="K93" s="1" t="str">
        <f>IF(Poster!$H142="","",Poster!$H142)</f>
        <v/>
      </c>
      <c r="L93" s="1" t="str">
        <f>IF(Poster!$F143="","",Poster!$F143)</f>
        <v/>
      </c>
      <c r="M93" s="1" t="str">
        <f>IF(Poster!$H143="","",Poster!$H143)</f>
        <v/>
      </c>
      <c r="N93" s="66" t="str">
        <f t="shared" si="78"/>
        <v/>
      </c>
      <c r="O93" s="65">
        <f t="shared" si="79"/>
        <v>0</v>
      </c>
      <c r="P93" s="89" t="str">
        <f t="shared" si="56"/>
        <v/>
      </c>
      <c r="Q93" s="89" t="str">
        <f t="shared" si="57"/>
        <v/>
      </c>
      <c r="R93" s="92" t="str">
        <f t="shared" si="80"/>
        <v/>
      </c>
      <c r="S93" s="15" t="str">
        <f t="shared" si="81"/>
        <v>TG38</v>
      </c>
      <c r="T93" s="95" t="str">
        <f t="shared" si="82"/>
        <v/>
      </c>
      <c r="U93" s="15" t="str">
        <f t="shared" si="83"/>
        <v>TG38</v>
      </c>
      <c r="V93" s="95" t="str">
        <f t="shared" si="84"/>
        <v/>
      </c>
      <c r="W93" s="50" t="str">
        <f t="shared" si="8"/>
        <v/>
      </c>
      <c r="X93" s="50" t="str">
        <f t="shared" si="58"/>
        <v/>
      </c>
      <c r="Y93" s="50" t="str">
        <f t="shared" si="59"/>
        <v/>
      </c>
      <c r="Z93" s="50" t="str">
        <f t="shared" si="60"/>
        <v/>
      </c>
      <c r="AA93" s="51" t="str">
        <f t="shared" si="61"/>
        <v/>
      </c>
      <c r="AB93" s="51" t="str">
        <f t="shared" si="62"/>
        <v/>
      </c>
      <c r="AC93" s="51" t="str">
        <f t="shared" si="63"/>
        <v/>
      </c>
      <c r="AD93" s="52">
        <f t="shared" si="64"/>
        <v>0</v>
      </c>
      <c r="AE93" s="52">
        <f t="shared" si="65"/>
        <v>0</v>
      </c>
      <c r="AF93" s="52">
        <f t="shared" si="66"/>
        <v>0</v>
      </c>
      <c r="AG93" s="53" t="str">
        <f t="shared" si="67"/>
        <v/>
      </c>
      <c r="AH93" s="53" t="str">
        <f t="shared" si="68"/>
        <v/>
      </c>
      <c r="AI93" s="53" t="str">
        <f t="shared" si="69"/>
        <v/>
      </c>
      <c r="AJ93" s="53" t="str">
        <f t="shared" si="70"/>
        <v/>
      </c>
      <c r="AK93" s="54" t="str">
        <f t="shared" si="71"/>
        <v/>
      </c>
      <c r="AL93" s="54" t="str">
        <f t="shared" si="72"/>
        <v/>
      </c>
      <c r="AM93" s="54" t="str">
        <f t="shared" si="73"/>
        <v/>
      </c>
      <c r="AN93" s="55" t="str">
        <f t="shared" si="74"/>
        <v/>
      </c>
      <c r="AO93" s="124">
        <f>Poster!B141</f>
        <v>46208</v>
      </c>
      <c r="AP93" s="55">
        <f t="shared" si="75"/>
        <v>0.234375</v>
      </c>
    </row>
    <row r="94" spans="1:42" x14ac:dyDescent="0.25">
      <c r="A94" s="44" t="s">
        <v>1252</v>
      </c>
      <c r="B94" s="1" t="str">
        <f>IFERROR(VLOOKUP(Poster!$E144,Lookup03,2,FALSE),"")</f>
        <v/>
      </c>
      <c r="C94" s="45">
        <f>COUNTIF(D$2:D94,D94)+COUNTIF(G$2:G94,D94)</f>
        <v>40</v>
      </c>
      <c r="D94" s="46" t="str">
        <f t="shared" si="76"/>
        <v/>
      </c>
      <c r="E94" s="1" t="str">
        <f>IFERROR(VLOOKUP(Poster!$I144,Lookup03,2,FALSE),"")</f>
        <v/>
      </c>
      <c r="F94" s="45">
        <f>COUNTIF(D$2:D94,G94)+COUNTIF(G$2:G94,G94)</f>
        <v>40</v>
      </c>
      <c r="G94" s="46" t="str">
        <f t="shared" si="77"/>
        <v/>
      </c>
      <c r="H94" s="1" t="str">
        <f>IF(Poster!$F144="","",Poster!$F144)</f>
        <v/>
      </c>
      <c r="I94" s="1" t="str">
        <f>IF(Poster!$H144="","",Poster!$H144)</f>
        <v/>
      </c>
      <c r="J94" s="1" t="str">
        <f>IF(Poster!$F145="","",Poster!$F145)</f>
        <v/>
      </c>
      <c r="K94" s="1" t="str">
        <f>IF(Poster!$H145="","",Poster!$H145)</f>
        <v/>
      </c>
      <c r="L94" s="1" t="str">
        <f>IF(Poster!$F146="","",Poster!$F146)</f>
        <v/>
      </c>
      <c r="M94" s="1" t="str">
        <f>IF(Poster!$H146="","",Poster!$H146)</f>
        <v/>
      </c>
      <c r="N94" s="66" t="str">
        <f t="shared" si="78"/>
        <v/>
      </c>
      <c r="O94" s="65">
        <f t="shared" si="79"/>
        <v>0</v>
      </c>
      <c r="P94" s="89" t="str">
        <f t="shared" si="56"/>
        <v/>
      </c>
      <c r="Q94" s="89" t="str">
        <f t="shared" si="57"/>
        <v/>
      </c>
      <c r="R94" s="92" t="str">
        <f t="shared" si="80"/>
        <v/>
      </c>
      <c r="S94" s="15" t="str">
        <f t="shared" si="81"/>
        <v>TG40</v>
      </c>
      <c r="T94" s="95" t="str">
        <f t="shared" si="82"/>
        <v/>
      </c>
      <c r="U94" s="15" t="str">
        <f t="shared" si="83"/>
        <v>TG40</v>
      </c>
      <c r="V94" s="95" t="str">
        <f t="shared" si="84"/>
        <v/>
      </c>
      <c r="W94" s="50" t="str">
        <f t="shared" si="8"/>
        <v/>
      </c>
      <c r="X94" s="50" t="str">
        <f t="shared" si="58"/>
        <v/>
      </c>
      <c r="Y94" s="50" t="str">
        <f t="shared" si="59"/>
        <v/>
      </c>
      <c r="Z94" s="50" t="str">
        <f t="shared" si="60"/>
        <v/>
      </c>
      <c r="AA94" s="51" t="str">
        <f t="shared" si="61"/>
        <v/>
      </c>
      <c r="AB94" s="51" t="str">
        <f t="shared" si="62"/>
        <v/>
      </c>
      <c r="AC94" s="51" t="str">
        <f t="shared" si="63"/>
        <v/>
      </c>
      <c r="AD94" s="52">
        <f t="shared" si="64"/>
        <v>0</v>
      </c>
      <c r="AE94" s="52">
        <f t="shared" si="65"/>
        <v>0</v>
      </c>
      <c r="AF94" s="52">
        <f t="shared" si="66"/>
        <v>0</v>
      </c>
      <c r="AG94" s="53" t="str">
        <f t="shared" si="67"/>
        <v/>
      </c>
      <c r="AH94" s="53" t="str">
        <f t="shared" si="68"/>
        <v/>
      </c>
      <c r="AI94" s="53" t="str">
        <f t="shared" si="69"/>
        <v/>
      </c>
      <c r="AJ94" s="53" t="str">
        <f t="shared" si="70"/>
        <v/>
      </c>
      <c r="AK94" s="54" t="str">
        <f t="shared" si="71"/>
        <v/>
      </c>
      <c r="AL94" s="54" t="str">
        <f t="shared" si="72"/>
        <v/>
      </c>
      <c r="AM94" s="54" t="str">
        <f t="shared" si="73"/>
        <v/>
      </c>
      <c r="AN94" s="55" t="str">
        <f t="shared" si="74"/>
        <v/>
      </c>
      <c r="AO94" s="124">
        <f>Poster!B144</f>
        <v>46209</v>
      </c>
      <c r="AP94" s="55">
        <f t="shared" si="75"/>
        <v>0.234375</v>
      </c>
    </row>
    <row r="95" spans="1:42" x14ac:dyDescent="0.25">
      <c r="A95" s="44" t="s">
        <v>1253</v>
      </c>
      <c r="B95" s="1" t="str">
        <f>IFERROR(VLOOKUP(Poster!$E147,Lookup03,2,FALSE),"")</f>
        <v/>
      </c>
      <c r="C95" s="45">
        <f>COUNTIF(D$2:D95,D95)+COUNTIF(G$2:G95,D95)</f>
        <v>42</v>
      </c>
      <c r="D95" s="46" t="str">
        <f t="shared" si="76"/>
        <v/>
      </c>
      <c r="E95" s="1" t="str">
        <f>IFERROR(VLOOKUP(Poster!$I147,Lookup03,2,FALSE),"")</f>
        <v/>
      </c>
      <c r="F95" s="45">
        <f>COUNTIF(D$2:D95,G95)+COUNTIF(G$2:G95,G95)</f>
        <v>42</v>
      </c>
      <c r="G95" s="46" t="str">
        <f t="shared" si="77"/>
        <v/>
      </c>
      <c r="H95" s="1" t="str">
        <f>IF(Poster!$F147="","",Poster!$F147)</f>
        <v/>
      </c>
      <c r="I95" s="1" t="str">
        <f>IF(Poster!$H147="","",Poster!$H147)</f>
        <v/>
      </c>
      <c r="J95" s="1" t="str">
        <f>IF(Poster!$F148="","",Poster!$F148)</f>
        <v/>
      </c>
      <c r="K95" s="1" t="str">
        <f>IF(Poster!$H148="","",Poster!$H148)</f>
        <v/>
      </c>
      <c r="L95" s="1" t="str">
        <f>IF(Poster!$F149="","",Poster!$F149)</f>
        <v/>
      </c>
      <c r="M95" s="1" t="str">
        <f>IF(Poster!$H149="","",Poster!$H149)</f>
        <v/>
      </c>
      <c r="N95" s="66" t="str">
        <f t="shared" si="78"/>
        <v/>
      </c>
      <c r="O95" s="65">
        <f t="shared" si="79"/>
        <v>0</v>
      </c>
      <c r="P95" s="89" t="str">
        <f t="shared" si="56"/>
        <v/>
      </c>
      <c r="Q95" s="89" t="str">
        <f t="shared" si="57"/>
        <v/>
      </c>
      <c r="R95" s="92" t="str">
        <f t="shared" si="80"/>
        <v/>
      </c>
      <c r="S95" s="15" t="str">
        <f t="shared" si="81"/>
        <v>TG42</v>
      </c>
      <c r="T95" s="95" t="str">
        <f t="shared" si="82"/>
        <v/>
      </c>
      <c r="U95" s="15" t="str">
        <f t="shared" si="83"/>
        <v>TG42</v>
      </c>
      <c r="V95" s="95" t="str">
        <f t="shared" si="84"/>
        <v/>
      </c>
      <c r="W95" s="50" t="str">
        <f t="shared" si="8"/>
        <v/>
      </c>
      <c r="X95" s="50" t="str">
        <f t="shared" si="58"/>
        <v/>
      </c>
      <c r="Y95" s="50" t="str">
        <f t="shared" si="59"/>
        <v/>
      </c>
      <c r="Z95" s="50" t="str">
        <f t="shared" si="60"/>
        <v/>
      </c>
      <c r="AA95" s="51" t="str">
        <f t="shared" si="61"/>
        <v/>
      </c>
      <c r="AB95" s="51" t="str">
        <f t="shared" si="62"/>
        <v/>
      </c>
      <c r="AC95" s="51" t="str">
        <f t="shared" si="63"/>
        <v/>
      </c>
      <c r="AD95" s="52">
        <f t="shared" si="64"/>
        <v>0</v>
      </c>
      <c r="AE95" s="52">
        <f t="shared" si="65"/>
        <v>0</v>
      </c>
      <c r="AF95" s="52">
        <f t="shared" si="66"/>
        <v>0</v>
      </c>
      <c r="AG95" s="53" t="str">
        <f t="shared" si="67"/>
        <v/>
      </c>
      <c r="AH95" s="53" t="str">
        <f t="shared" si="68"/>
        <v/>
      </c>
      <c r="AI95" s="53" t="str">
        <f t="shared" si="69"/>
        <v/>
      </c>
      <c r="AJ95" s="53" t="str">
        <f t="shared" si="70"/>
        <v/>
      </c>
      <c r="AK95" s="54" t="str">
        <f t="shared" si="71"/>
        <v/>
      </c>
      <c r="AL95" s="54" t="str">
        <f t="shared" si="72"/>
        <v/>
      </c>
      <c r="AM95" s="54" t="str">
        <f t="shared" si="73"/>
        <v/>
      </c>
      <c r="AN95" s="55" t="str">
        <f t="shared" si="74"/>
        <v/>
      </c>
      <c r="AO95" s="124">
        <f>Poster!B147</f>
        <v>46209</v>
      </c>
      <c r="AP95" s="55">
        <f t="shared" si="75"/>
        <v>0.234375</v>
      </c>
    </row>
    <row r="96" spans="1:42" x14ac:dyDescent="0.25">
      <c r="A96" s="44" t="s">
        <v>1254</v>
      </c>
      <c r="B96" s="1" t="str">
        <f>IFERROR(VLOOKUP(Poster!$E150,Lookup03,2,FALSE),"")</f>
        <v/>
      </c>
      <c r="C96" s="45">
        <f>COUNTIF(D$2:D96,D96)+COUNTIF(G$2:G96,D96)</f>
        <v>44</v>
      </c>
      <c r="D96" s="46" t="str">
        <f t="shared" si="76"/>
        <v/>
      </c>
      <c r="E96" s="1" t="str">
        <f>IFERROR(VLOOKUP(Poster!$I150,Lookup03,2,FALSE),"")</f>
        <v/>
      </c>
      <c r="F96" s="45">
        <f>COUNTIF(D$2:D96,G96)+COUNTIF(G$2:G96,G96)</f>
        <v>44</v>
      </c>
      <c r="G96" s="46" t="str">
        <f t="shared" si="77"/>
        <v/>
      </c>
      <c r="H96" s="1" t="str">
        <f>IF(Poster!$F150="","",Poster!$F150)</f>
        <v/>
      </c>
      <c r="I96" s="1" t="str">
        <f>IF(Poster!$H150="","",Poster!$H150)</f>
        <v/>
      </c>
      <c r="J96" s="1" t="str">
        <f>IF(Poster!$F151="","",Poster!$F151)</f>
        <v/>
      </c>
      <c r="K96" s="1" t="str">
        <f>IF(Poster!$H151="","",Poster!$H151)</f>
        <v/>
      </c>
      <c r="L96" s="1" t="str">
        <f>IF(Poster!$F152="","",Poster!$F152)</f>
        <v/>
      </c>
      <c r="M96" s="1" t="str">
        <f>IF(Poster!$H152="","",Poster!$H152)</f>
        <v/>
      </c>
      <c r="N96" s="66" t="str">
        <f t="shared" si="78"/>
        <v/>
      </c>
      <c r="O96" s="65">
        <f t="shared" si="79"/>
        <v>0</v>
      </c>
      <c r="P96" s="89" t="str">
        <f t="shared" si="56"/>
        <v/>
      </c>
      <c r="Q96" s="89" t="str">
        <f t="shared" si="57"/>
        <v/>
      </c>
      <c r="R96" s="92" t="str">
        <f t="shared" si="80"/>
        <v/>
      </c>
      <c r="S96" s="15" t="str">
        <f t="shared" si="81"/>
        <v>TG44</v>
      </c>
      <c r="T96" s="95" t="str">
        <f t="shared" si="82"/>
        <v/>
      </c>
      <c r="U96" s="15" t="str">
        <f t="shared" si="83"/>
        <v>TG44</v>
      </c>
      <c r="V96" s="95" t="str">
        <f t="shared" si="84"/>
        <v/>
      </c>
      <c r="W96" s="50" t="str">
        <f t="shared" si="8"/>
        <v/>
      </c>
      <c r="X96" s="50" t="str">
        <f t="shared" si="58"/>
        <v/>
      </c>
      <c r="Y96" s="50" t="str">
        <f t="shared" si="59"/>
        <v/>
      </c>
      <c r="Z96" s="50" t="str">
        <f t="shared" si="60"/>
        <v/>
      </c>
      <c r="AA96" s="51" t="str">
        <f t="shared" si="61"/>
        <v/>
      </c>
      <c r="AB96" s="51" t="str">
        <f t="shared" si="62"/>
        <v/>
      </c>
      <c r="AC96" s="51" t="str">
        <f t="shared" si="63"/>
        <v/>
      </c>
      <c r="AD96" s="52">
        <f t="shared" si="64"/>
        <v>0</v>
      </c>
      <c r="AE96" s="52">
        <f t="shared" si="65"/>
        <v>0</v>
      </c>
      <c r="AF96" s="52">
        <f t="shared" si="66"/>
        <v>0</v>
      </c>
      <c r="AG96" s="53" t="str">
        <f t="shared" si="67"/>
        <v/>
      </c>
      <c r="AH96" s="53" t="str">
        <f t="shared" si="68"/>
        <v/>
      </c>
      <c r="AI96" s="53" t="str">
        <f t="shared" si="69"/>
        <v/>
      </c>
      <c r="AJ96" s="53" t="str">
        <f t="shared" si="70"/>
        <v/>
      </c>
      <c r="AK96" s="54" t="str">
        <f t="shared" si="71"/>
        <v/>
      </c>
      <c r="AL96" s="54" t="str">
        <f t="shared" si="72"/>
        <v/>
      </c>
      <c r="AM96" s="54" t="str">
        <f t="shared" si="73"/>
        <v/>
      </c>
      <c r="AN96" s="55" t="str">
        <f t="shared" si="74"/>
        <v/>
      </c>
      <c r="AO96" s="124">
        <f>Poster!B150</f>
        <v>46210</v>
      </c>
      <c r="AP96" s="55">
        <f t="shared" si="75"/>
        <v>0.234375</v>
      </c>
    </row>
    <row r="97" spans="1:42" x14ac:dyDescent="0.25">
      <c r="A97" s="44" t="s">
        <v>1255</v>
      </c>
      <c r="B97" s="1" t="str">
        <f>IFERROR(VLOOKUP(Poster!$E153,Lookup03,2,FALSE),"")</f>
        <v/>
      </c>
      <c r="C97" s="45">
        <f>COUNTIF(D$2:D97,D97)+COUNTIF(G$2:G97,D97)</f>
        <v>46</v>
      </c>
      <c r="D97" s="46" t="str">
        <f t="shared" si="76"/>
        <v/>
      </c>
      <c r="E97" s="1" t="str">
        <f>IFERROR(VLOOKUP(Poster!$I153,Lookup03,2,FALSE),"")</f>
        <v/>
      </c>
      <c r="F97" s="45">
        <f>COUNTIF(D$2:D97,G97)+COUNTIF(G$2:G97,G97)</f>
        <v>46</v>
      </c>
      <c r="G97" s="46" t="str">
        <f t="shared" si="77"/>
        <v/>
      </c>
      <c r="H97" s="1" t="str">
        <f>IF(Poster!$F153="","",Poster!$F153)</f>
        <v/>
      </c>
      <c r="I97" s="1" t="str">
        <f>IF(Poster!$H153="","",Poster!$H153)</f>
        <v/>
      </c>
      <c r="J97" s="1" t="str">
        <f>IF(Poster!$F154="","",Poster!$F154)</f>
        <v/>
      </c>
      <c r="K97" s="1" t="str">
        <f>IF(Poster!$H154="","",Poster!$H154)</f>
        <v/>
      </c>
      <c r="L97" s="1" t="str">
        <f>IF(Poster!$F155="","",Poster!$F155)</f>
        <v/>
      </c>
      <c r="M97" s="1" t="str">
        <f>IF(Poster!$H155="","",Poster!$H155)</f>
        <v/>
      </c>
      <c r="N97" s="66" t="str">
        <f t="shared" si="78"/>
        <v/>
      </c>
      <c r="O97" s="65">
        <f t="shared" si="79"/>
        <v>0</v>
      </c>
      <c r="P97" s="89" t="str">
        <f t="shared" si="56"/>
        <v/>
      </c>
      <c r="Q97" s="89" t="str">
        <f t="shared" si="57"/>
        <v/>
      </c>
      <c r="R97" s="92" t="str">
        <f t="shared" si="80"/>
        <v/>
      </c>
      <c r="S97" s="15" t="str">
        <f t="shared" si="81"/>
        <v>TG46</v>
      </c>
      <c r="T97" s="95" t="str">
        <f t="shared" si="82"/>
        <v/>
      </c>
      <c r="U97" s="15" t="str">
        <f t="shared" si="83"/>
        <v>TG46</v>
      </c>
      <c r="V97" s="95" t="str">
        <f t="shared" si="84"/>
        <v/>
      </c>
      <c r="W97" s="50" t="str">
        <f t="shared" si="8"/>
        <v/>
      </c>
      <c r="X97" s="50" t="str">
        <f t="shared" si="58"/>
        <v/>
      </c>
      <c r="Y97" s="50" t="str">
        <f t="shared" si="59"/>
        <v/>
      </c>
      <c r="Z97" s="50" t="str">
        <f t="shared" si="60"/>
        <v/>
      </c>
      <c r="AA97" s="51" t="str">
        <f t="shared" si="61"/>
        <v/>
      </c>
      <c r="AB97" s="51" t="str">
        <f t="shared" si="62"/>
        <v/>
      </c>
      <c r="AC97" s="51" t="str">
        <f t="shared" si="63"/>
        <v/>
      </c>
      <c r="AD97" s="52">
        <f t="shared" si="64"/>
        <v>0</v>
      </c>
      <c r="AE97" s="52">
        <f t="shared" si="65"/>
        <v>0</v>
      </c>
      <c r="AF97" s="52">
        <f t="shared" si="66"/>
        <v>0</v>
      </c>
      <c r="AG97" s="53" t="str">
        <f t="shared" si="67"/>
        <v/>
      </c>
      <c r="AH97" s="53" t="str">
        <f t="shared" si="68"/>
        <v/>
      </c>
      <c r="AI97" s="53" t="str">
        <f t="shared" si="69"/>
        <v/>
      </c>
      <c r="AJ97" s="53" t="str">
        <f t="shared" si="70"/>
        <v/>
      </c>
      <c r="AK97" s="54" t="str">
        <f t="shared" si="71"/>
        <v/>
      </c>
      <c r="AL97" s="54" t="str">
        <f t="shared" si="72"/>
        <v/>
      </c>
      <c r="AM97" s="54" t="str">
        <f t="shared" si="73"/>
        <v/>
      </c>
      <c r="AN97" s="55" t="str">
        <f t="shared" si="74"/>
        <v/>
      </c>
      <c r="AO97" s="124">
        <f>Poster!B153</f>
        <v>46210</v>
      </c>
      <c r="AP97" s="55">
        <f t="shared" si="75"/>
        <v>0.234375</v>
      </c>
    </row>
    <row r="98" spans="1:42" x14ac:dyDescent="0.25">
      <c r="A98" s="44" t="s">
        <v>1256</v>
      </c>
      <c r="B98" s="1" t="str">
        <f>IFERROR(VLOOKUP(Poster!$E156,Lookup03,2,FALSE),"")</f>
        <v/>
      </c>
      <c r="C98" s="45">
        <f>COUNTIF(D$2:D98,D98)+COUNTIF(G$2:G98,D98)</f>
        <v>48</v>
      </c>
      <c r="D98" s="46" t="str">
        <f t="shared" si="76"/>
        <v/>
      </c>
      <c r="E98" s="1" t="str">
        <f>IFERROR(VLOOKUP(Poster!$I156,Lookup03,2,FALSE),"")</f>
        <v/>
      </c>
      <c r="F98" s="45">
        <f>COUNTIF(D$2:D98,G98)+COUNTIF(G$2:G98,G98)</f>
        <v>48</v>
      </c>
      <c r="G98" s="46" t="str">
        <f t="shared" si="77"/>
        <v/>
      </c>
      <c r="H98" s="1" t="str">
        <f>IF(Poster!$F156="","",Poster!$F156)</f>
        <v/>
      </c>
      <c r="I98" s="1" t="str">
        <f>IF(Poster!$H156="","",Poster!$H156)</f>
        <v/>
      </c>
      <c r="J98" s="1" t="str">
        <f>IF(Poster!$F157="","",Poster!$F157)</f>
        <v/>
      </c>
      <c r="K98" s="1" t="str">
        <f>IF(Poster!$H157="","",Poster!$H157)</f>
        <v/>
      </c>
      <c r="L98" s="1" t="str">
        <f>IF(Poster!$F158="","",Poster!$F158)</f>
        <v/>
      </c>
      <c r="M98" s="1" t="str">
        <f>IF(Poster!$H158="","",Poster!$H158)</f>
        <v/>
      </c>
      <c r="N98" s="66" t="str">
        <f t="shared" si="78"/>
        <v/>
      </c>
      <c r="O98" s="65">
        <f t="shared" si="79"/>
        <v>0</v>
      </c>
      <c r="P98" s="89" t="str">
        <f t="shared" si="56"/>
        <v/>
      </c>
      <c r="Q98" s="89" t="str">
        <f t="shared" si="57"/>
        <v/>
      </c>
      <c r="R98" s="92" t="str">
        <f t="shared" si="80"/>
        <v/>
      </c>
      <c r="S98" s="15" t="str">
        <f t="shared" si="81"/>
        <v>TG48</v>
      </c>
      <c r="T98" s="95" t="str">
        <f t="shared" si="82"/>
        <v/>
      </c>
      <c r="U98" s="15" t="str">
        <f t="shared" si="83"/>
        <v>TG48</v>
      </c>
      <c r="V98" s="95" t="str">
        <f t="shared" si="84"/>
        <v/>
      </c>
      <c r="W98" s="50" t="str">
        <f t="shared" si="8"/>
        <v/>
      </c>
      <c r="X98" s="50" t="str">
        <f t="shared" si="58"/>
        <v/>
      </c>
      <c r="Y98" s="50" t="str">
        <f t="shared" si="59"/>
        <v/>
      </c>
      <c r="Z98" s="50" t="str">
        <f t="shared" si="60"/>
        <v/>
      </c>
      <c r="AA98" s="51" t="str">
        <f t="shared" si="61"/>
        <v/>
      </c>
      <c r="AB98" s="51" t="str">
        <f t="shared" si="62"/>
        <v/>
      </c>
      <c r="AC98" s="51" t="str">
        <f t="shared" si="63"/>
        <v/>
      </c>
      <c r="AD98" s="52">
        <f t="shared" si="64"/>
        <v>0</v>
      </c>
      <c r="AE98" s="52">
        <f t="shared" si="65"/>
        <v>0</v>
      </c>
      <c r="AF98" s="52">
        <f t="shared" si="66"/>
        <v>0</v>
      </c>
      <c r="AG98" s="53" t="str">
        <f t="shared" si="67"/>
        <v/>
      </c>
      <c r="AH98" s="53" t="str">
        <f t="shared" si="68"/>
        <v/>
      </c>
      <c r="AI98" s="53" t="str">
        <f t="shared" si="69"/>
        <v/>
      </c>
      <c r="AJ98" s="53" t="str">
        <f t="shared" si="70"/>
        <v/>
      </c>
      <c r="AK98" s="54" t="str">
        <f t="shared" si="71"/>
        <v/>
      </c>
      <c r="AL98" s="54" t="str">
        <f t="shared" si="72"/>
        <v/>
      </c>
      <c r="AM98" s="54" t="str">
        <f t="shared" si="73"/>
        <v/>
      </c>
      <c r="AN98" s="55" t="str">
        <f t="shared" si="74"/>
        <v/>
      </c>
      <c r="AO98" s="124">
        <f>Poster!B156</f>
        <v>46210</v>
      </c>
      <c r="AP98" s="55">
        <f t="shared" si="75"/>
        <v>0.234375</v>
      </c>
    </row>
    <row r="99" spans="1:42" x14ac:dyDescent="0.25">
      <c r="A99" s="44" t="s">
        <v>1262</v>
      </c>
      <c r="B99" s="1" t="str">
        <f>IFERROR(VLOOKUP(Poster!$E162,Lookup03,2,FALSE),"")</f>
        <v/>
      </c>
      <c r="C99" s="45">
        <f>COUNTIF(D$2:D99,D99)+COUNTIF(G$2:G99,D99)</f>
        <v>50</v>
      </c>
      <c r="D99" s="46" t="str">
        <f t="shared" si="76"/>
        <v/>
      </c>
      <c r="E99" s="1" t="str">
        <f>IFERROR(VLOOKUP(Poster!$I162,Lookup03,2,FALSE),"")</f>
        <v/>
      </c>
      <c r="F99" s="45">
        <f>COUNTIF(D$2:D99,G99)+COUNTIF(G$2:G99,G99)</f>
        <v>50</v>
      </c>
      <c r="G99" s="46" t="str">
        <f t="shared" si="77"/>
        <v/>
      </c>
      <c r="H99" s="1" t="str">
        <f>IF(Poster!$F162="","",Poster!$F162)</f>
        <v/>
      </c>
      <c r="I99" s="1" t="str">
        <f>IF(Poster!$H162="","",Poster!$H162)</f>
        <v/>
      </c>
      <c r="J99" s="1" t="str">
        <f>IF(Poster!$F163="","",Poster!$F163)</f>
        <v/>
      </c>
      <c r="K99" s="1" t="str">
        <f>IF(Poster!$H163="","",Poster!$H163)</f>
        <v/>
      </c>
      <c r="L99" s="1" t="str">
        <f>IF(Poster!$F164="","",Poster!$F164)</f>
        <v/>
      </c>
      <c r="M99" s="1" t="str">
        <f>IF(Poster!$H164="","",Poster!$H164)</f>
        <v/>
      </c>
      <c r="N99" s="66" t="str">
        <f t="shared" si="78"/>
        <v/>
      </c>
      <c r="O99" s="65">
        <f t="shared" si="79"/>
        <v>0</v>
      </c>
      <c r="P99" s="89" t="str">
        <f t="shared" ref="P99:P106" si="85">IFERROR(VLOOKUP(B99,Team,3+C99,FALSE),"")</f>
        <v/>
      </c>
      <c r="Q99" s="89" t="str">
        <f t="shared" ref="Q99:Q106" si="86">IFERROR(VLOOKUP(E99,Team,3+F99,FALSE),"")</f>
        <v/>
      </c>
      <c r="R99" s="92" t="str">
        <f t="shared" si="80"/>
        <v/>
      </c>
      <c r="S99" s="15" t="str">
        <f t="shared" si="81"/>
        <v>TG50</v>
      </c>
      <c r="T99" s="95" t="str">
        <f t="shared" si="82"/>
        <v/>
      </c>
      <c r="U99" s="15" t="str">
        <f t="shared" si="83"/>
        <v>TG50</v>
      </c>
      <c r="V99" s="95" t="str">
        <f t="shared" si="84"/>
        <v/>
      </c>
      <c r="W99" s="50" t="str">
        <f t="shared" si="8"/>
        <v/>
      </c>
      <c r="X99" s="50" t="str">
        <f t="shared" ref="X99:X106" si="87">IFERROR(IF(W99-AN99/2&lt;0.01,0.01,W99-AN99/2),"")</f>
        <v/>
      </c>
      <c r="Y99" s="50" t="str">
        <f t="shared" ref="Y99:Y106" si="88">IFERROR(IF(N99&gt;0,1-Z99-X99,""),"")</f>
        <v/>
      </c>
      <c r="Z99" s="50" t="str">
        <f t="shared" ref="Z99:Z106" si="89">IFERROR(IF(1-X99-AN99&lt;0.01,0.01,1-X99-AN99),"")</f>
        <v/>
      </c>
      <c r="AA99" s="51" t="str">
        <f t="shared" ref="AA99:AA106" si="90">IFERROR(VLOOKUP(1/X99,Odds,5,TRUE),"")</f>
        <v/>
      </c>
      <c r="AB99" s="51" t="str">
        <f t="shared" ref="AB99:AB106" si="91">IFERROR(VLOOKUP(1/Y99,Odds,5,TRUE),"")</f>
        <v/>
      </c>
      <c r="AC99" s="51" t="str">
        <f t="shared" ref="AC99:AC106" si="92">IFERROR(VLOOKUP(1/Z99,Odds,5,TRUE),"")</f>
        <v/>
      </c>
      <c r="AD99" s="52">
        <f t="shared" ref="AD99:AD106" si="93">IF(N99=1,1,0)</f>
        <v>0</v>
      </c>
      <c r="AE99" s="52">
        <f t="shared" ref="AE99:AE106" si="94">IF(N99=2,1,0)</f>
        <v>0</v>
      </c>
      <c r="AF99" s="52">
        <f t="shared" ref="AF99:AF106" si="95">IF(N99=3,1,0)</f>
        <v>0</v>
      </c>
      <c r="AG99" s="53" t="str">
        <f t="shared" ref="AG99:AG106" si="96">IFERROR(IF(N99="","",X99*AD99+Y99*AE99+Z99*AF99),"")</f>
        <v/>
      </c>
      <c r="AH99" s="53" t="str">
        <f t="shared" ref="AH99:AH106" si="97">IF(AND(SUM($AD99:$AF99)=1,SUM($X99:$Z99)=1),X99,"")</f>
        <v/>
      </c>
      <c r="AI99" s="53" t="str">
        <f t="shared" ref="AI99:AI106" si="98">IF(AND(SUM($AD99:$AF99)=1,SUM($X99:$Z99)=1),Y99,"")</f>
        <v/>
      </c>
      <c r="AJ99" s="53" t="str">
        <f t="shared" ref="AJ99:AJ106" si="99">IF(AND(SUM($AD99:$AF99)=1,SUM($X99:$Z99)=1),Z99,"")</f>
        <v/>
      </c>
      <c r="AK99" s="54" t="str">
        <f t="shared" ref="AK99:AK106" si="100">IF(AH99="","",AD99)</f>
        <v/>
      </c>
      <c r="AL99" s="54" t="str">
        <f t="shared" ref="AL99:AL106" si="101">IF(AI99="","",AE99)</f>
        <v/>
      </c>
      <c r="AM99" s="54" t="str">
        <f t="shared" ref="AM99:AM106" si="102">IF(AJ99="","",AF99)</f>
        <v/>
      </c>
      <c r="AN99" s="55" t="str">
        <f t="shared" ref="AN99:AN106" si="103">IFERROR(AP99-(W99-0.5)*(W99-0.5),"")</f>
        <v/>
      </c>
      <c r="AO99" s="124">
        <f>Poster!B162</f>
        <v>46212</v>
      </c>
      <c r="AP99" s="55">
        <f t="shared" ref="AP99:AP106" si="104">DFactor</f>
        <v>0.234375</v>
      </c>
    </row>
    <row r="100" spans="1:42" x14ac:dyDescent="0.25">
      <c r="A100" s="44" t="s">
        <v>1263</v>
      </c>
      <c r="B100" s="1" t="str">
        <f>IFERROR(VLOOKUP(Poster!$E165,Lookup03,2,FALSE),"")</f>
        <v/>
      </c>
      <c r="C100" s="45">
        <f>COUNTIF(D$2:D100,D100)+COUNTIF(G$2:G100,D100)</f>
        <v>52</v>
      </c>
      <c r="D100" s="46" t="str">
        <f t="shared" si="76"/>
        <v/>
      </c>
      <c r="E100" s="1" t="str">
        <f>IFERROR(VLOOKUP(Poster!$I165,Lookup03,2,FALSE),"")</f>
        <v/>
      </c>
      <c r="F100" s="45">
        <f>COUNTIF(D$2:D100,G100)+COUNTIF(G$2:G100,G100)</f>
        <v>52</v>
      </c>
      <c r="G100" s="46" t="str">
        <f t="shared" si="77"/>
        <v/>
      </c>
      <c r="H100" s="1" t="str">
        <f>IF(Poster!$F165="","",Poster!$F165)</f>
        <v/>
      </c>
      <c r="I100" s="1" t="str">
        <f>IF(Poster!$H165="","",Poster!$H165)</f>
        <v/>
      </c>
      <c r="J100" s="1" t="str">
        <f>IF(Poster!$F166="","",Poster!$F166)</f>
        <v/>
      </c>
      <c r="K100" s="1" t="str">
        <f>IF(Poster!$H166="","",Poster!$H166)</f>
        <v/>
      </c>
      <c r="L100" s="1" t="str">
        <f>IF(Poster!$F167="","",Poster!$F167)</f>
        <v/>
      </c>
      <c r="M100" s="1" t="str">
        <f>IF(Poster!$H167="","",Poster!$H167)</f>
        <v/>
      </c>
      <c r="N100" s="66" t="str">
        <f t="shared" si="78"/>
        <v/>
      </c>
      <c r="O100" s="65">
        <f t="shared" si="79"/>
        <v>0</v>
      </c>
      <c r="P100" s="89" t="str">
        <f t="shared" si="85"/>
        <v/>
      </c>
      <c r="Q100" s="89" t="str">
        <f t="shared" si="86"/>
        <v/>
      </c>
      <c r="R100" s="92" t="str">
        <f t="shared" si="80"/>
        <v/>
      </c>
      <c r="S100" s="15" t="str">
        <f t="shared" si="81"/>
        <v>TG52</v>
      </c>
      <c r="T100" s="95" t="str">
        <f t="shared" si="82"/>
        <v/>
      </c>
      <c r="U100" s="15" t="str">
        <f t="shared" si="83"/>
        <v>TG52</v>
      </c>
      <c r="V100" s="95" t="str">
        <f t="shared" si="84"/>
        <v/>
      </c>
      <c r="W100" s="50" t="str">
        <f t="shared" si="8"/>
        <v/>
      </c>
      <c r="X100" s="50" t="str">
        <f t="shared" si="87"/>
        <v/>
      </c>
      <c r="Y100" s="50" t="str">
        <f t="shared" si="88"/>
        <v/>
      </c>
      <c r="Z100" s="50" t="str">
        <f t="shared" si="89"/>
        <v/>
      </c>
      <c r="AA100" s="51" t="str">
        <f t="shared" si="90"/>
        <v/>
      </c>
      <c r="AB100" s="51" t="str">
        <f t="shared" si="91"/>
        <v/>
      </c>
      <c r="AC100" s="51" t="str">
        <f t="shared" si="92"/>
        <v/>
      </c>
      <c r="AD100" s="52">
        <f t="shared" si="93"/>
        <v>0</v>
      </c>
      <c r="AE100" s="52">
        <f t="shared" si="94"/>
        <v>0</v>
      </c>
      <c r="AF100" s="52">
        <f t="shared" si="95"/>
        <v>0</v>
      </c>
      <c r="AG100" s="53" t="str">
        <f t="shared" si="96"/>
        <v/>
      </c>
      <c r="AH100" s="53" t="str">
        <f t="shared" si="97"/>
        <v/>
      </c>
      <c r="AI100" s="53" t="str">
        <f t="shared" si="98"/>
        <v/>
      </c>
      <c r="AJ100" s="53" t="str">
        <f t="shared" si="99"/>
        <v/>
      </c>
      <c r="AK100" s="54" t="str">
        <f t="shared" si="100"/>
        <v/>
      </c>
      <c r="AL100" s="54" t="str">
        <f t="shared" si="101"/>
        <v/>
      </c>
      <c r="AM100" s="54" t="str">
        <f t="shared" si="102"/>
        <v/>
      </c>
      <c r="AN100" s="55" t="str">
        <f t="shared" si="103"/>
        <v/>
      </c>
      <c r="AO100" s="124">
        <f>Poster!B165</f>
        <v>46213</v>
      </c>
      <c r="AP100" s="55">
        <f t="shared" si="104"/>
        <v>0.234375</v>
      </c>
    </row>
    <row r="101" spans="1:42" x14ac:dyDescent="0.25">
      <c r="A101" s="44" t="s">
        <v>1264</v>
      </c>
      <c r="B101" s="1" t="str">
        <f>IFERROR(VLOOKUP(Poster!$E168,Lookup03,2,FALSE),"")</f>
        <v/>
      </c>
      <c r="C101" s="45">
        <f>COUNTIF(D$2:D101,D101)+COUNTIF(G$2:G101,D101)</f>
        <v>54</v>
      </c>
      <c r="D101" s="46" t="str">
        <f t="shared" si="76"/>
        <v/>
      </c>
      <c r="E101" s="1" t="str">
        <f>IFERROR(VLOOKUP(Poster!$I168,Lookup03,2,FALSE),"")</f>
        <v/>
      </c>
      <c r="F101" s="45">
        <f>COUNTIF(D$2:D101,G101)+COUNTIF(G$2:G101,G101)</f>
        <v>54</v>
      </c>
      <c r="G101" s="46" t="str">
        <f t="shared" si="77"/>
        <v/>
      </c>
      <c r="H101" s="1" t="str">
        <f>IF(Poster!$F168="","",Poster!$F168)</f>
        <v/>
      </c>
      <c r="I101" s="1" t="str">
        <f>IF(Poster!$H168="","",Poster!$H168)</f>
        <v/>
      </c>
      <c r="J101" s="1" t="str">
        <f>IF(Poster!$F169="","",Poster!$F169)</f>
        <v/>
      </c>
      <c r="K101" s="1" t="str">
        <f>IF(Poster!$H169="","",Poster!$H169)</f>
        <v/>
      </c>
      <c r="L101" s="1" t="str">
        <f>IF(Poster!$F170="","",Poster!$F170)</f>
        <v/>
      </c>
      <c r="M101" s="1" t="str">
        <f>IF(Poster!$H170="","",Poster!$H170)</f>
        <v/>
      </c>
      <c r="N101" s="66" t="str">
        <f t="shared" si="78"/>
        <v/>
      </c>
      <c r="O101" s="65">
        <f t="shared" si="79"/>
        <v>0</v>
      </c>
      <c r="P101" s="89" t="str">
        <f t="shared" si="85"/>
        <v/>
      </c>
      <c r="Q101" s="89" t="str">
        <f t="shared" si="86"/>
        <v/>
      </c>
      <c r="R101" s="92" t="str">
        <f t="shared" si="80"/>
        <v/>
      </c>
      <c r="S101" s="15" t="str">
        <f t="shared" si="81"/>
        <v>TG54</v>
      </c>
      <c r="T101" s="95" t="str">
        <f t="shared" si="82"/>
        <v/>
      </c>
      <c r="U101" s="15" t="str">
        <f t="shared" si="83"/>
        <v>TG54</v>
      </c>
      <c r="V101" s="95" t="str">
        <f t="shared" si="84"/>
        <v/>
      </c>
      <c r="W101" s="50" t="str">
        <f t="shared" si="8"/>
        <v/>
      </c>
      <c r="X101" s="50" t="str">
        <f t="shared" si="87"/>
        <v/>
      </c>
      <c r="Y101" s="50" t="str">
        <f t="shared" si="88"/>
        <v/>
      </c>
      <c r="Z101" s="50" t="str">
        <f t="shared" si="89"/>
        <v/>
      </c>
      <c r="AA101" s="51" t="str">
        <f t="shared" si="90"/>
        <v/>
      </c>
      <c r="AB101" s="51" t="str">
        <f t="shared" si="91"/>
        <v/>
      </c>
      <c r="AC101" s="51" t="str">
        <f t="shared" si="92"/>
        <v/>
      </c>
      <c r="AD101" s="52">
        <f t="shared" si="93"/>
        <v>0</v>
      </c>
      <c r="AE101" s="52">
        <f t="shared" si="94"/>
        <v>0</v>
      </c>
      <c r="AF101" s="52">
        <f t="shared" si="95"/>
        <v>0</v>
      </c>
      <c r="AG101" s="53" t="str">
        <f t="shared" si="96"/>
        <v/>
      </c>
      <c r="AH101" s="53" t="str">
        <f t="shared" si="97"/>
        <v/>
      </c>
      <c r="AI101" s="53" t="str">
        <f t="shared" si="98"/>
        <v/>
      </c>
      <c r="AJ101" s="53" t="str">
        <f t="shared" si="99"/>
        <v/>
      </c>
      <c r="AK101" s="54" t="str">
        <f t="shared" si="100"/>
        <v/>
      </c>
      <c r="AL101" s="54" t="str">
        <f t="shared" si="101"/>
        <v/>
      </c>
      <c r="AM101" s="54" t="str">
        <f t="shared" si="102"/>
        <v/>
      </c>
      <c r="AN101" s="55" t="str">
        <f t="shared" si="103"/>
        <v/>
      </c>
      <c r="AO101" s="124">
        <f>Poster!B168</f>
        <v>46214</v>
      </c>
      <c r="AP101" s="55">
        <f t="shared" si="104"/>
        <v>0.234375</v>
      </c>
    </row>
    <row r="102" spans="1:42" x14ac:dyDescent="0.25">
      <c r="A102" s="44" t="s">
        <v>1265</v>
      </c>
      <c r="B102" s="1" t="str">
        <f>IFERROR(VLOOKUP(Poster!$E171,Lookup03,2,FALSE),"")</f>
        <v/>
      </c>
      <c r="C102" s="45">
        <f>COUNTIF(D$2:D102,D102)+COUNTIF(G$2:G102,D102)</f>
        <v>56</v>
      </c>
      <c r="D102" s="46" t="str">
        <f t="shared" si="76"/>
        <v/>
      </c>
      <c r="E102" s="1" t="str">
        <f>IFERROR(VLOOKUP(Poster!$I171,Lookup03,2,FALSE),"")</f>
        <v/>
      </c>
      <c r="F102" s="45">
        <f>COUNTIF(D$2:D102,G102)+COUNTIF(G$2:G102,G102)</f>
        <v>56</v>
      </c>
      <c r="G102" s="46" t="str">
        <f t="shared" si="77"/>
        <v/>
      </c>
      <c r="H102" s="1" t="str">
        <f>IF(Poster!$F171="","",Poster!$F171)</f>
        <v/>
      </c>
      <c r="I102" s="1" t="str">
        <f>IF(Poster!$H171="","",Poster!$H171)</f>
        <v/>
      </c>
      <c r="J102" s="1" t="str">
        <f>IF(Poster!$F172="","",Poster!$F172)</f>
        <v/>
      </c>
      <c r="K102" s="1" t="str">
        <f>IF(Poster!$H172="","",Poster!$H172)</f>
        <v/>
      </c>
      <c r="L102" s="1" t="str">
        <f>IF(Poster!$F173="","",Poster!$F173)</f>
        <v/>
      </c>
      <c r="M102" s="1" t="str">
        <f>IF(Poster!$H173="","",Poster!$H173)</f>
        <v/>
      </c>
      <c r="N102" s="66" t="str">
        <f t="shared" si="78"/>
        <v/>
      </c>
      <c r="O102" s="65">
        <f t="shared" si="79"/>
        <v>0</v>
      </c>
      <c r="P102" s="89" t="str">
        <f t="shared" si="85"/>
        <v/>
      </c>
      <c r="Q102" s="89" t="str">
        <f t="shared" si="86"/>
        <v/>
      </c>
      <c r="R102" s="92" t="str">
        <f t="shared" si="80"/>
        <v/>
      </c>
      <c r="S102" s="15" t="str">
        <f t="shared" si="81"/>
        <v>TG56</v>
      </c>
      <c r="T102" s="95" t="str">
        <f t="shared" si="82"/>
        <v/>
      </c>
      <c r="U102" s="15" t="str">
        <f t="shared" si="83"/>
        <v>TG56</v>
      </c>
      <c r="V102" s="95" t="str">
        <f t="shared" si="84"/>
        <v/>
      </c>
      <c r="W102" s="50" t="str">
        <f t="shared" si="8"/>
        <v/>
      </c>
      <c r="X102" s="50" t="str">
        <f t="shared" si="87"/>
        <v/>
      </c>
      <c r="Y102" s="50" t="str">
        <f t="shared" si="88"/>
        <v/>
      </c>
      <c r="Z102" s="50" t="str">
        <f t="shared" si="89"/>
        <v/>
      </c>
      <c r="AA102" s="51" t="str">
        <f t="shared" si="90"/>
        <v/>
      </c>
      <c r="AB102" s="51" t="str">
        <f t="shared" si="91"/>
        <v/>
      </c>
      <c r="AC102" s="51" t="str">
        <f t="shared" si="92"/>
        <v/>
      </c>
      <c r="AD102" s="52">
        <f t="shared" si="93"/>
        <v>0</v>
      </c>
      <c r="AE102" s="52">
        <f t="shared" si="94"/>
        <v>0</v>
      </c>
      <c r="AF102" s="52">
        <f t="shared" si="95"/>
        <v>0</v>
      </c>
      <c r="AG102" s="53" t="str">
        <f t="shared" si="96"/>
        <v/>
      </c>
      <c r="AH102" s="53" t="str">
        <f t="shared" si="97"/>
        <v/>
      </c>
      <c r="AI102" s="53" t="str">
        <f t="shared" si="98"/>
        <v/>
      </c>
      <c r="AJ102" s="53" t="str">
        <f t="shared" si="99"/>
        <v/>
      </c>
      <c r="AK102" s="54" t="str">
        <f t="shared" si="100"/>
        <v/>
      </c>
      <c r="AL102" s="54" t="str">
        <f t="shared" si="101"/>
        <v/>
      </c>
      <c r="AM102" s="54" t="str">
        <f t="shared" si="102"/>
        <v/>
      </c>
      <c r="AN102" s="55" t="str">
        <f t="shared" si="103"/>
        <v/>
      </c>
      <c r="AO102" s="124">
        <f>Poster!B171</f>
        <v>46215</v>
      </c>
      <c r="AP102" s="55">
        <f t="shared" si="104"/>
        <v>0.234375</v>
      </c>
    </row>
    <row r="103" spans="1:42" x14ac:dyDescent="0.25">
      <c r="A103" s="44" t="s">
        <v>1257</v>
      </c>
      <c r="B103" s="1" t="str">
        <f>IFERROR(VLOOKUP(Poster!$E177,Lookup03,2,FALSE),"")</f>
        <v/>
      </c>
      <c r="C103" s="45">
        <f>COUNTIF(D$2:D103,D103)+COUNTIF(G$2:G103,D103)</f>
        <v>58</v>
      </c>
      <c r="D103" s="46" t="str">
        <f t="shared" si="76"/>
        <v/>
      </c>
      <c r="E103" s="1" t="str">
        <f>IFERROR(VLOOKUP(Poster!$I177,Lookup03,2,FALSE),"")</f>
        <v/>
      </c>
      <c r="F103" s="45">
        <f>COUNTIF(D$2:D103,G103)+COUNTIF(G$2:G103,G103)</f>
        <v>58</v>
      </c>
      <c r="G103" s="46" t="str">
        <f t="shared" si="77"/>
        <v/>
      </c>
      <c r="H103" s="1" t="str">
        <f>IF(Poster!$F177="","",Poster!$F177)</f>
        <v/>
      </c>
      <c r="I103" s="1" t="str">
        <f>IF(Poster!$H177="","",Poster!$H177)</f>
        <v/>
      </c>
      <c r="J103" s="1" t="str">
        <f>IF(Poster!$F178="","",Poster!$F178)</f>
        <v/>
      </c>
      <c r="K103" s="1" t="str">
        <f>IF(Poster!$H178="","",Poster!$H178)</f>
        <v/>
      </c>
      <c r="L103" s="1" t="str">
        <f>IF(Poster!$F179="","",Poster!$F179)</f>
        <v/>
      </c>
      <c r="M103" s="1" t="str">
        <f>IF(Poster!$H179="","",Poster!$H179)</f>
        <v/>
      </c>
      <c r="N103" s="66" t="str">
        <f t="shared" si="78"/>
        <v/>
      </c>
      <c r="O103" s="65">
        <f t="shared" si="79"/>
        <v>0</v>
      </c>
      <c r="P103" s="89" t="str">
        <f t="shared" si="85"/>
        <v/>
      </c>
      <c r="Q103" s="89" t="str">
        <f t="shared" si="86"/>
        <v/>
      </c>
      <c r="R103" s="92" t="str">
        <f t="shared" si="80"/>
        <v/>
      </c>
      <c r="S103" s="15" t="str">
        <f t="shared" si="81"/>
        <v>TG58</v>
      </c>
      <c r="T103" s="95" t="str">
        <f t="shared" si="82"/>
        <v/>
      </c>
      <c r="U103" s="15" t="str">
        <f t="shared" si="83"/>
        <v>TG58</v>
      </c>
      <c r="V103" s="95" t="str">
        <f t="shared" si="84"/>
        <v/>
      </c>
      <c r="W103" s="50" t="str">
        <f t="shared" si="8"/>
        <v/>
      </c>
      <c r="X103" s="50" t="str">
        <f t="shared" si="87"/>
        <v/>
      </c>
      <c r="Y103" s="50" t="str">
        <f t="shared" si="88"/>
        <v/>
      </c>
      <c r="Z103" s="50" t="str">
        <f t="shared" si="89"/>
        <v/>
      </c>
      <c r="AA103" s="51" t="str">
        <f t="shared" si="90"/>
        <v/>
      </c>
      <c r="AB103" s="51" t="str">
        <f t="shared" si="91"/>
        <v/>
      </c>
      <c r="AC103" s="51" t="str">
        <f t="shared" si="92"/>
        <v/>
      </c>
      <c r="AD103" s="52">
        <f t="shared" si="93"/>
        <v>0</v>
      </c>
      <c r="AE103" s="52">
        <f t="shared" si="94"/>
        <v>0</v>
      </c>
      <c r="AF103" s="52">
        <f t="shared" si="95"/>
        <v>0</v>
      </c>
      <c r="AG103" s="53" t="str">
        <f t="shared" si="96"/>
        <v/>
      </c>
      <c r="AH103" s="53" t="str">
        <f t="shared" si="97"/>
        <v/>
      </c>
      <c r="AI103" s="53" t="str">
        <f t="shared" si="98"/>
        <v/>
      </c>
      <c r="AJ103" s="53" t="str">
        <f t="shared" si="99"/>
        <v/>
      </c>
      <c r="AK103" s="54" t="str">
        <f t="shared" si="100"/>
        <v/>
      </c>
      <c r="AL103" s="54" t="str">
        <f t="shared" si="101"/>
        <v/>
      </c>
      <c r="AM103" s="54" t="str">
        <f t="shared" si="102"/>
        <v/>
      </c>
      <c r="AN103" s="55" t="str">
        <f t="shared" si="103"/>
        <v/>
      </c>
      <c r="AO103" s="124">
        <f>Poster!B177</f>
        <v>46217</v>
      </c>
      <c r="AP103" s="55">
        <f t="shared" si="104"/>
        <v>0.234375</v>
      </c>
    </row>
    <row r="104" spans="1:42" x14ac:dyDescent="0.25">
      <c r="A104" s="44" t="s">
        <v>1258</v>
      </c>
      <c r="B104" s="1" t="str">
        <f>IFERROR(VLOOKUP(Poster!$E180,Lookup03,2,FALSE),"")</f>
        <v/>
      </c>
      <c r="C104" s="45">
        <f>COUNTIF(D$2:D104,D104)+COUNTIF(G$2:G104,D104)</f>
        <v>60</v>
      </c>
      <c r="D104" s="46" t="str">
        <f t="shared" si="76"/>
        <v/>
      </c>
      <c r="E104" s="1" t="str">
        <f>IFERROR(VLOOKUP(Poster!$I180,Lookup03,2,FALSE),"")</f>
        <v/>
      </c>
      <c r="F104" s="45">
        <f>COUNTIF(D$2:D104,G104)+COUNTIF(G$2:G104,G104)</f>
        <v>60</v>
      </c>
      <c r="G104" s="46" t="str">
        <f t="shared" si="77"/>
        <v/>
      </c>
      <c r="H104" s="1" t="str">
        <f>IF(Poster!$F180="","",Poster!$F180)</f>
        <v/>
      </c>
      <c r="I104" s="1" t="str">
        <f>IF(Poster!$H180="","",Poster!$H180)</f>
        <v/>
      </c>
      <c r="J104" s="1" t="str">
        <f>IF(Poster!$F181="","",Poster!$F181)</f>
        <v/>
      </c>
      <c r="K104" s="1" t="str">
        <f>IF(Poster!$H181="","",Poster!$H181)</f>
        <v/>
      </c>
      <c r="L104" s="1" t="str">
        <f>IF(Poster!$F182="","",Poster!$F182)</f>
        <v/>
      </c>
      <c r="M104" s="1" t="str">
        <f>IF(Poster!$H182="","",Poster!$H182)</f>
        <v/>
      </c>
      <c r="N104" s="66" t="str">
        <f t="shared" si="78"/>
        <v/>
      </c>
      <c r="O104" s="65">
        <f t="shared" si="79"/>
        <v>0</v>
      </c>
      <c r="P104" s="89" t="str">
        <f t="shared" si="85"/>
        <v/>
      </c>
      <c r="Q104" s="89" t="str">
        <f t="shared" si="86"/>
        <v/>
      </c>
      <c r="R104" s="92" t="str">
        <f t="shared" si="80"/>
        <v/>
      </c>
      <c r="S104" s="15" t="str">
        <f t="shared" si="81"/>
        <v>TG60</v>
      </c>
      <c r="T104" s="95" t="str">
        <f t="shared" si="82"/>
        <v/>
      </c>
      <c r="U104" s="15" t="str">
        <f t="shared" si="83"/>
        <v>TG60</v>
      </c>
      <c r="V104" s="95" t="str">
        <f t="shared" si="84"/>
        <v/>
      </c>
      <c r="W104" s="50" t="str">
        <f t="shared" si="8"/>
        <v/>
      </c>
      <c r="X104" s="50" t="str">
        <f t="shared" si="87"/>
        <v/>
      </c>
      <c r="Y104" s="50" t="str">
        <f t="shared" si="88"/>
        <v/>
      </c>
      <c r="Z104" s="50" t="str">
        <f t="shared" si="89"/>
        <v/>
      </c>
      <c r="AA104" s="51" t="str">
        <f t="shared" si="90"/>
        <v/>
      </c>
      <c r="AB104" s="51" t="str">
        <f t="shared" si="91"/>
        <v/>
      </c>
      <c r="AC104" s="51" t="str">
        <f t="shared" si="92"/>
        <v/>
      </c>
      <c r="AD104" s="52">
        <f t="shared" si="93"/>
        <v>0</v>
      </c>
      <c r="AE104" s="52">
        <f t="shared" si="94"/>
        <v>0</v>
      </c>
      <c r="AF104" s="52">
        <f t="shared" si="95"/>
        <v>0</v>
      </c>
      <c r="AG104" s="53" t="str">
        <f t="shared" si="96"/>
        <v/>
      </c>
      <c r="AH104" s="53" t="str">
        <f t="shared" si="97"/>
        <v/>
      </c>
      <c r="AI104" s="53" t="str">
        <f t="shared" si="98"/>
        <v/>
      </c>
      <c r="AJ104" s="53" t="str">
        <f t="shared" si="99"/>
        <v/>
      </c>
      <c r="AK104" s="54" t="str">
        <f t="shared" si="100"/>
        <v/>
      </c>
      <c r="AL104" s="54" t="str">
        <f t="shared" si="101"/>
        <v/>
      </c>
      <c r="AM104" s="54" t="str">
        <f t="shared" si="102"/>
        <v/>
      </c>
      <c r="AN104" s="55" t="str">
        <f t="shared" si="103"/>
        <v/>
      </c>
      <c r="AO104" s="124">
        <f>Poster!B180</f>
        <v>46218</v>
      </c>
      <c r="AP104" s="55">
        <f t="shared" si="104"/>
        <v>0.234375</v>
      </c>
    </row>
    <row r="105" spans="1:42" x14ac:dyDescent="0.25">
      <c r="A105" s="44" t="s">
        <v>1259</v>
      </c>
      <c r="B105" s="1" t="str">
        <f>IFERROR(VLOOKUP(Poster!$E186,Lookup03,2,FALSE),"")</f>
        <v/>
      </c>
      <c r="C105" s="45">
        <f>COUNTIF(D$2:D105,D105)+COUNTIF(G$2:G105,D105)</f>
        <v>62</v>
      </c>
      <c r="D105" s="46" t="str">
        <f t="shared" si="76"/>
        <v/>
      </c>
      <c r="E105" s="1" t="str">
        <f>IFERROR(VLOOKUP(Poster!$I186,Lookup03,2,FALSE),"")</f>
        <v/>
      </c>
      <c r="F105" s="45">
        <f>COUNTIF(D$2:D105,G105)+COUNTIF(G$2:G105,G105)</f>
        <v>62</v>
      </c>
      <c r="G105" s="46" t="str">
        <f t="shared" si="77"/>
        <v/>
      </c>
      <c r="H105" s="1" t="str">
        <f>IF(Poster!$F186="","",Poster!$F186)</f>
        <v/>
      </c>
      <c r="I105" s="1" t="str">
        <f>IF(Poster!$H186="","",Poster!$H186)</f>
        <v/>
      </c>
      <c r="J105" s="1" t="str">
        <f>IF(Poster!$F187="","",Poster!$F187)</f>
        <v/>
      </c>
      <c r="K105" s="1" t="str">
        <f>IF(Poster!$H187="","",Poster!$H187)</f>
        <v/>
      </c>
      <c r="L105" s="1" t="str">
        <f>IF(Poster!$F188="","",Poster!$F188)</f>
        <v/>
      </c>
      <c r="M105" s="1" t="str">
        <f>IF(Poster!$H188="","",Poster!$H188)</f>
        <v/>
      </c>
      <c r="N105" s="66" t="str">
        <f t="shared" si="78"/>
        <v/>
      </c>
      <c r="O105" s="65">
        <f t="shared" si="79"/>
        <v>0</v>
      </c>
      <c r="P105" s="89" t="str">
        <f t="shared" si="85"/>
        <v/>
      </c>
      <c r="Q105" s="89" t="str">
        <f t="shared" si="86"/>
        <v/>
      </c>
      <c r="R105" s="92" t="str">
        <f t="shared" si="80"/>
        <v/>
      </c>
      <c r="S105" s="15" t="str">
        <f t="shared" si="81"/>
        <v>TG62</v>
      </c>
      <c r="T105" s="95" t="str">
        <f t="shared" si="82"/>
        <v/>
      </c>
      <c r="U105" s="15" t="str">
        <f t="shared" si="83"/>
        <v>TG62</v>
      </c>
      <c r="V105" s="95" t="str">
        <f t="shared" si="84"/>
        <v/>
      </c>
      <c r="W105" s="50" t="str">
        <f t="shared" si="8"/>
        <v/>
      </c>
      <c r="X105" s="50" t="str">
        <f t="shared" si="87"/>
        <v/>
      </c>
      <c r="Y105" s="50" t="str">
        <f t="shared" si="88"/>
        <v/>
      </c>
      <c r="Z105" s="50" t="str">
        <f t="shared" si="89"/>
        <v/>
      </c>
      <c r="AA105" s="51" t="str">
        <f t="shared" si="90"/>
        <v/>
      </c>
      <c r="AB105" s="51" t="str">
        <f t="shared" si="91"/>
        <v/>
      </c>
      <c r="AC105" s="51" t="str">
        <f t="shared" si="92"/>
        <v/>
      </c>
      <c r="AD105" s="52">
        <f t="shared" si="93"/>
        <v>0</v>
      </c>
      <c r="AE105" s="52">
        <f t="shared" si="94"/>
        <v>0</v>
      </c>
      <c r="AF105" s="52">
        <f t="shared" si="95"/>
        <v>0</v>
      </c>
      <c r="AG105" s="53" t="str">
        <f t="shared" si="96"/>
        <v/>
      </c>
      <c r="AH105" s="53" t="str">
        <f t="shared" si="97"/>
        <v/>
      </c>
      <c r="AI105" s="53" t="str">
        <f t="shared" si="98"/>
        <v/>
      </c>
      <c r="AJ105" s="53" t="str">
        <f t="shared" si="99"/>
        <v/>
      </c>
      <c r="AK105" s="54" t="str">
        <f t="shared" si="100"/>
        <v/>
      </c>
      <c r="AL105" s="54" t="str">
        <f t="shared" si="101"/>
        <v/>
      </c>
      <c r="AM105" s="54" t="str">
        <f t="shared" si="102"/>
        <v/>
      </c>
      <c r="AN105" s="55" t="str">
        <f t="shared" si="103"/>
        <v/>
      </c>
      <c r="AO105" s="124">
        <f>Poster!B186</f>
        <v>44912.625</v>
      </c>
      <c r="AP105" s="55">
        <f t="shared" si="104"/>
        <v>0.234375</v>
      </c>
    </row>
    <row r="106" spans="1:42" x14ac:dyDescent="0.25">
      <c r="A106" s="44" t="s">
        <v>1260</v>
      </c>
      <c r="B106" s="1" t="str">
        <f>IFERROR(VLOOKUP(Poster!$E195,Lookup03,2,FALSE),"")</f>
        <v/>
      </c>
      <c r="C106" s="45">
        <f>COUNTIF(D$2:D106,D106)+COUNTIF(G$2:G106,D106)</f>
        <v>64</v>
      </c>
      <c r="D106" s="46" t="str">
        <f t="shared" si="76"/>
        <v/>
      </c>
      <c r="E106" s="1" t="str">
        <f>IFERROR(VLOOKUP(Poster!$I195,Lookup03,2,FALSE),"")</f>
        <v/>
      </c>
      <c r="F106" s="45">
        <f>COUNTIF(D$2:D106,G106)+COUNTIF(G$2:G106,G106)</f>
        <v>64</v>
      </c>
      <c r="G106" s="46" t="str">
        <f t="shared" si="77"/>
        <v/>
      </c>
      <c r="H106" s="1" t="str">
        <f>IF(Poster!$F195="","",Poster!$F195)</f>
        <v/>
      </c>
      <c r="I106" s="1" t="str">
        <f>IF(Poster!$H195="","",Poster!$H195)</f>
        <v/>
      </c>
      <c r="J106" s="1" t="str">
        <f>IF(Poster!$F196="","",Poster!$F196)</f>
        <v/>
      </c>
      <c r="K106" s="1" t="str">
        <f>IF(Poster!$H196="","",Poster!$H196)</f>
        <v/>
      </c>
      <c r="L106" s="1" t="str">
        <f>IF(Poster!$F197="","",Poster!$F197)</f>
        <v/>
      </c>
      <c r="M106" s="1" t="str">
        <f>IF(Poster!$H197="","",Poster!$H197)</f>
        <v/>
      </c>
      <c r="N106" s="66" t="str">
        <f t="shared" si="78"/>
        <v/>
      </c>
      <c r="O106" s="65">
        <f t="shared" si="79"/>
        <v>0</v>
      </c>
      <c r="P106" s="89" t="str">
        <f t="shared" si="85"/>
        <v/>
      </c>
      <c r="Q106" s="89" t="str">
        <f t="shared" si="86"/>
        <v/>
      </c>
      <c r="R106" s="92" t="str">
        <f t="shared" si="80"/>
        <v/>
      </c>
      <c r="S106" s="15" t="str">
        <f t="shared" si="81"/>
        <v>TG64</v>
      </c>
      <c r="T106" s="95" t="str">
        <f t="shared" si="82"/>
        <v/>
      </c>
      <c r="U106" s="15" t="str">
        <f t="shared" si="83"/>
        <v>TG64</v>
      </c>
      <c r="V106" s="95" t="str">
        <f t="shared" si="84"/>
        <v/>
      </c>
      <c r="W106" s="50" t="str">
        <f t="shared" si="8"/>
        <v/>
      </c>
      <c r="X106" s="50" t="str">
        <f t="shared" si="87"/>
        <v/>
      </c>
      <c r="Y106" s="50" t="str">
        <f t="shared" si="88"/>
        <v/>
      </c>
      <c r="Z106" s="50" t="str">
        <f t="shared" si="89"/>
        <v/>
      </c>
      <c r="AA106" s="51" t="str">
        <f t="shared" si="90"/>
        <v/>
      </c>
      <c r="AB106" s="51" t="str">
        <f t="shared" si="91"/>
        <v/>
      </c>
      <c r="AC106" s="51" t="str">
        <f t="shared" si="92"/>
        <v/>
      </c>
      <c r="AD106" s="52">
        <f t="shared" si="93"/>
        <v>0</v>
      </c>
      <c r="AE106" s="52">
        <f t="shared" si="94"/>
        <v>0</v>
      </c>
      <c r="AF106" s="52">
        <f t="shared" si="95"/>
        <v>0</v>
      </c>
      <c r="AG106" s="53" t="str">
        <f t="shared" si="96"/>
        <v/>
      </c>
      <c r="AH106" s="53" t="str">
        <f t="shared" si="97"/>
        <v/>
      </c>
      <c r="AI106" s="53" t="str">
        <f t="shared" si="98"/>
        <v/>
      </c>
      <c r="AJ106" s="53" t="str">
        <f t="shared" si="99"/>
        <v/>
      </c>
      <c r="AK106" s="54" t="str">
        <f t="shared" si="100"/>
        <v/>
      </c>
      <c r="AL106" s="54" t="str">
        <f t="shared" si="101"/>
        <v/>
      </c>
      <c r="AM106" s="54" t="str">
        <f t="shared" si="102"/>
        <v/>
      </c>
      <c r="AN106" s="55" t="str">
        <f t="shared" si="103"/>
        <v/>
      </c>
      <c r="AO106" s="124">
        <f>Poster!B195</f>
        <v>44913.625</v>
      </c>
      <c r="AP106" s="55">
        <f t="shared" si="104"/>
        <v>0.234375</v>
      </c>
    </row>
    <row r="107" spans="1:42" x14ac:dyDescent="0.25">
      <c r="H107" s="66">
        <f>SUM(H3:H106)</f>
        <v>32</v>
      </c>
      <c r="I107" s="66">
        <f>SUM(I3:I106)</f>
        <v>14</v>
      </c>
      <c r="V107" s="56" t="s">
        <v>26</v>
      </c>
      <c r="AD107" s="47">
        <f>SUM(AD3:AD106)</f>
        <v>7</v>
      </c>
      <c r="AE107" s="48">
        <f>SUM(AE3:AE106)</f>
        <v>8</v>
      </c>
      <c r="AF107" s="49">
        <f>SUM(AF3:AF106)</f>
        <v>1</v>
      </c>
      <c r="AG107" s="57">
        <f>IFERROR(AVERAGE(AG3:AG106),0)</f>
        <v>0.35956945161562498</v>
      </c>
      <c r="AH107" s="47">
        <f>SUM(AH3:AH106)</f>
        <v>8.2557120388999987</v>
      </c>
      <c r="AI107" s="48">
        <f>SUM(AI3:AI106)</f>
        <v>2.6029359221999995</v>
      </c>
      <c r="AJ107" s="49">
        <f>SUM(AJ3:AJ106)</f>
        <v>5.1413520388999991</v>
      </c>
    </row>
    <row r="108" spans="1:42" x14ac:dyDescent="0.25">
      <c r="AD108" s="58">
        <f>IFERROR(AD107/SUM(AD107:AF107),0)</f>
        <v>0.4375</v>
      </c>
      <c r="AE108" s="59">
        <f>IFERROR(AE107/SUM(AD107:AF107),0)</f>
        <v>0.5</v>
      </c>
      <c r="AF108" s="60">
        <f>IFERROR(AF107/SUM(AD107:AF107),0)</f>
        <v>6.25E-2</v>
      </c>
      <c r="AG108" s="60">
        <f>IFERROR(AG107/SUM(AG107:AG107),0)</f>
        <v>1</v>
      </c>
      <c r="AH108" s="58">
        <f>IFERROR(AH107/SUM(AH107:AJ107),0)</f>
        <v>0.51598200243125003</v>
      </c>
      <c r="AI108" s="59">
        <f>IFERROR(AI107/SUM(AH107:AJ107),0)</f>
        <v>0.16268349513749999</v>
      </c>
      <c r="AJ108" s="60">
        <f>IFERROR(AJ107/SUM(AH107:AJ107),0)</f>
        <v>0.32133450243125</v>
      </c>
    </row>
    <row r="109" spans="1:42" x14ac:dyDescent="0.25">
      <c r="AD109" s="61" t="s">
        <v>1</v>
      </c>
      <c r="AE109" s="62" t="s">
        <v>25</v>
      </c>
      <c r="AF109" s="63" t="s">
        <v>0</v>
      </c>
      <c r="AG109" s="63" t="s">
        <v>102</v>
      </c>
      <c r="AH109" s="61" t="s">
        <v>1</v>
      </c>
      <c r="AI109" s="62" t="s">
        <v>25</v>
      </c>
      <c r="AJ109" s="63" t="s">
        <v>0</v>
      </c>
    </row>
    <row r="110" spans="1:42" x14ac:dyDescent="0.25">
      <c r="V110" s="56" t="s">
        <v>27</v>
      </c>
    </row>
  </sheetData>
  <sortState xmlns:xlrd2="http://schemas.microsoft.com/office/spreadsheetml/2017/richdata2" ref="A2:V593">
    <sortCondition ref="A2:A593"/>
    <sortCondition ref="F2:F593"/>
  </sortState>
  <mergeCells count="5">
    <mergeCell ref="X1:Z1"/>
    <mergeCell ref="AD1:AF1"/>
    <mergeCell ref="AK1:AM1"/>
    <mergeCell ref="AH1:AJ1"/>
    <mergeCell ref="AA1:AC1"/>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52A940-4F97-4D8C-83A3-D4AEA8F52153}">
  <sheetPr>
    <tabColor rgb="FF7030A0"/>
  </sheetPr>
  <dimension ref="A1:Z49"/>
  <sheetViews>
    <sheetView workbookViewId="0">
      <pane ySplit="2" topLeftCell="A19"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28" t="s">
        <v>320</v>
      </c>
      <c r="B1" s="216" t="str">
        <f>A2&amp;1</f>
        <v>D1</v>
      </c>
      <c r="C1" s="216" t="str">
        <f>A2&amp;2</f>
        <v>D2</v>
      </c>
      <c r="D1" s="216" t="str">
        <f>A2&amp;3</f>
        <v>D3</v>
      </c>
      <c r="E1" s="216" t="str">
        <f>A2&amp;4</f>
        <v>D4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15</v>
      </c>
      <c r="B2" s="217" t="str">
        <f>VLOOKUP(B1,Lookup08,2,FALSE)</f>
        <v>USA</v>
      </c>
      <c r="C2" s="217" t="str">
        <f>VLOOKUP(C1,Lookup08,2,FALSE)</f>
        <v>Paraguay</v>
      </c>
      <c r="D2" s="217" t="str">
        <f>VLOOKUP(D1,Lookup08,2,FALSE)</f>
        <v>Australia</v>
      </c>
      <c r="E2" s="217" t="str">
        <f>VLOOKUP(E1,Lookup08,2,FALSE)</f>
        <v>Turkiye</v>
      </c>
      <c r="F2" s="144"/>
      <c r="G2" s="144"/>
      <c r="H2" s="195"/>
      <c r="I2" s="196" t="str">
        <f>B2</f>
        <v>USA</v>
      </c>
      <c r="J2" s="196" t="str">
        <f>C2</f>
        <v>Paraguay</v>
      </c>
      <c r="K2" s="196" t="str">
        <f>D2</f>
        <v>Australia</v>
      </c>
      <c r="L2" s="196" t="str">
        <f>E2</f>
        <v>Turkiye</v>
      </c>
      <c r="M2" s="197" t="s">
        <v>26</v>
      </c>
      <c r="N2" s="195"/>
      <c r="O2" s="196" t="str">
        <f>I2</f>
        <v>USA</v>
      </c>
      <c r="P2" s="196" t="str">
        <f t="shared" ref="P2:R2" si="0">J2</f>
        <v>Paraguay</v>
      </c>
      <c r="Q2" s="196" t="str">
        <f t="shared" si="0"/>
        <v>Australia</v>
      </c>
      <c r="R2" s="196" t="str">
        <f t="shared" si="0"/>
        <v>Turkiye</v>
      </c>
      <c r="S2" s="197" t="s">
        <v>26</v>
      </c>
      <c r="T2" s="195"/>
      <c r="U2" s="196" t="str">
        <f>O2</f>
        <v>USA</v>
      </c>
      <c r="V2" s="196" t="str">
        <f t="shared" ref="V2:X2" si="1">P2</f>
        <v>Paraguay</v>
      </c>
      <c r="W2" s="196" t="str">
        <f t="shared" si="1"/>
        <v>Australia</v>
      </c>
      <c r="X2" s="196" t="str">
        <f t="shared" si="1"/>
        <v>Turkiye</v>
      </c>
      <c r="Y2" s="197" t="s">
        <v>26</v>
      </c>
    </row>
    <row r="3" spans="1:26" x14ac:dyDescent="0.25">
      <c r="A3" s="144"/>
      <c r="B3" s="144"/>
      <c r="C3" s="144"/>
      <c r="F3" s="144"/>
      <c r="G3" s="144"/>
      <c r="H3" s="195" t="str">
        <f>B2</f>
        <v>USA</v>
      </c>
      <c r="I3" s="211"/>
      <c r="J3" s="196">
        <f ca="1">IF(G10=G11,1,0)</f>
        <v>0</v>
      </c>
      <c r="K3" s="196">
        <f ca="1">IF(G10=G12,1,0)</f>
        <v>1</v>
      </c>
      <c r="L3" s="196">
        <f ca="1">IF(G10=G13,1,0)</f>
        <v>0</v>
      </c>
      <c r="M3" s="197">
        <f ca="1">SUM(I3:L3)</f>
        <v>1</v>
      </c>
      <c r="N3" s="195" t="str">
        <f>H3</f>
        <v>USA</v>
      </c>
      <c r="O3" s="211"/>
      <c r="P3" s="196">
        <f ca="1">IF(M10=M11,1,0)</f>
        <v>0</v>
      </c>
      <c r="Q3" s="196">
        <f ca="1">IF(M10=M12,1,0)</f>
        <v>0</v>
      </c>
      <c r="R3" s="196">
        <f ca="1">IF(M10=M13,1,0)</f>
        <v>0</v>
      </c>
      <c r="S3" s="197">
        <f ca="1">SUM(O3:R3)</f>
        <v>0</v>
      </c>
      <c r="T3" s="195" t="str">
        <f>N3</f>
        <v>USA</v>
      </c>
      <c r="U3" s="211"/>
      <c r="V3" s="196">
        <f ca="1">IF(S10=S11,1,0)</f>
        <v>0</v>
      </c>
      <c r="W3" s="196">
        <f ca="1">IF(S10=S12,1,0)</f>
        <v>0</v>
      </c>
      <c r="X3" s="196">
        <f ca="1">IF(S10=S13,1,0)</f>
        <v>0</v>
      </c>
      <c r="Y3" s="197">
        <f ca="1">SUM(U3:X3)</f>
        <v>0</v>
      </c>
    </row>
    <row r="4" spans="1:26" x14ac:dyDescent="0.25">
      <c r="A4" s="144"/>
      <c r="B4" s="144"/>
      <c r="C4" s="144"/>
      <c r="F4" s="144"/>
      <c r="G4" s="144"/>
      <c r="H4" s="195" t="str">
        <f>C2</f>
        <v>Paraguay</v>
      </c>
      <c r="I4" s="196">
        <f ca="1">IF(G11=G10,1,0)</f>
        <v>0</v>
      </c>
      <c r="J4" s="211"/>
      <c r="K4" s="196">
        <f ca="1">IF(G11=G12,1,0)</f>
        <v>0</v>
      </c>
      <c r="L4" s="196">
        <f ca="1">IF(G11=G13,1,0)</f>
        <v>1</v>
      </c>
      <c r="M4" s="197">
        <f ca="1">SUM(I4:L4)</f>
        <v>1</v>
      </c>
      <c r="N4" s="195" t="str">
        <f t="shared" ref="N4:N6" si="2">H4</f>
        <v>Paraguay</v>
      </c>
      <c r="O4" s="196">
        <f ca="1">IF(M11=M10,1,0)</f>
        <v>0</v>
      </c>
      <c r="P4" s="211"/>
      <c r="Q4" s="196">
        <f ca="1">IF(M11=M12,1,0)</f>
        <v>0</v>
      </c>
      <c r="R4" s="196">
        <f ca="1">IF(M11=M13,1,0)</f>
        <v>0</v>
      </c>
      <c r="S4" s="197">
        <f ca="1">SUM(O4:R4)</f>
        <v>0</v>
      </c>
      <c r="T4" s="195" t="str">
        <f t="shared" ref="T4:T6" si="3">N4</f>
        <v>Paraguay</v>
      </c>
      <c r="U4" s="196">
        <f ca="1">IF(S11=S10,1,0)</f>
        <v>0</v>
      </c>
      <c r="V4" s="211"/>
      <c r="W4" s="196">
        <f ca="1">IF(S11=S12,1,0)</f>
        <v>0</v>
      </c>
      <c r="X4" s="196">
        <f ca="1">IF(S11=S13,1,0)</f>
        <v>0</v>
      </c>
      <c r="Y4" s="197">
        <f ca="1">SUM(U4:X4)</f>
        <v>0</v>
      </c>
    </row>
    <row r="5" spans="1:26" x14ac:dyDescent="0.25">
      <c r="A5" s="144"/>
      <c r="B5" s="144"/>
      <c r="C5" s="144"/>
      <c r="F5" s="144"/>
      <c r="G5" s="144"/>
      <c r="H5" s="195" t="str">
        <f>D2</f>
        <v>Australia</v>
      </c>
      <c r="I5" s="196">
        <f ca="1">IF(G12=G10,1,0)</f>
        <v>1</v>
      </c>
      <c r="J5" s="196">
        <f ca="1">IF(G12=G11,1,0)</f>
        <v>0</v>
      </c>
      <c r="K5" s="211"/>
      <c r="L5" s="196">
        <f ca="1">IF(G12=G13,1,0)</f>
        <v>0</v>
      </c>
      <c r="M5" s="197">
        <f ca="1">SUM(I5:L5)</f>
        <v>1</v>
      </c>
      <c r="N5" s="195" t="str">
        <f t="shared" si="2"/>
        <v>Australia</v>
      </c>
      <c r="O5" s="196">
        <f ca="1">IF(M12=M10,1,0)</f>
        <v>0</v>
      </c>
      <c r="P5" s="196">
        <f ca="1">IF(M12=M11,1,0)</f>
        <v>0</v>
      </c>
      <c r="Q5" s="211"/>
      <c r="R5" s="196">
        <f ca="1">IF(M12=M13,1,0)</f>
        <v>0</v>
      </c>
      <c r="S5" s="197">
        <f ca="1">SUM(O5:R5)</f>
        <v>0</v>
      </c>
      <c r="T5" s="195" t="str">
        <f t="shared" si="3"/>
        <v>Australia</v>
      </c>
      <c r="U5" s="196">
        <f ca="1">IF(S12=S10,1,0)</f>
        <v>0</v>
      </c>
      <c r="V5" s="196">
        <f ca="1">IF(S12=S11,1,0)</f>
        <v>0</v>
      </c>
      <c r="W5" s="211"/>
      <c r="X5" s="196">
        <f ca="1">IF(S12=S13,1,0)</f>
        <v>0</v>
      </c>
      <c r="Y5" s="197">
        <f ca="1">SUM(U5:X5)</f>
        <v>0</v>
      </c>
    </row>
    <row r="6" spans="1:26" x14ac:dyDescent="0.25">
      <c r="A6" s="144"/>
      <c r="B6" s="144"/>
      <c r="C6" s="144"/>
      <c r="F6" s="144"/>
      <c r="G6" s="144"/>
      <c r="H6" s="198" t="str">
        <f>E2</f>
        <v>Turkiye</v>
      </c>
      <c r="I6" s="199">
        <f ca="1">IF(G13=G10,1,0)</f>
        <v>0</v>
      </c>
      <c r="J6" s="199">
        <f ca="1">IF(G13=G11,1,0)</f>
        <v>1</v>
      </c>
      <c r="K6" s="199">
        <f ca="1">IF(G13=G12,1,0)</f>
        <v>0</v>
      </c>
      <c r="L6" s="212"/>
      <c r="M6" s="200">
        <f ca="1">SUM(I6:L6)</f>
        <v>1</v>
      </c>
      <c r="N6" s="198" t="str">
        <f t="shared" si="2"/>
        <v>Turkiye</v>
      </c>
      <c r="O6" s="199">
        <f ca="1">IF(M13=M10,1,0)</f>
        <v>0</v>
      </c>
      <c r="P6" s="199">
        <f ca="1">IF(M13=M11,1,0)</f>
        <v>0</v>
      </c>
      <c r="Q6" s="199">
        <f ca="1">IF(M13=M12,1,0)</f>
        <v>0</v>
      </c>
      <c r="R6" s="212"/>
      <c r="S6" s="200">
        <f ca="1">SUM(O6:R6)</f>
        <v>0</v>
      </c>
      <c r="T6" s="198" t="str">
        <f t="shared" si="3"/>
        <v>Turkiye</v>
      </c>
      <c r="U6" s="199">
        <f ca="1">IF(S13=S10,1,0)</f>
        <v>0</v>
      </c>
      <c r="V6" s="199">
        <f ca="1">IF(S13=S11,1,0)</f>
        <v>0</v>
      </c>
      <c r="W6" s="199">
        <f ca="1">IF(S13=S12,1,0)</f>
        <v>0</v>
      </c>
      <c r="X6" s="212"/>
      <c r="Y6" s="200">
        <f ca="1">SUM(U6:X6)</f>
        <v>0</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USA</v>
      </c>
      <c r="D9" s="190" t="str">
        <f>C2</f>
        <v>Paraguay</v>
      </c>
      <c r="E9" s="190" t="str">
        <f>D2</f>
        <v>Australia</v>
      </c>
      <c r="F9" s="190" t="str">
        <f>E2</f>
        <v>Turkiye</v>
      </c>
      <c r="G9" s="191" t="s">
        <v>26</v>
      </c>
      <c r="H9" s="189"/>
      <c r="I9" s="190" t="str">
        <f>C9</f>
        <v>USA</v>
      </c>
      <c r="J9" s="190" t="str">
        <f t="shared" ref="J9:L9" si="4">D9</f>
        <v>Paraguay</v>
      </c>
      <c r="K9" s="190" t="str">
        <f t="shared" si="4"/>
        <v>Australia</v>
      </c>
      <c r="L9" s="190" t="str">
        <f t="shared" si="4"/>
        <v>Turkiye</v>
      </c>
      <c r="M9" s="191" t="s">
        <v>26</v>
      </c>
      <c r="N9" s="189"/>
      <c r="O9" s="190" t="str">
        <f>I9</f>
        <v>USA</v>
      </c>
      <c r="P9" s="190" t="str">
        <f t="shared" ref="P9:R9" si="5">J9</f>
        <v>Paraguay</v>
      </c>
      <c r="Q9" s="190" t="str">
        <f t="shared" si="5"/>
        <v>Australia</v>
      </c>
      <c r="R9" s="190" t="str">
        <f t="shared" si="5"/>
        <v>Turkiye</v>
      </c>
      <c r="S9" s="191" t="s">
        <v>26</v>
      </c>
      <c r="T9" s="189"/>
      <c r="U9" s="190" t="str">
        <f>O9</f>
        <v>USA</v>
      </c>
      <c r="V9" s="190" t="str">
        <f t="shared" ref="V9:X9" si="6">P9</f>
        <v>Paraguay</v>
      </c>
      <c r="W9" s="190" t="str">
        <f t="shared" si="6"/>
        <v>Australia</v>
      </c>
      <c r="X9" s="190" t="str">
        <f t="shared" si="6"/>
        <v>Turkiye</v>
      </c>
      <c r="Y9" s="191" t="s">
        <v>26</v>
      </c>
      <c r="Z9" s="227" t="s">
        <v>309</v>
      </c>
    </row>
    <row r="10" spans="1:26" x14ac:dyDescent="0.25">
      <c r="A10" s="144"/>
      <c r="B10" s="189" t="str">
        <f>B2</f>
        <v>USA</v>
      </c>
      <c r="C10" s="204"/>
      <c r="D10" s="190">
        <f>H37</f>
        <v>3</v>
      </c>
      <c r="E10" s="190">
        <f ca="1">H39</f>
        <v>3</v>
      </c>
      <c r="F10" s="190">
        <f ca="1">I42</f>
        <v>0</v>
      </c>
      <c r="G10" s="191">
        <f ca="1">SUM(C10:F10)</f>
        <v>6</v>
      </c>
      <c r="H10" s="189" t="str">
        <f>B10</f>
        <v>USA</v>
      </c>
      <c r="I10" s="218">
        <f>C10+I17/100+I24/10000</f>
        <v>0</v>
      </c>
      <c r="J10" s="219">
        <f t="shared" ref="J10:L10" ca="1" si="7">D10+J17/100+J24/10000</f>
        <v>3</v>
      </c>
      <c r="K10" s="219">
        <f t="shared" ca="1" si="7"/>
        <v>3.0203000000000002</v>
      </c>
      <c r="L10" s="219">
        <f t="shared" ca="1" si="7"/>
        <v>0</v>
      </c>
      <c r="M10" s="220">
        <f ca="1">SUM(I10:L10)</f>
        <v>6.0203000000000007</v>
      </c>
      <c r="N10" s="189" t="str">
        <f>H10</f>
        <v>USA</v>
      </c>
      <c r="O10" s="218">
        <f>I10+O17/100+O24/10000</f>
        <v>0</v>
      </c>
      <c r="P10" s="219">
        <f t="shared" ref="P10:R13" ca="1" si="8">J10+P17/100+P24/10000</f>
        <v>3</v>
      </c>
      <c r="Q10" s="219">
        <f t="shared" ca="1" si="8"/>
        <v>3.0203000000000002</v>
      </c>
      <c r="R10" s="219">
        <f t="shared" ca="1" si="8"/>
        <v>0</v>
      </c>
      <c r="S10" s="220">
        <f ca="1">SUM(O10:R10)</f>
        <v>6.0203000000000007</v>
      </c>
      <c r="T10" s="189" t="str">
        <f>N10</f>
        <v>USA</v>
      </c>
      <c r="U10" s="218">
        <f>O10+U17/100+U24/10000</f>
        <v>0</v>
      </c>
      <c r="V10" s="219">
        <f t="shared" ref="V10:X13" ca="1" si="9">P10+V17/100+V24/10000</f>
        <v>3</v>
      </c>
      <c r="W10" s="219">
        <f t="shared" ca="1" si="9"/>
        <v>3.0203000000000002</v>
      </c>
      <c r="X10" s="219">
        <f t="shared" ca="1" si="9"/>
        <v>0</v>
      </c>
      <c r="Y10" s="220">
        <f ca="1">ROUND(SUM(U10:X10),8)</f>
        <v>6.0202999999999998</v>
      </c>
      <c r="Z10" s="224">
        <f ca="1">_xlfn.RANK.EQ(Y10,Y$10:Y$13,1)</f>
        <v>4</v>
      </c>
    </row>
    <row r="11" spans="1:26" x14ac:dyDescent="0.25">
      <c r="A11" s="144"/>
      <c r="B11" s="189" t="str">
        <f>C2</f>
        <v>Paraguay</v>
      </c>
      <c r="C11" s="190">
        <f>I37</f>
        <v>0</v>
      </c>
      <c r="D11" s="204"/>
      <c r="E11" s="190">
        <f ca="1">H41</f>
        <v>0</v>
      </c>
      <c r="F11" s="190">
        <f ca="1">I40</f>
        <v>3</v>
      </c>
      <c r="G11" s="191">
        <f ca="1">SUM(C11:F11)</f>
        <v>3</v>
      </c>
      <c r="H11" s="189" t="str">
        <f t="shared" ref="H11:H13" si="10">B11</f>
        <v>Paraguay</v>
      </c>
      <c r="I11" s="219">
        <f t="shared" ref="I11:L13" ca="1" si="11">C11+I18/100+I25/10000</f>
        <v>0</v>
      </c>
      <c r="J11" s="218">
        <f t="shared" si="11"/>
        <v>0</v>
      </c>
      <c r="K11" s="219">
        <f t="shared" ca="1" si="11"/>
        <v>0</v>
      </c>
      <c r="L11" s="219">
        <f t="shared" ca="1" si="11"/>
        <v>3.0101999999999998</v>
      </c>
      <c r="M11" s="220">
        <f ca="1">SUM(I11:L11)</f>
        <v>3.0101999999999998</v>
      </c>
      <c r="N11" s="189" t="str">
        <f t="shared" ref="N11:N13" si="12">H11</f>
        <v>Paraguay</v>
      </c>
      <c r="O11" s="219">
        <f t="shared" ref="O11:O13" ca="1" si="13">I11+O18/100+O25/10000</f>
        <v>0</v>
      </c>
      <c r="P11" s="218">
        <f t="shared" si="8"/>
        <v>0</v>
      </c>
      <c r="Q11" s="219">
        <f t="shared" ca="1" si="8"/>
        <v>0</v>
      </c>
      <c r="R11" s="219">
        <f t="shared" ca="1" si="8"/>
        <v>3.0101999999999998</v>
      </c>
      <c r="S11" s="220">
        <f ca="1">SUM(O11:R11)</f>
        <v>3.0101999999999998</v>
      </c>
      <c r="T11" s="189" t="str">
        <f t="shared" ref="T11:T13" si="14">N11</f>
        <v>Paraguay</v>
      </c>
      <c r="U11" s="219">
        <f t="shared" ref="U11:U13" ca="1" si="15">O11+U18/100+U25/10000</f>
        <v>0</v>
      </c>
      <c r="V11" s="218">
        <f t="shared" si="9"/>
        <v>0</v>
      </c>
      <c r="W11" s="219">
        <f t="shared" ca="1" si="9"/>
        <v>0</v>
      </c>
      <c r="X11" s="219">
        <f t="shared" ca="1" si="9"/>
        <v>3.0101999999999998</v>
      </c>
      <c r="Y11" s="220">
        <f t="shared" ref="Y11:Y13" ca="1" si="16">ROUND(SUM(U11:X11),8)</f>
        <v>3.0102000000000002</v>
      </c>
      <c r="Z11" s="224">
        <f t="shared" ref="Z11:Z13" ca="1" si="17">_xlfn.RANK.EQ(Y11,Y$10:Y$13,1)</f>
        <v>2</v>
      </c>
    </row>
    <row r="12" spans="1:26" x14ac:dyDescent="0.25">
      <c r="A12" s="144"/>
      <c r="B12" s="189" t="str">
        <f>D2</f>
        <v>Australia</v>
      </c>
      <c r="C12" s="190">
        <f ca="1">I39</f>
        <v>0</v>
      </c>
      <c r="D12" s="190">
        <f ca="1">I41</f>
        <v>3</v>
      </c>
      <c r="E12" s="204"/>
      <c r="F12" s="190">
        <f>H38</f>
        <v>3</v>
      </c>
      <c r="G12" s="191">
        <f ca="1">SUM(C12:F12)</f>
        <v>6</v>
      </c>
      <c r="H12" s="189" t="str">
        <f t="shared" si="10"/>
        <v>Australia</v>
      </c>
      <c r="I12" s="219">
        <f t="shared" ca="1" si="11"/>
        <v>-1.9900000000000001E-2</v>
      </c>
      <c r="J12" s="219">
        <f t="shared" ca="1" si="11"/>
        <v>3</v>
      </c>
      <c r="K12" s="218">
        <f t="shared" si="11"/>
        <v>0</v>
      </c>
      <c r="L12" s="219">
        <f t="shared" ca="1" si="11"/>
        <v>3</v>
      </c>
      <c r="M12" s="220">
        <f ca="1">SUM(I12:L12)</f>
        <v>5.9801000000000002</v>
      </c>
      <c r="N12" s="189" t="str">
        <f t="shared" si="12"/>
        <v>Australia</v>
      </c>
      <c r="O12" s="219">
        <f t="shared" ca="1" si="13"/>
        <v>-1.9900000000000001E-2</v>
      </c>
      <c r="P12" s="219">
        <f t="shared" ca="1" si="8"/>
        <v>3</v>
      </c>
      <c r="Q12" s="218">
        <f t="shared" si="8"/>
        <v>0</v>
      </c>
      <c r="R12" s="219">
        <f t="shared" ca="1" si="8"/>
        <v>3</v>
      </c>
      <c r="S12" s="220">
        <f ca="1">SUM(O12:R12)</f>
        <v>5.9801000000000002</v>
      </c>
      <c r="T12" s="189" t="str">
        <f t="shared" si="14"/>
        <v>Australia</v>
      </c>
      <c r="U12" s="219">
        <f t="shared" ca="1" si="15"/>
        <v>-1.9900000000000001E-2</v>
      </c>
      <c r="V12" s="219">
        <f t="shared" ca="1" si="9"/>
        <v>3</v>
      </c>
      <c r="W12" s="218">
        <f t="shared" si="9"/>
        <v>0</v>
      </c>
      <c r="X12" s="219">
        <f t="shared" ca="1" si="9"/>
        <v>3</v>
      </c>
      <c r="Y12" s="220">
        <f t="shared" ca="1" si="16"/>
        <v>5.9801000000000002</v>
      </c>
      <c r="Z12" s="224">
        <f t="shared" ca="1" si="17"/>
        <v>3</v>
      </c>
    </row>
    <row r="13" spans="1:26" x14ac:dyDescent="0.25">
      <c r="A13" s="144"/>
      <c r="B13" s="192" t="str">
        <f>E2</f>
        <v>Turkiye</v>
      </c>
      <c r="C13" s="193">
        <f ca="1">H42</f>
        <v>3</v>
      </c>
      <c r="D13" s="193">
        <f ca="1">H40</f>
        <v>0</v>
      </c>
      <c r="E13" s="193">
        <f>I38</f>
        <v>0</v>
      </c>
      <c r="F13" s="205"/>
      <c r="G13" s="194">
        <f ca="1">SUM(C13:F13)</f>
        <v>3</v>
      </c>
      <c r="H13" s="192" t="str">
        <f t="shared" si="10"/>
        <v>Turkiye</v>
      </c>
      <c r="I13" s="221">
        <f t="shared" ca="1" si="11"/>
        <v>3</v>
      </c>
      <c r="J13" s="221">
        <f t="shared" ca="1" si="11"/>
        <v>-9.9000000000000008E-3</v>
      </c>
      <c r="K13" s="221">
        <f t="shared" ca="1" si="11"/>
        <v>0</v>
      </c>
      <c r="L13" s="222">
        <f t="shared" si="11"/>
        <v>0</v>
      </c>
      <c r="M13" s="223">
        <f ca="1">SUM(I13:L13)</f>
        <v>2.9901</v>
      </c>
      <c r="N13" s="192" t="str">
        <f t="shared" si="12"/>
        <v>Turkiye</v>
      </c>
      <c r="O13" s="221">
        <f t="shared" ca="1" si="13"/>
        <v>3</v>
      </c>
      <c r="P13" s="221">
        <f t="shared" ca="1" si="8"/>
        <v>-9.9000000000000008E-3</v>
      </c>
      <c r="Q13" s="221">
        <f t="shared" ca="1" si="8"/>
        <v>0</v>
      </c>
      <c r="R13" s="222">
        <f t="shared" si="8"/>
        <v>0</v>
      </c>
      <c r="S13" s="223">
        <f ca="1">SUM(O13:R13)</f>
        <v>2.9901</v>
      </c>
      <c r="T13" s="192" t="str">
        <f t="shared" si="14"/>
        <v>Turkiye</v>
      </c>
      <c r="U13" s="221">
        <f t="shared" ca="1" si="15"/>
        <v>3</v>
      </c>
      <c r="V13" s="221">
        <f t="shared" ca="1" si="9"/>
        <v>-9.9000000000000008E-3</v>
      </c>
      <c r="W13" s="221">
        <f t="shared" ca="1" si="9"/>
        <v>0</v>
      </c>
      <c r="X13" s="222">
        <f t="shared" si="9"/>
        <v>0</v>
      </c>
      <c r="Y13" s="223">
        <f t="shared" ca="1" si="16"/>
        <v>2.9901</v>
      </c>
      <c r="Z13" s="225">
        <f t="shared" ca="1" si="17"/>
        <v>1</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USA</v>
      </c>
      <c r="D16" s="177" t="str">
        <f>C2</f>
        <v>Paraguay</v>
      </c>
      <c r="E16" s="177" t="str">
        <f>D2</f>
        <v>Australia</v>
      </c>
      <c r="F16" s="177" t="str">
        <f>E2</f>
        <v>Turkiye</v>
      </c>
      <c r="G16" s="178" t="s">
        <v>26</v>
      </c>
      <c r="H16" s="183"/>
      <c r="I16" s="184" t="str">
        <f>C16</f>
        <v>USA</v>
      </c>
      <c r="J16" s="184" t="str">
        <f t="shared" ref="J16:L16" si="18">D16</f>
        <v>Paraguay</v>
      </c>
      <c r="K16" s="184" t="str">
        <f t="shared" si="18"/>
        <v>Australia</v>
      </c>
      <c r="L16" s="184" t="str">
        <f t="shared" si="18"/>
        <v>Turkiye</v>
      </c>
      <c r="M16" s="185" t="s">
        <v>26</v>
      </c>
      <c r="N16" s="183"/>
      <c r="O16" s="184" t="str">
        <f>I16</f>
        <v>USA</v>
      </c>
      <c r="P16" s="184" t="str">
        <f t="shared" ref="P16:R16" si="19">J16</f>
        <v>Paraguay</v>
      </c>
      <c r="Q16" s="184" t="str">
        <f t="shared" si="19"/>
        <v>Australia</v>
      </c>
      <c r="R16" s="184" t="str">
        <f t="shared" si="19"/>
        <v>Turkiye</v>
      </c>
      <c r="S16" s="185" t="s">
        <v>26</v>
      </c>
      <c r="T16" s="183"/>
      <c r="U16" s="184" t="str">
        <f>O16</f>
        <v>USA</v>
      </c>
      <c r="V16" s="184" t="str">
        <f t="shared" ref="V16:X16" si="20">P16</f>
        <v>Paraguay</v>
      </c>
      <c r="W16" s="184" t="str">
        <f t="shared" si="20"/>
        <v>Australia</v>
      </c>
      <c r="X16" s="184" t="str">
        <f t="shared" si="20"/>
        <v>Turkiye</v>
      </c>
      <c r="Y16" s="185" t="s">
        <v>26</v>
      </c>
    </row>
    <row r="17" spans="1:25" x14ac:dyDescent="0.25">
      <c r="A17" s="144"/>
      <c r="B17" s="176" t="str">
        <f>B2</f>
        <v>USA</v>
      </c>
      <c r="C17" s="206"/>
      <c r="D17" s="179">
        <f>IFERROR(F37-G37,0)</f>
        <v>3</v>
      </c>
      <c r="E17" s="179">
        <f ca="1">IFERROR(F39-G39,0)</f>
        <v>2</v>
      </c>
      <c r="F17" s="179">
        <f ca="1">IFERROR(G42-F42,0)</f>
        <v>-1</v>
      </c>
      <c r="G17" s="178">
        <f ca="1">SUM(C17:F17)</f>
        <v>4</v>
      </c>
      <c r="H17" s="183" t="str">
        <f>B17</f>
        <v>USA</v>
      </c>
      <c r="I17" s="208"/>
      <c r="J17" s="184">
        <f ca="1">D17*J3</f>
        <v>0</v>
      </c>
      <c r="K17" s="184">
        <f ca="1">E17*K3</f>
        <v>2</v>
      </c>
      <c r="L17" s="184">
        <f ca="1">F17*L3</f>
        <v>0</v>
      </c>
      <c r="M17" s="185">
        <f ca="1">SUM(I17:L17)</f>
        <v>2</v>
      </c>
      <c r="N17" s="183" t="str">
        <f>H17</f>
        <v>USA</v>
      </c>
      <c r="O17" s="208"/>
      <c r="P17" s="184">
        <f ca="1">J17*P3</f>
        <v>0</v>
      </c>
      <c r="Q17" s="184">
        <f ca="1">K17*Q3</f>
        <v>0</v>
      </c>
      <c r="R17" s="184">
        <f ca="1">L17*R3</f>
        <v>0</v>
      </c>
      <c r="S17" s="185">
        <f ca="1">SUM(O17:R17)</f>
        <v>0</v>
      </c>
      <c r="T17" s="183" t="str">
        <f>N17</f>
        <v>USA</v>
      </c>
      <c r="U17" s="208"/>
      <c r="V17" s="184">
        <f ca="1">P17*V3</f>
        <v>0</v>
      </c>
      <c r="W17" s="184">
        <f ca="1">Q17*W3</f>
        <v>0</v>
      </c>
      <c r="X17" s="184">
        <f ca="1">R17*X3</f>
        <v>0</v>
      </c>
      <c r="Y17" s="185">
        <f ca="1">SUM(U17:X17)</f>
        <v>0</v>
      </c>
    </row>
    <row r="18" spans="1:25" x14ac:dyDescent="0.25">
      <c r="A18" s="144"/>
      <c r="B18" s="176" t="str">
        <f>C2</f>
        <v>Paraguay</v>
      </c>
      <c r="C18" s="179">
        <f>IFERROR(G37-F37,0)</f>
        <v>-3</v>
      </c>
      <c r="D18" s="206"/>
      <c r="E18" s="179">
        <f ca="1">IFERROR(F41-G41,0)</f>
        <v>-1</v>
      </c>
      <c r="F18" s="179">
        <f ca="1">IFERROR(G40-F40,0)</f>
        <v>1</v>
      </c>
      <c r="G18" s="178">
        <f ca="1">SUM(C18:F18)</f>
        <v>-3</v>
      </c>
      <c r="H18" s="183" t="str">
        <f t="shared" ref="H18:H20" si="21">B18</f>
        <v>Paraguay</v>
      </c>
      <c r="I18" s="184">
        <f ca="1">C18*I4</f>
        <v>0</v>
      </c>
      <c r="J18" s="208"/>
      <c r="K18" s="184">
        <f ca="1">E18*K4</f>
        <v>0</v>
      </c>
      <c r="L18" s="184">
        <f ca="1">F18*L4</f>
        <v>1</v>
      </c>
      <c r="M18" s="185">
        <f ca="1">SUM(I18:L18)</f>
        <v>1</v>
      </c>
      <c r="N18" s="183" t="str">
        <f t="shared" ref="N18:N20" si="22">H18</f>
        <v>Paraguay</v>
      </c>
      <c r="O18" s="184">
        <f ca="1">I18*O4</f>
        <v>0</v>
      </c>
      <c r="P18" s="208"/>
      <c r="Q18" s="184">
        <f ca="1">K18*Q4</f>
        <v>0</v>
      </c>
      <c r="R18" s="184">
        <f ca="1">L18*R4</f>
        <v>0</v>
      </c>
      <c r="S18" s="185">
        <f ca="1">SUM(O18:R18)</f>
        <v>0</v>
      </c>
      <c r="T18" s="183" t="str">
        <f t="shared" ref="T18:T20" si="23">N18</f>
        <v>Paraguay</v>
      </c>
      <c r="U18" s="184">
        <f ca="1">O18*U4</f>
        <v>0</v>
      </c>
      <c r="V18" s="208"/>
      <c r="W18" s="184">
        <f ca="1">Q18*W4</f>
        <v>0</v>
      </c>
      <c r="X18" s="184">
        <f ca="1">R18*X4</f>
        <v>0</v>
      </c>
      <c r="Y18" s="185">
        <f ca="1">SUM(U18:X18)</f>
        <v>0</v>
      </c>
    </row>
    <row r="19" spans="1:25" x14ac:dyDescent="0.25">
      <c r="A19" s="144"/>
      <c r="B19" s="176" t="str">
        <f>D2</f>
        <v>Australia</v>
      </c>
      <c r="C19" s="179">
        <f ca="1">IFERROR(G39-F39,0)</f>
        <v>-2</v>
      </c>
      <c r="D19" s="179">
        <f ca="1">IFERROR(G41-F41,0)</f>
        <v>1</v>
      </c>
      <c r="E19" s="206"/>
      <c r="F19" s="179">
        <f>IFERROR(F38-G38,0)</f>
        <v>2</v>
      </c>
      <c r="G19" s="178">
        <f ca="1">SUM(C19:F19)</f>
        <v>1</v>
      </c>
      <c r="H19" s="183" t="str">
        <f t="shared" si="21"/>
        <v>Australia</v>
      </c>
      <c r="I19" s="184">
        <f ca="1">C19*I5</f>
        <v>-2</v>
      </c>
      <c r="J19" s="184">
        <f ca="1">D19*J5</f>
        <v>0</v>
      </c>
      <c r="K19" s="208"/>
      <c r="L19" s="184">
        <f ca="1">F19*L5</f>
        <v>0</v>
      </c>
      <c r="M19" s="185">
        <f ca="1">SUM(I19:L19)</f>
        <v>-2</v>
      </c>
      <c r="N19" s="183" t="str">
        <f t="shared" si="22"/>
        <v>Australia</v>
      </c>
      <c r="O19" s="184">
        <f ca="1">I19*O5</f>
        <v>0</v>
      </c>
      <c r="P19" s="184">
        <f ca="1">J19*P5</f>
        <v>0</v>
      </c>
      <c r="Q19" s="208"/>
      <c r="R19" s="184">
        <f ca="1">L19*R5</f>
        <v>0</v>
      </c>
      <c r="S19" s="185">
        <f ca="1">SUM(O19:R19)</f>
        <v>0</v>
      </c>
      <c r="T19" s="183" t="str">
        <f t="shared" si="23"/>
        <v>Australia</v>
      </c>
      <c r="U19" s="184">
        <f ca="1">O19*U5</f>
        <v>0</v>
      </c>
      <c r="V19" s="184">
        <f ca="1">P19*V5</f>
        <v>0</v>
      </c>
      <c r="W19" s="208"/>
      <c r="X19" s="184">
        <f ca="1">R19*X5</f>
        <v>0</v>
      </c>
      <c r="Y19" s="185">
        <f ca="1">SUM(U19:X19)</f>
        <v>0</v>
      </c>
    </row>
    <row r="20" spans="1:25" x14ac:dyDescent="0.25">
      <c r="A20" s="144"/>
      <c r="B20" s="180" t="str">
        <f>E2</f>
        <v>Turkiye</v>
      </c>
      <c r="C20" s="181">
        <f ca="1">IFERROR(F42-G42,0)</f>
        <v>1</v>
      </c>
      <c r="D20" s="181">
        <f ca="1">IFERROR(F40-G40,0)</f>
        <v>-1</v>
      </c>
      <c r="E20" s="181">
        <f>IFERROR(G38-F38,0)</f>
        <v>-2</v>
      </c>
      <c r="F20" s="207"/>
      <c r="G20" s="182">
        <f ca="1">SUM(C20:F20)</f>
        <v>-2</v>
      </c>
      <c r="H20" s="186" t="str">
        <f t="shared" si="21"/>
        <v>Turkiye</v>
      </c>
      <c r="I20" s="187">
        <f ca="1">C20*I6</f>
        <v>0</v>
      </c>
      <c r="J20" s="187">
        <f ca="1">D20*J6</f>
        <v>-1</v>
      </c>
      <c r="K20" s="187">
        <f ca="1">E20*K6</f>
        <v>0</v>
      </c>
      <c r="L20" s="213"/>
      <c r="M20" s="188">
        <f ca="1">SUM(I20:L20)</f>
        <v>-1</v>
      </c>
      <c r="N20" s="186" t="str">
        <f t="shared" si="22"/>
        <v>Turkiye</v>
      </c>
      <c r="O20" s="187">
        <f ca="1">I20*O6</f>
        <v>0</v>
      </c>
      <c r="P20" s="187">
        <f ca="1">J20*P6</f>
        <v>0</v>
      </c>
      <c r="Q20" s="187">
        <f ca="1">K20*Q6</f>
        <v>0</v>
      </c>
      <c r="R20" s="213"/>
      <c r="S20" s="188">
        <f ca="1">SUM(O20:R20)</f>
        <v>0</v>
      </c>
      <c r="T20" s="186" t="str">
        <f t="shared" si="23"/>
        <v>Turkiye</v>
      </c>
      <c r="U20" s="187">
        <f ca="1">O20*U6</f>
        <v>0</v>
      </c>
      <c r="V20" s="187">
        <f ca="1">P20*V6</f>
        <v>0</v>
      </c>
      <c r="W20" s="187">
        <f ca="1">Q20*W6</f>
        <v>0</v>
      </c>
      <c r="X20" s="213"/>
      <c r="Y20" s="188">
        <f ca="1">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USA</v>
      </c>
      <c r="D23" s="164" t="str">
        <f>C2</f>
        <v>Paraguay</v>
      </c>
      <c r="E23" s="164" t="str">
        <f>D2</f>
        <v>Australia</v>
      </c>
      <c r="F23" s="164" t="str">
        <f>E2</f>
        <v>Turkiye</v>
      </c>
      <c r="G23" s="165" t="s">
        <v>26</v>
      </c>
      <c r="H23" s="169"/>
      <c r="I23" s="170" t="str">
        <f>C23</f>
        <v>USA</v>
      </c>
      <c r="J23" s="170" t="str">
        <f t="shared" ref="J23:L23" si="24">D23</f>
        <v>Paraguay</v>
      </c>
      <c r="K23" s="170" t="str">
        <f t="shared" si="24"/>
        <v>Australia</v>
      </c>
      <c r="L23" s="170" t="str">
        <f t="shared" si="24"/>
        <v>Turkiye</v>
      </c>
      <c r="M23" s="171" t="s">
        <v>26</v>
      </c>
      <c r="N23" s="169"/>
      <c r="O23" s="170" t="str">
        <f>I23</f>
        <v>USA</v>
      </c>
      <c r="P23" s="170" t="str">
        <f t="shared" ref="P23:R23" si="25">J23</f>
        <v>Paraguay</v>
      </c>
      <c r="Q23" s="170" t="str">
        <f t="shared" si="25"/>
        <v>Australia</v>
      </c>
      <c r="R23" s="170" t="str">
        <f t="shared" si="25"/>
        <v>Turkiye</v>
      </c>
      <c r="S23" s="171" t="s">
        <v>26</v>
      </c>
      <c r="T23" s="169"/>
      <c r="U23" s="170" t="str">
        <f>O23</f>
        <v>USA</v>
      </c>
      <c r="V23" s="170" t="str">
        <f t="shared" ref="V23:X23" si="26">P23</f>
        <v>Paraguay</v>
      </c>
      <c r="W23" s="170" t="str">
        <f t="shared" si="26"/>
        <v>Australia</v>
      </c>
      <c r="X23" s="170" t="str">
        <f t="shared" si="26"/>
        <v>Turkiye</v>
      </c>
      <c r="Y23" s="171" t="s">
        <v>26</v>
      </c>
    </row>
    <row r="24" spans="1:25" x14ac:dyDescent="0.25">
      <c r="A24" s="143"/>
      <c r="B24" s="163" t="str">
        <f>B2</f>
        <v>USA</v>
      </c>
      <c r="C24" s="209"/>
      <c r="D24" s="164">
        <f>IF(F37="",0,F37)</f>
        <v>4</v>
      </c>
      <c r="E24" s="164">
        <f ca="1">IF(F39="",0,F39)</f>
        <v>3</v>
      </c>
      <c r="F24" s="164">
        <f ca="1">IF(G42="",0,G42)</f>
        <v>1</v>
      </c>
      <c r="G24" s="165">
        <f ca="1">SUM(C24:F24)</f>
        <v>8</v>
      </c>
      <c r="H24" s="169" t="str">
        <f>B24</f>
        <v>USA</v>
      </c>
      <c r="I24" s="214"/>
      <c r="J24" s="170">
        <f ca="1">D24*J3</f>
        <v>0</v>
      </c>
      <c r="K24" s="170">
        <f ca="1">E24*K3</f>
        <v>3</v>
      </c>
      <c r="L24" s="170">
        <f ca="1">F24*L3</f>
        <v>0</v>
      </c>
      <c r="M24" s="171">
        <f ca="1">SUM(I24:L24)</f>
        <v>3</v>
      </c>
      <c r="N24" s="169" t="str">
        <f>H24</f>
        <v>USA</v>
      </c>
      <c r="O24" s="214"/>
      <c r="P24" s="170">
        <f ca="1">J24*P3</f>
        <v>0</v>
      </c>
      <c r="Q24" s="170">
        <f ca="1">K24*Q3</f>
        <v>0</v>
      </c>
      <c r="R24" s="170">
        <f ca="1">L24*R3</f>
        <v>0</v>
      </c>
      <c r="S24" s="171">
        <f ca="1">SUM(O24:R24)</f>
        <v>0</v>
      </c>
      <c r="T24" s="169" t="str">
        <f>N24</f>
        <v>USA</v>
      </c>
      <c r="U24" s="214"/>
      <c r="V24" s="170">
        <f ca="1">P24*V3</f>
        <v>0</v>
      </c>
      <c r="W24" s="170">
        <f ca="1">Q24*W3</f>
        <v>0</v>
      </c>
      <c r="X24" s="170">
        <f ca="1">R24*X3</f>
        <v>0</v>
      </c>
      <c r="Y24" s="171">
        <f ca="1">SUM(U24:X24)</f>
        <v>0</v>
      </c>
    </row>
    <row r="25" spans="1:25" x14ac:dyDescent="0.25">
      <c r="A25" s="143"/>
      <c r="B25" s="163" t="str">
        <f>C2</f>
        <v>Paraguay</v>
      </c>
      <c r="C25" s="164">
        <f>IF(G37="",0,G37)</f>
        <v>1</v>
      </c>
      <c r="D25" s="209"/>
      <c r="E25" s="164">
        <f ca="1">IF(F41="",0,F41)</f>
        <v>1</v>
      </c>
      <c r="F25" s="164">
        <f ca="1">IF(G40="",0,G40)</f>
        <v>2</v>
      </c>
      <c r="G25" s="165">
        <f ca="1">SUM(C25:F25)</f>
        <v>4</v>
      </c>
      <c r="H25" s="169" t="str">
        <f t="shared" ref="H25:H27" si="27">B25</f>
        <v>Paraguay</v>
      </c>
      <c r="I25" s="170">
        <f ca="1">C25*I4</f>
        <v>0</v>
      </c>
      <c r="J25" s="214"/>
      <c r="K25" s="170">
        <f ca="1">E25*K4</f>
        <v>0</v>
      </c>
      <c r="L25" s="170">
        <f ca="1">F25*L4</f>
        <v>2</v>
      </c>
      <c r="M25" s="171">
        <f ca="1">SUM(I25:L25)</f>
        <v>2</v>
      </c>
      <c r="N25" s="169" t="str">
        <f t="shared" ref="N25:N27" si="28">H25</f>
        <v>Paraguay</v>
      </c>
      <c r="O25" s="170">
        <f ca="1">I25*O4</f>
        <v>0</v>
      </c>
      <c r="P25" s="214"/>
      <c r="Q25" s="170">
        <f ca="1">K25*Q4</f>
        <v>0</v>
      </c>
      <c r="R25" s="170">
        <f ca="1">L25*R4</f>
        <v>0</v>
      </c>
      <c r="S25" s="171">
        <f ca="1">SUM(O25:R25)</f>
        <v>0</v>
      </c>
      <c r="T25" s="169" t="str">
        <f t="shared" ref="T25:T27" si="29">N25</f>
        <v>Paraguay</v>
      </c>
      <c r="U25" s="170">
        <f ca="1">O25*U4</f>
        <v>0</v>
      </c>
      <c r="V25" s="214"/>
      <c r="W25" s="170">
        <f ca="1">Q25*W4</f>
        <v>0</v>
      </c>
      <c r="X25" s="170">
        <f ca="1">R25*X4</f>
        <v>0</v>
      </c>
      <c r="Y25" s="171">
        <f ca="1">SUM(U25:X25)</f>
        <v>0</v>
      </c>
    </row>
    <row r="26" spans="1:25" x14ac:dyDescent="0.25">
      <c r="A26" s="143"/>
      <c r="B26" s="163" t="str">
        <f>D2</f>
        <v>Australia</v>
      </c>
      <c r="C26" s="164">
        <f ca="1">IF(G39="",0,G39)</f>
        <v>1</v>
      </c>
      <c r="D26" s="164">
        <f ca="1">IF(G41="",0,G41)</f>
        <v>2</v>
      </c>
      <c r="E26" s="209"/>
      <c r="F26" s="164">
        <f>IF(F38="",0,F38)</f>
        <v>2</v>
      </c>
      <c r="G26" s="165">
        <f ca="1">SUM(C26:F26)</f>
        <v>5</v>
      </c>
      <c r="H26" s="169" t="str">
        <f t="shared" si="27"/>
        <v>Australia</v>
      </c>
      <c r="I26" s="170">
        <f ca="1">C26*I5</f>
        <v>1</v>
      </c>
      <c r="J26" s="170">
        <f ca="1">D26*J5</f>
        <v>0</v>
      </c>
      <c r="K26" s="214"/>
      <c r="L26" s="170">
        <f ca="1">F26*L5</f>
        <v>0</v>
      </c>
      <c r="M26" s="171">
        <f ca="1">SUM(I26:L26)</f>
        <v>1</v>
      </c>
      <c r="N26" s="169" t="str">
        <f t="shared" si="28"/>
        <v>Australia</v>
      </c>
      <c r="O26" s="170">
        <f ca="1">I26*O5</f>
        <v>0</v>
      </c>
      <c r="P26" s="170">
        <f ca="1">J26*P5</f>
        <v>0</v>
      </c>
      <c r="Q26" s="214"/>
      <c r="R26" s="170">
        <f ca="1">L26*R5</f>
        <v>0</v>
      </c>
      <c r="S26" s="171">
        <f ca="1">SUM(O26:R26)</f>
        <v>0</v>
      </c>
      <c r="T26" s="169" t="str">
        <f t="shared" si="29"/>
        <v>Australia</v>
      </c>
      <c r="U26" s="170">
        <f ca="1">O26*U5</f>
        <v>0</v>
      </c>
      <c r="V26" s="170">
        <f ca="1">P26*V5</f>
        <v>0</v>
      </c>
      <c r="W26" s="214"/>
      <c r="X26" s="170">
        <f ca="1">R26*X5</f>
        <v>0</v>
      </c>
      <c r="Y26" s="171">
        <f ca="1">SUM(U26:X26)</f>
        <v>0</v>
      </c>
    </row>
    <row r="27" spans="1:25" x14ac:dyDescent="0.25">
      <c r="A27" s="143"/>
      <c r="B27" s="166" t="str">
        <f>E2</f>
        <v>Turkiye</v>
      </c>
      <c r="C27" s="167">
        <f ca="1">IF(F42="",0,F42)</f>
        <v>2</v>
      </c>
      <c r="D27" s="167">
        <f ca="1">IF(F40="",0,F40)</f>
        <v>1</v>
      </c>
      <c r="E27" s="167">
        <f>IF(G38="",0,G38)</f>
        <v>0</v>
      </c>
      <c r="F27" s="210"/>
      <c r="G27" s="168">
        <f ca="1">SUM(C27:F27)</f>
        <v>3</v>
      </c>
      <c r="H27" s="172" t="str">
        <f t="shared" si="27"/>
        <v>Turkiye</v>
      </c>
      <c r="I27" s="173">
        <f ca="1">C27*I6</f>
        <v>0</v>
      </c>
      <c r="J27" s="173">
        <f ca="1">D27*J6</f>
        <v>1</v>
      </c>
      <c r="K27" s="173">
        <f ca="1">E27*K6</f>
        <v>0</v>
      </c>
      <c r="L27" s="215"/>
      <c r="M27" s="174">
        <f ca="1">SUM(I27:L27)</f>
        <v>1</v>
      </c>
      <c r="N27" s="172" t="str">
        <f t="shared" si="28"/>
        <v>Turkiye</v>
      </c>
      <c r="O27" s="173">
        <f ca="1">I27*O6</f>
        <v>0</v>
      </c>
      <c r="P27" s="173">
        <f ca="1">J27*P6</f>
        <v>0</v>
      </c>
      <c r="Q27" s="173">
        <f ca="1">K27*Q6</f>
        <v>0</v>
      </c>
      <c r="R27" s="215"/>
      <c r="S27" s="174">
        <f ca="1">SUM(O27:R27)</f>
        <v>0</v>
      </c>
      <c r="T27" s="172" t="str">
        <f t="shared" si="29"/>
        <v>Turkiye</v>
      </c>
      <c r="U27" s="173">
        <f ca="1">O27*U6</f>
        <v>0</v>
      </c>
      <c r="V27" s="173">
        <f ca="1">P27*V6</f>
        <v>0</v>
      </c>
      <c r="W27" s="173">
        <f ca="1">Q27*W6</f>
        <v>0</v>
      </c>
      <c r="X27" s="215"/>
      <c r="Y27" s="174">
        <f ca="1">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300" t="s">
        <v>669</v>
      </c>
      <c r="E29" s="300" t="s">
        <v>670</v>
      </c>
      <c r="F29" s="300" t="s">
        <v>671</v>
      </c>
      <c r="G29" s="232" t="s">
        <v>631</v>
      </c>
      <c r="H29" s="232" t="s">
        <v>632</v>
      </c>
      <c r="I29" s="232" t="s">
        <v>633</v>
      </c>
      <c r="J29" s="232" t="s">
        <v>676</v>
      </c>
      <c r="K29" s="232" t="s">
        <v>411</v>
      </c>
      <c r="L29" s="232" t="s">
        <v>661</v>
      </c>
      <c r="M29" s="232" t="s">
        <v>634</v>
      </c>
      <c r="N29" s="233" t="s">
        <v>635</v>
      </c>
    </row>
    <row r="30" spans="1:25" x14ac:dyDescent="0.25">
      <c r="A30" s="234">
        <f ca="1">N30</f>
        <v>1</v>
      </c>
      <c r="B30" s="235" t="str">
        <f>B2</f>
        <v>USA</v>
      </c>
      <c r="C30" s="236">
        <v>3</v>
      </c>
      <c r="D30" s="236">
        <f ca="1">COUNTIF(FWinners,B30)</f>
        <v>2</v>
      </c>
      <c r="E30" s="236">
        <f ca="1">COUNTIF(FDraws,"D"&amp;B30)</f>
        <v>0</v>
      </c>
      <c r="F30" s="236">
        <f ca="1">COUNTIF(FLosers,B30)</f>
        <v>1</v>
      </c>
      <c r="G30" s="236">
        <f ca="1">F37+F39+G42</f>
        <v>8</v>
      </c>
      <c r="H30" s="236">
        <f ca="1">G37+G39+F42</f>
        <v>4</v>
      </c>
      <c r="I30" s="236">
        <f ca="1">G30-H30</f>
        <v>4</v>
      </c>
      <c r="J30" s="237">
        <f ca="1">Z10</f>
        <v>4</v>
      </c>
      <c r="K30" s="236">
        <f>VLOOKUP($B30,Lookup10,11,FALSE)</f>
        <v>1</v>
      </c>
      <c r="L30" s="236">
        <f>VLOOKUP($B30,Lookup11,2,FALSE)</f>
        <v>16</v>
      </c>
      <c r="M30" s="238">
        <f ca="1">ROUND(G30*G$34+I30*I$34+J30*J$34-K30*K$34-L30*L$34,8)</f>
        <v>40407.988400000002</v>
      </c>
      <c r="N30" s="239">
        <f ca="1">RANK(M30,M$30:M$33,0)</f>
        <v>1</v>
      </c>
    </row>
    <row r="31" spans="1:25" x14ac:dyDescent="0.25">
      <c r="A31" s="234">
        <f ca="1">N31</f>
        <v>3</v>
      </c>
      <c r="B31" s="235" t="str">
        <f>C2</f>
        <v>Paraguay</v>
      </c>
      <c r="C31" s="236">
        <v>3</v>
      </c>
      <c r="D31" s="236">
        <f ca="1">COUNTIF(FWinners,B31)</f>
        <v>1</v>
      </c>
      <c r="E31" s="236">
        <f ca="1">COUNTIF(FDraws,"D"&amp;B31)</f>
        <v>0</v>
      </c>
      <c r="F31" s="236">
        <f ca="1">COUNTIF(FLosers,B31)</f>
        <v>2</v>
      </c>
      <c r="G31" s="236">
        <f ca="1">G37+G40+F41</f>
        <v>4</v>
      </c>
      <c r="H31" s="236">
        <f ca="1">F37+F40+G41</f>
        <v>7</v>
      </c>
      <c r="I31" s="236">
        <f t="shared" ref="I31:I33" ca="1" si="30">G31-H31</f>
        <v>-3</v>
      </c>
      <c r="J31" s="237">
        <f ca="1">Z11</f>
        <v>2</v>
      </c>
      <c r="K31" s="236">
        <f>VLOOKUP($B31,Lookup10,11,FALSE)</f>
        <v>5</v>
      </c>
      <c r="L31" s="236">
        <f>VLOOKUP($B31,Lookup11,2,FALSE)</f>
        <v>33</v>
      </c>
      <c r="M31" s="238">
        <f ca="1">ROUND(G31*G$34+I31*I$34+J31*J$34-K31*K$34-L31*L$34,8)</f>
        <v>19703.9467</v>
      </c>
      <c r="N31" s="239">
        <f ca="1">RANK(M31,M$30:M$33,0)</f>
        <v>3</v>
      </c>
    </row>
    <row r="32" spans="1:25" x14ac:dyDescent="0.25">
      <c r="A32" s="234">
        <f ca="1">N32</f>
        <v>2</v>
      </c>
      <c r="B32" s="235" t="str">
        <f>D2</f>
        <v>Australia</v>
      </c>
      <c r="C32" s="236">
        <v>3</v>
      </c>
      <c r="D32" s="236">
        <f ca="1">COUNTIF(FWinners,B32)</f>
        <v>2</v>
      </c>
      <c r="E32" s="236">
        <f ca="1">COUNTIF(FDraws,"D"&amp;B32)</f>
        <v>0</v>
      </c>
      <c r="F32" s="236">
        <f ca="1">COUNTIF(FLosers,B32)</f>
        <v>1</v>
      </c>
      <c r="G32" s="236">
        <f ca="1">F38+G39+G41</f>
        <v>5</v>
      </c>
      <c r="H32" s="236">
        <f ca="1">G38+F39+F41</f>
        <v>4</v>
      </c>
      <c r="I32" s="236">
        <f t="shared" ca="1" si="30"/>
        <v>1</v>
      </c>
      <c r="J32" s="237">
        <f ca="1">Z12</f>
        <v>3</v>
      </c>
      <c r="K32" s="236">
        <f>VLOOKUP($B32,Lookup10,11,FALSE)</f>
        <v>0</v>
      </c>
      <c r="L32" s="236">
        <f>VLOOKUP($B32,Lookup11,2,FALSE)</f>
        <v>24</v>
      </c>
      <c r="M32" s="238">
        <f ca="1">ROUND(G32*G$34+I32*I$34+J32*J$34-K32*K$34-L32*L$34,8)</f>
        <v>30104.997599999999</v>
      </c>
      <c r="N32" s="239">
        <f ca="1">RANK(M32,M$30:M$33,0)</f>
        <v>2</v>
      </c>
    </row>
    <row r="33" spans="1:16" x14ac:dyDescent="0.25">
      <c r="A33" s="234">
        <f ca="1">N33</f>
        <v>4</v>
      </c>
      <c r="B33" s="235" t="str">
        <f>E2</f>
        <v>Turkiye</v>
      </c>
      <c r="C33" s="236">
        <v>3</v>
      </c>
      <c r="D33" s="236">
        <f ca="1">COUNTIF(FWinners,B33)</f>
        <v>1</v>
      </c>
      <c r="E33" s="236">
        <f ca="1">COUNTIF(FDraws,"D"&amp;B33)</f>
        <v>0</v>
      </c>
      <c r="F33" s="236">
        <f ca="1">COUNTIF(FLosers,B33)</f>
        <v>2</v>
      </c>
      <c r="G33" s="236">
        <f ca="1">G38+F40+F42</f>
        <v>3</v>
      </c>
      <c r="H33" s="236">
        <f ca="1">F38+G40+G42</f>
        <v>5</v>
      </c>
      <c r="I33" s="236">
        <f t="shared" ca="1" si="30"/>
        <v>-2</v>
      </c>
      <c r="J33" s="237">
        <f ca="1">Z13</f>
        <v>1</v>
      </c>
      <c r="K33" s="236">
        <f>VLOOKUP($B33,Lookup10,11,FALSE)</f>
        <v>1</v>
      </c>
      <c r="L33" s="236">
        <f>VLOOKUP($B33,Lookup11,2,FALSE)</f>
        <v>20</v>
      </c>
      <c r="M33" s="238">
        <f ca="1">ROUND(G33*G$34+I33*I$34+J33*J$34-K33*K$34-L33*L$34,8)</f>
        <v>9802.9879999999994</v>
      </c>
      <c r="N33" s="239">
        <f ca="1">RANK(M33,M$30:M$33,0)</f>
        <v>4</v>
      </c>
    </row>
    <row r="34" spans="1:16" x14ac:dyDescent="0.25">
      <c r="A34" s="240"/>
      <c r="B34" s="241" t="s">
        <v>636</v>
      </c>
      <c r="C34" s="242">
        <f>SUM(C30:C33)</f>
        <v>12</v>
      </c>
      <c r="D34" s="242"/>
      <c r="E34" s="242"/>
      <c r="F34" s="242"/>
      <c r="G34" s="205">
        <v>1</v>
      </c>
      <c r="H34" s="205"/>
      <c r="I34" s="205">
        <v>100</v>
      </c>
      <c r="J34" s="205">
        <v>10000</v>
      </c>
      <c r="K34" s="205">
        <v>0.01</v>
      </c>
      <c r="L34" s="205">
        <v>1E-4</v>
      </c>
      <c r="M34" s="242"/>
      <c r="N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USAParaguay</v>
      </c>
      <c r="B37" s="158" t="str">
        <f>B1&amp;C1</f>
        <v>D1D2</v>
      </c>
      <c r="C37" s="158">
        <v>1</v>
      </c>
      <c r="D37" s="150" t="str">
        <f>B2</f>
        <v>USA</v>
      </c>
      <c r="E37" s="150" t="str">
        <f>C2</f>
        <v>Paraguay</v>
      </c>
      <c r="F37" s="158">
        <f t="shared" ref="F37:F42" si="31">VLOOKUP($B37,Lookup18,6,FALSE)</f>
        <v>4</v>
      </c>
      <c r="G37" s="158">
        <f t="shared" ref="G37:G42" si="32">VLOOKUP($B37,Lookup18,8,FALSE)</f>
        <v>1</v>
      </c>
      <c r="H37" s="158">
        <f t="shared" ref="H37:H42" si="33">IF(C37=0,0,IF(F37&lt;G37,Lpts,IF(F37&gt;G37,Wpts,Dpts)))</f>
        <v>3</v>
      </c>
      <c r="I37" s="158">
        <f t="shared" ref="I37:I42" si="34">IF(C37=0,0,IF(G37&lt;F37,Lpts,IF(G37&gt;F37,Wpts,Dpts)))</f>
        <v>0</v>
      </c>
      <c r="J37" s="158">
        <f t="shared" ref="J37:K42" si="35">IF(VLOOKUP($B37,Lookup12,4,FALSE)="",0,VLOOKUP($B37,Lookup12,4,FALSE))</f>
        <v>1</v>
      </c>
      <c r="K37" s="158">
        <f t="shared" si="35"/>
        <v>1</v>
      </c>
      <c r="L37" s="143"/>
      <c r="M37" s="143"/>
      <c r="N37" s="143"/>
      <c r="O37" s="143"/>
      <c r="P37" s="143"/>
    </row>
    <row r="38" spans="1:16" x14ac:dyDescent="0.25">
      <c r="A38" s="149" t="str">
        <f>D2&amp;E2</f>
        <v>AustraliaTurkiye</v>
      </c>
      <c r="B38" s="158" t="str">
        <f>D1&amp;E1</f>
        <v>D3D4</v>
      </c>
      <c r="C38" s="158">
        <v>1</v>
      </c>
      <c r="D38" s="150" t="str">
        <f>D2</f>
        <v>Australia</v>
      </c>
      <c r="E38" s="150" t="str">
        <f>E2</f>
        <v>Turkiye</v>
      </c>
      <c r="F38" s="158">
        <f t="shared" si="31"/>
        <v>2</v>
      </c>
      <c r="G38" s="158">
        <f t="shared" si="32"/>
        <v>0</v>
      </c>
      <c r="H38" s="158">
        <f t="shared" si="33"/>
        <v>3</v>
      </c>
      <c r="I38" s="158">
        <f t="shared" si="34"/>
        <v>0</v>
      </c>
      <c r="J38" s="158">
        <f t="shared" si="35"/>
        <v>0</v>
      </c>
      <c r="K38" s="158">
        <f t="shared" si="35"/>
        <v>0</v>
      </c>
      <c r="L38" s="143"/>
      <c r="M38" s="143"/>
      <c r="N38" s="143"/>
      <c r="O38" s="143"/>
      <c r="P38" s="143"/>
    </row>
    <row r="39" spans="1:16" x14ac:dyDescent="0.25">
      <c r="A39" s="149" t="str">
        <f>B2&amp;D2</f>
        <v>USAAustralia</v>
      </c>
      <c r="B39" s="158" t="str">
        <f>B1&amp;D1</f>
        <v>D1D3</v>
      </c>
      <c r="C39" s="158">
        <v>1</v>
      </c>
      <c r="D39" s="150" t="str">
        <f>B2</f>
        <v>USA</v>
      </c>
      <c r="E39" s="150" t="str">
        <f>D2</f>
        <v>Australia</v>
      </c>
      <c r="F39" s="158">
        <f t="shared" ca="1" si="31"/>
        <v>3</v>
      </c>
      <c r="G39" s="158">
        <f t="shared" ca="1" si="32"/>
        <v>1</v>
      </c>
      <c r="H39" s="158">
        <f t="shared" ca="1" si="33"/>
        <v>3</v>
      </c>
      <c r="I39" s="158">
        <f t="shared" ca="1" si="34"/>
        <v>0</v>
      </c>
      <c r="J39" s="158">
        <f t="shared" si="35"/>
        <v>0</v>
      </c>
      <c r="K39" s="158">
        <f t="shared" si="35"/>
        <v>0</v>
      </c>
      <c r="L39" s="143"/>
      <c r="M39" s="143"/>
      <c r="N39" s="143"/>
      <c r="O39" s="143"/>
      <c r="P39" s="143"/>
    </row>
    <row r="40" spans="1:16" x14ac:dyDescent="0.25">
      <c r="A40" s="149" t="str">
        <f>E2&amp;C2</f>
        <v>TurkiyeParaguay</v>
      </c>
      <c r="B40" s="158" t="str">
        <f>E1&amp;C1</f>
        <v>D4D2</v>
      </c>
      <c r="C40" s="158">
        <v>1</v>
      </c>
      <c r="D40" s="150" t="str">
        <f>E2</f>
        <v>Turkiye</v>
      </c>
      <c r="E40" s="150" t="str">
        <f>C2</f>
        <v>Paraguay</v>
      </c>
      <c r="F40" s="158">
        <f t="shared" ca="1" si="31"/>
        <v>1</v>
      </c>
      <c r="G40" s="158">
        <f t="shared" ca="1" si="32"/>
        <v>2</v>
      </c>
      <c r="H40" s="158">
        <f t="shared" ca="1" si="33"/>
        <v>0</v>
      </c>
      <c r="I40" s="158">
        <f t="shared" ca="1" si="34"/>
        <v>3</v>
      </c>
      <c r="J40" s="158">
        <f t="shared" si="35"/>
        <v>0</v>
      </c>
      <c r="K40" s="158">
        <f t="shared" si="35"/>
        <v>0</v>
      </c>
      <c r="L40" s="143"/>
      <c r="M40" s="143"/>
      <c r="N40" s="143"/>
      <c r="O40" s="143"/>
      <c r="P40" s="143"/>
    </row>
    <row r="41" spans="1:16" x14ac:dyDescent="0.25">
      <c r="A41" s="149" t="str">
        <f>C2&amp;D2</f>
        <v>ParaguayAustralia</v>
      </c>
      <c r="B41" s="158" t="str">
        <f>C1&amp;D1</f>
        <v>D2D3</v>
      </c>
      <c r="C41" s="158">
        <v>1</v>
      </c>
      <c r="D41" s="150" t="str">
        <f>C2</f>
        <v>Paraguay</v>
      </c>
      <c r="E41" s="150" t="str">
        <f>D2</f>
        <v>Australia</v>
      </c>
      <c r="F41" s="158">
        <f t="shared" ca="1" si="31"/>
        <v>1</v>
      </c>
      <c r="G41" s="158">
        <f t="shared" ca="1" si="32"/>
        <v>2</v>
      </c>
      <c r="H41" s="158">
        <f t="shared" ca="1" si="33"/>
        <v>0</v>
      </c>
      <c r="I41" s="158">
        <f t="shared" ca="1" si="34"/>
        <v>3</v>
      </c>
      <c r="J41" s="158">
        <f t="shared" si="35"/>
        <v>0</v>
      </c>
      <c r="K41" s="158">
        <f t="shared" si="35"/>
        <v>0</v>
      </c>
      <c r="L41" s="143"/>
      <c r="M41" s="143"/>
      <c r="N41" s="143"/>
      <c r="O41" s="143"/>
      <c r="P41" s="143"/>
    </row>
    <row r="42" spans="1:16" x14ac:dyDescent="0.25">
      <c r="A42" s="151" t="str">
        <f>E2&amp;B2</f>
        <v>TurkiyeUSA</v>
      </c>
      <c r="B42" s="159" t="str">
        <f>E1&amp;B1</f>
        <v>D4D1</v>
      </c>
      <c r="C42" s="159">
        <v>1</v>
      </c>
      <c r="D42" s="152" t="str">
        <f>E2</f>
        <v>Turkiye</v>
      </c>
      <c r="E42" s="152" t="str">
        <f>B2</f>
        <v>USA</v>
      </c>
      <c r="F42" s="159">
        <f t="shared" ca="1" si="31"/>
        <v>2</v>
      </c>
      <c r="G42" s="159">
        <f t="shared" ca="1" si="32"/>
        <v>1</v>
      </c>
      <c r="H42" s="159">
        <f t="shared" ca="1" si="33"/>
        <v>3</v>
      </c>
      <c r="I42" s="159">
        <f t="shared" ca="1" si="34"/>
        <v>0</v>
      </c>
      <c r="J42" s="159">
        <f t="shared" si="35"/>
        <v>0</v>
      </c>
      <c r="K42" s="159">
        <f t="shared" si="35"/>
        <v>0</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 ca="1">$B45</f>
        <v>USA</v>
      </c>
      <c r="M44" s="154" t="str">
        <f ca="1">$B46</f>
        <v>Australia</v>
      </c>
      <c r="N44" s="154" t="str">
        <f ca="1">$B47</f>
        <v>Paraguay</v>
      </c>
      <c r="O44" s="154" t="str">
        <f ca="1">$B48</f>
        <v>Turkiye</v>
      </c>
      <c r="P44" s="155"/>
    </row>
    <row r="45" spans="1:16" x14ac:dyDescent="0.25">
      <c r="A45" s="156">
        <v>1</v>
      </c>
      <c r="B45" s="156" t="str">
        <f ca="1">VLOOKUP($A45,Ranking,2,FALSE)</f>
        <v>USA</v>
      </c>
      <c r="C45" s="157">
        <v>3</v>
      </c>
      <c r="D45" s="157">
        <f ca="1">VLOOKUP($A45,Ranking,4,FALSE)</f>
        <v>2</v>
      </c>
      <c r="E45" s="157">
        <f ca="1">VLOOKUP($A45,Ranking,5,FALSE)</f>
        <v>0</v>
      </c>
      <c r="F45" s="157">
        <f ca="1">VLOOKUP($A45,Ranking,6,FALSE)</f>
        <v>1</v>
      </c>
      <c r="G45" s="157">
        <f ca="1">VLOOKUP($A45,Ranking,7,FALSE)</f>
        <v>8</v>
      </c>
      <c r="H45" s="157">
        <f ca="1">VLOOKUP($A45,Ranking,8,FALSE)</f>
        <v>4</v>
      </c>
      <c r="I45" s="157">
        <f ca="1">G45-H45</f>
        <v>4</v>
      </c>
      <c r="J45" s="157">
        <f ca="1">D45*Wpts+E45*Dpts+FGrpD!F45*Lpts</f>
        <v>6</v>
      </c>
      <c r="K45" s="201" t="str">
        <f ca="1">B45</f>
        <v>USA</v>
      </c>
      <c r="L45" s="203"/>
      <c r="M45" s="202" t="str">
        <f ca="1">IFERROR(VLOOKUP($B45&amp;M$44,A37:G42,6,FALSE)&amp;"-"&amp;VLOOKUP($B45&amp;M$44,A37:G42,7,FALSE),VLOOKUP(M$44&amp;$B45,A37:G42,7,FALSE)&amp;"-"&amp;VLOOKUP(M$44&amp;$B45,A37:G42,6,FALSE))</f>
        <v>3-1</v>
      </c>
      <c r="N45" s="202" t="str">
        <f ca="1">IFERROR(VLOOKUP($B45&amp;N$44,A37:G42,6,FALSE)&amp;"-"&amp;VLOOKUP($B45&amp;N$44,A37:G42,7,FALSE),VLOOKUP(N$44&amp;$B45,A37:G42,7,FALSE)&amp;"-"&amp;VLOOKUP(N$44&amp;$B45,A37:G42,6,FALSE))</f>
        <v>4-1</v>
      </c>
      <c r="O45" s="202" t="str">
        <f ca="1">IFERROR(VLOOKUP($B45&amp;O$44,A37:G42,6,FALSE)&amp;"-"&amp;VLOOKUP($B45&amp;O$44,A37:G42,7,FALSE),VLOOKUP(O$44&amp;$B45,A37:G42,7,FALSE)&amp;"-"&amp;VLOOKUP(O$44&amp;$B45,A37:G42,6,FALSE))</f>
        <v>1-2</v>
      </c>
      <c r="P45" s="155"/>
    </row>
    <row r="46" spans="1:16" x14ac:dyDescent="0.25">
      <c r="A46" s="156">
        <v>2</v>
      </c>
      <c r="B46" s="156" t="str">
        <f ca="1">VLOOKUP($A46,Ranking,2,FALSE)</f>
        <v>Australia</v>
      </c>
      <c r="C46" s="157">
        <v>3</v>
      </c>
      <c r="D46" s="157">
        <f ca="1">VLOOKUP($A46,Ranking,4,FALSE)</f>
        <v>2</v>
      </c>
      <c r="E46" s="157">
        <f ca="1">VLOOKUP($A46,Ranking,5,FALSE)</f>
        <v>0</v>
      </c>
      <c r="F46" s="157">
        <f ca="1">VLOOKUP($A46,Ranking,6,FALSE)</f>
        <v>1</v>
      </c>
      <c r="G46" s="157">
        <f ca="1">VLOOKUP($A46,Ranking,7,FALSE)</f>
        <v>5</v>
      </c>
      <c r="H46" s="157">
        <f ca="1">VLOOKUP($A46,Ranking,8,FALSE)</f>
        <v>4</v>
      </c>
      <c r="I46" s="157">
        <f t="shared" ref="I46:I48" ca="1" si="36">G46-H46</f>
        <v>1</v>
      </c>
      <c r="J46" s="157">
        <f ca="1">D46*Wpts+E46*Dpts+FGrpD!F46*Lpts</f>
        <v>6</v>
      </c>
      <c r="K46" s="201" t="str">
        <f ca="1">B46</f>
        <v>Australia</v>
      </c>
      <c r="L46" s="202" t="str">
        <f ca="1">IFERROR(VLOOKUP($B46&amp;L$44,A37:G42,6,FALSE)&amp;"-"&amp;VLOOKUP($B46&amp;L$44,A37:G42,7,FALSE),VLOOKUP(L$44&amp;$B46,A37:G42,7,FALSE)&amp;"-"&amp;VLOOKUP(L$44&amp;$B46,A37:G42,6,FALSE))</f>
        <v>1-3</v>
      </c>
      <c r="M46" s="203"/>
      <c r="N46" s="202" t="str">
        <f ca="1">IFERROR(VLOOKUP($B46&amp;N$44,A37:G42,6,FALSE)&amp;"-"&amp;VLOOKUP($B46&amp;N$44,A37:G42,7,FALSE),VLOOKUP(N$44&amp;$B46,A37:G42,7,FALSE)&amp;"-"&amp;VLOOKUP(N$44&amp;$B46,A37:G42,6,FALSE))</f>
        <v>2-1</v>
      </c>
      <c r="O46" s="202" t="str">
        <f ca="1">IFERROR(VLOOKUP($B46&amp;O$44,A37:G42,6,FALSE)&amp;"-"&amp;VLOOKUP($B46&amp;O$44,A37:G42,7,FALSE),VLOOKUP(O$44&amp;$B46,A37:G42,7,FALSE)&amp;"-"&amp;VLOOKUP(O$44&amp;$B46,A37:G42,6,FALSE))</f>
        <v>2-0</v>
      </c>
      <c r="P46" s="155"/>
    </row>
    <row r="47" spans="1:16" x14ac:dyDescent="0.25">
      <c r="A47" s="156">
        <v>3</v>
      </c>
      <c r="B47" s="156" t="str">
        <f ca="1">VLOOKUP($A47,Ranking,2,FALSE)</f>
        <v>Paraguay</v>
      </c>
      <c r="C47" s="157">
        <v>3</v>
      </c>
      <c r="D47" s="157">
        <f ca="1">VLOOKUP($A47,Ranking,4,FALSE)</f>
        <v>1</v>
      </c>
      <c r="E47" s="157">
        <f ca="1">VLOOKUP($A47,Ranking,5,FALSE)</f>
        <v>0</v>
      </c>
      <c r="F47" s="157">
        <f ca="1">VLOOKUP($A47,Ranking,6,FALSE)</f>
        <v>2</v>
      </c>
      <c r="G47" s="157">
        <f ca="1">VLOOKUP($A47,Ranking,7,FALSE)</f>
        <v>4</v>
      </c>
      <c r="H47" s="157">
        <f ca="1">VLOOKUP($A47,Ranking,8,FALSE)</f>
        <v>7</v>
      </c>
      <c r="I47" s="157">
        <f t="shared" ca="1" si="36"/>
        <v>-3</v>
      </c>
      <c r="J47" s="157">
        <f ca="1">D47*Wpts+E47*Dpts+FGrpD!F47*Lpts</f>
        <v>3</v>
      </c>
      <c r="K47" s="201" t="str">
        <f ca="1">B47</f>
        <v>Paraguay</v>
      </c>
      <c r="L47" s="202" t="str">
        <f ca="1">IFERROR(VLOOKUP($B47&amp;L$44,A37:G42,6,FALSE)&amp;"-"&amp;VLOOKUP($B47&amp;L$44,A37:G42,7,FALSE),VLOOKUP(L$44&amp;$B47,A37:G42,7,FALSE)&amp;"-"&amp;VLOOKUP(L$44&amp;$B47,A37:G42,6,FALSE))</f>
        <v>1-4</v>
      </c>
      <c r="M47" s="202" t="str">
        <f ca="1">IFERROR(VLOOKUP($B47&amp;M$44,A37:G42,6,FALSE)&amp;"-"&amp;VLOOKUP($B47&amp;M$44,A37:G42,7,FALSE),VLOOKUP(M$44&amp;$B47,A37:G42,7,FALSE)&amp;"-"&amp;VLOOKUP(M$44&amp;$B47,A37:G42,6,FALSE))</f>
        <v>1-2</v>
      </c>
      <c r="N47" s="203"/>
      <c r="O47" s="202" t="str">
        <f ca="1">IFERROR(VLOOKUP($B47&amp;O$44,A37:G42,6,FALSE)&amp;"-"&amp;VLOOKUP($B47&amp;O$44,A37:G42,7,FALSE),VLOOKUP(O$44&amp;$B47,A37:G42,7,FALSE)&amp;"-"&amp;VLOOKUP(O$44&amp;$B47,A37:G42,6,FALSE))</f>
        <v>2-1</v>
      </c>
      <c r="P47" s="155"/>
    </row>
    <row r="48" spans="1:16" x14ac:dyDescent="0.25">
      <c r="A48" s="156">
        <v>4</v>
      </c>
      <c r="B48" s="156" t="str">
        <f ca="1">VLOOKUP($A48,Ranking,2,FALSE)</f>
        <v>Turkiye</v>
      </c>
      <c r="C48" s="157">
        <v>3</v>
      </c>
      <c r="D48" s="157">
        <f ca="1">VLOOKUP($A48,Ranking,4,FALSE)</f>
        <v>1</v>
      </c>
      <c r="E48" s="157">
        <f ca="1">VLOOKUP($A48,Ranking,5,FALSE)</f>
        <v>0</v>
      </c>
      <c r="F48" s="157">
        <f ca="1">VLOOKUP($A48,Ranking,6,FALSE)</f>
        <v>2</v>
      </c>
      <c r="G48" s="157">
        <f ca="1">VLOOKUP($A48,Ranking,7,FALSE)</f>
        <v>3</v>
      </c>
      <c r="H48" s="157">
        <f ca="1">VLOOKUP($A48,Ranking,8,FALSE)</f>
        <v>5</v>
      </c>
      <c r="I48" s="157">
        <f t="shared" ca="1" si="36"/>
        <v>-2</v>
      </c>
      <c r="J48" s="157">
        <f ca="1">D48*Wpts+E48*Dpts+FGrpD!F48*Lpts</f>
        <v>3</v>
      </c>
      <c r="K48" s="201" t="str">
        <f ca="1">B48</f>
        <v>Turkiye</v>
      </c>
      <c r="L48" s="202" t="str">
        <f ca="1">IFERROR(VLOOKUP($B48&amp;L$44,A37:G42,6,FALSE)&amp;"-"&amp;VLOOKUP($B48&amp;L$44,A37:G42,7,FALSE),VLOOKUP(L$44&amp;$B48,A37:G42,7,FALSE)&amp;"-"&amp;VLOOKUP(L$44&amp;$B48,A37:G42,6,FALSE))</f>
        <v>2-1</v>
      </c>
      <c r="M48" s="202" t="str">
        <f ca="1">IFERROR(VLOOKUP($B48&amp;M$44,A37:G42,6,FALSE)&amp;"-"&amp;VLOOKUP($B48&amp;M$44,A37:G42,7,FALSE),VLOOKUP(M$44&amp;$B48,A37:G42,7,FALSE)&amp;"-"&amp;VLOOKUP(M$44&amp;$B48,A37:G42,6,FALSE))</f>
        <v>0-2</v>
      </c>
      <c r="N48" s="202" t="str">
        <f ca="1">IFERROR(VLOOKUP($B48&amp;N$44,A37:G42,6,FALSE)&amp;"-"&amp;VLOOKUP($B48&amp;N$44,A37:G42,7,FALSE),VLOOKUP(N$44&amp;$B48,A37:G42,7,FALSE)&amp;"-"&amp;VLOOKUP(N$44&amp;$B48,A37:G42,6,FALSE))</f>
        <v>1-2</v>
      </c>
      <c r="O48" s="203"/>
      <c r="P48" s="155"/>
    </row>
    <row r="49" spans="1:16" x14ac:dyDescent="0.25">
      <c r="A49" s="143"/>
      <c r="B49" s="143"/>
      <c r="C49" s="461">
        <f>SUM(C45:C48)</f>
        <v>12</v>
      </c>
      <c r="D49" s="143"/>
      <c r="E49" s="143"/>
      <c r="F49" s="143"/>
      <c r="G49" s="143"/>
      <c r="H49" s="143"/>
      <c r="I49" s="143"/>
      <c r="J49" s="143"/>
      <c r="K49" s="143"/>
      <c r="L49" s="143"/>
      <c r="M49" s="143"/>
      <c r="N49" s="143"/>
      <c r="O49" s="143"/>
      <c r="P49" s="143"/>
    </row>
  </sheetData>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sheetPr>
  <dimension ref="A1:AI114"/>
  <sheetViews>
    <sheetView workbookViewId="0">
      <pane xSplit="9" ySplit="2" topLeftCell="J66" activePane="bottomRight" state="frozen"/>
      <selection activeCell="J3" sqref="J3"/>
      <selection pane="topRight" activeCell="J3" sqref="J3"/>
      <selection pane="bottomLeft" activeCell="J3" sqref="J3"/>
      <selection pane="bottomRight" activeCell="J3" sqref="J3"/>
    </sheetView>
  </sheetViews>
  <sheetFormatPr defaultRowHeight="15" customHeight="1" x14ac:dyDescent="0.25"/>
  <cols>
    <col min="1" max="1" width="10.7109375" style="30" customWidth="1"/>
    <col min="2" max="3" width="10.7109375" style="18" customWidth="1"/>
    <col min="4" max="4" width="30.7109375" style="10" customWidth="1"/>
    <col min="5" max="6" width="10.140625" style="10" customWidth="1"/>
    <col min="7" max="7" width="30.7109375" style="10" customWidth="1"/>
    <col min="8" max="13" width="10.7109375" style="18" customWidth="1"/>
    <col min="14" max="15" width="10.7109375" style="10" customWidth="1"/>
    <col min="16" max="17" width="10.7109375" style="93" customWidth="1"/>
    <col min="18" max="18" width="10.7109375" style="69" customWidth="1"/>
    <col min="19" max="22" width="8.7109375" style="31" customWidth="1"/>
    <col min="23" max="23" width="9.140625" style="10" customWidth="1"/>
    <col min="24" max="24" width="9.140625" style="10"/>
    <col min="25" max="25" width="9.7109375" style="117" customWidth="1"/>
    <col min="26" max="26" width="9.7109375" style="10" customWidth="1"/>
    <col min="27" max="27" width="9.7109375" style="117" customWidth="1"/>
    <col min="28" max="29" width="9.7109375" style="10" customWidth="1"/>
    <col min="30" max="30" width="9.7109375" style="117" customWidth="1"/>
    <col min="31" max="32" width="9.7109375" style="10" customWidth="1"/>
    <col min="33" max="33" width="9.7109375" style="117" customWidth="1"/>
    <col min="34" max="35" width="9.7109375" style="10" customWidth="1"/>
    <col min="36" max="16384" width="9.140625" style="10"/>
  </cols>
  <sheetData>
    <row r="1" spans="1:35" ht="15" customHeight="1" x14ac:dyDescent="0.25">
      <c r="D1" s="12" t="str">
        <f>League</f>
        <v>2026 FIFA World Cup Americas</v>
      </c>
      <c r="H1" s="87" t="s">
        <v>347</v>
      </c>
      <c r="I1" s="87" t="s">
        <v>347</v>
      </c>
      <c r="J1" s="87" t="s">
        <v>341</v>
      </c>
      <c r="K1" s="87" t="s">
        <v>341</v>
      </c>
      <c r="L1" s="87" t="s">
        <v>1350</v>
      </c>
      <c r="M1" s="87" t="s">
        <v>1350</v>
      </c>
      <c r="O1" s="64">
        <v>2.5</v>
      </c>
      <c r="T1" s="745" t="s">
        <v>101</v>
      </c>
      <c r="U1" s="746"/>
      <c r="V1" s="747"/>
      <c r="W1" s="32" t="s">
        <v>25</v>
      </c>
      <c r="X1" s="32" t="s">
        <v>25</v>
      </c>
      <c r="Y1" s="114" t="s">
        <v>338</v>
      </c>
      <c r="Z1" s="87" t="s">
        <v>101</v>
      </c>
      <c r="AA1" s="114" t="s">
        <v>338</v>
      </c>
      <c r="AB1" s="87" t="s">
        <v>101</v>
      </c>
      <c r="AC1" s="87" t="s">
        <v>101</v>
      </c>
      <c r="AD1" s="114" t="s">
        <v>338</v>
      </c>
      <c r="AE1" s="87" t="s">
        <v>341</v>
      </c>
      <c r="AF1" s="87" t="s">
        <v>341</v>
      </c>
      <c r="AG1" s="114" t="s">
        <v>338</v>
      </c>
      <c r="AH1" s="109" t="s">
        <v>342</v>
      </c>
      <c r="AI1" s="108"/>
    </row>
    <row r="2" spans="1:35" ht="15" customHeight="1" x14ac:dyDescent="0.25">
      <c r="A2" s="34" t="s">
        <v>9</v>
      </c>
      <c r="B2" s="34" t="s">
        <v>8</v>
      </c>
      <c r="C2" s="34" t="s">
        <v>4</v>
      </c>
      <c r="D2" s="35" t="s">
        <v>2</v>
      </c>
      <c r="E2" s="34" t="s">
        <v>8</v>
      </c>
      <c r="F2" s="34" t="s">
        <v>4</v>
      </c>
      <c r="G2" s="303" t="s">
        <v>3</v>
      </c>
      <c r="H2" s="304" t="s">
        <v>1</v>
      </c>
      <c r="I2" s="304" t="s">
        <v>0</v>
      </c>
      <c r="J2" s="304" t="s">
        <v>1</v>
      </c>
      <c r="K2" s="304" t="s">
        <v>0</v>
      </c>
      <c r="L2" s="304" t="s">
        <v>1</v>
      </c>
      <c r="M2" s="304" t="s">
        <v>0</v>
      </c>
      <c r="N2" s="11" t="s">
        <v>7</v>
      </c>
      <c r="O2" s="11" t="s">
        <v>115</v>
      </c>
      <c r="P2" s="94" t="s">
        <v>10</v>
      </c>
      <c r="Q2" s="94" t="s">
        <v>11</v>
      </c>
      <c r="R2" s="91" t="s">
        <v>12</v>
      </c>
      <c r="S2" s="34" t="s">
        <v>20</v>
      </c>
      <c r="T2" s="34" t="s">
        <v>1</v>
      </c>
      <c r="U2" s="34" t="s">
        <v>25</v>
      </c>
      <c r="V2" s="34" t="s">
        <v>0</v>
      </c>
      <c r="W2" s="42" t="s">
        <v>109</v>
      </c>
      <c r="X2" s="42" t="s">
        <v>20</v>
      </c>
      <c r="Y2" s="115" t="s">
        <v>116</v>
      </c>
      <c r="Z2" s="88" t="s">
        <v>7</v>
      </c>
      <c r="AA2" s="115" t="s">
        <v>340</v>
      </c>
      <c r="AB2" s="88" t="s">
        <v>1</v>
      </c>
      <c r="AC2" s="88" t="s">
        <v>0</v>
      </c>
      <c r="AD2" s="115" t="s">
        <v>340</v>
      </c>
      <c r="AE2" s="88" t="s">
        <v>1</v>
      </c>
      <c r="AF2" s="88" t="s">
        <v>0</v>
      </c>
      <c r="AG2" s="115" t="s">
        <v>340</v>
      </c>
      <c r="AH2" s="88" t="s">
        <v>1</v>
      </c>
      <c r="AI2" s="88" t="s">
        <v>0</v>
      </c>
    </row>
    <row r="3" spans="1:35" ht="15" customHeight="1" x14ac:dyDescent="0.25">
      <c r="A3" s="44" t="s">
        <v>1276</v>
      </c>
      <c r="B3" s="1">
        <f>Results!B3</f>
        <v>13</v>
      </c>
      <c r="C3" s="45">
        <f>COUNTIF(D$2:D3,D3)+COUNTIF(G$2:G3,D3)</f>
        <v>1</v>
      </c>
      <c r="D3" s="46" t="str">
        <f>Results!D3</f>
        <v>Mexico</v>
      </c>
      <c r="E3" s="1">
        <f>Results!E3</f>
        <v>40</v>
      </c>
      <c r="F3" s="45">
        <f>COUNTIF(D$2:D3,G3)+COUNTIF(G$2:G3,G3)</f>
        <v>1</v>
      </c>
      <c r="G3" s="46" t="str">
        <f>Results!G3</f>
        <v>South Africa</v>
      </c>
      <c r="H3" s="1">
        <f>IF(Results!H3="",AB3,Results!H3)</f>
        <v>2</v>
      </c>
      <c r="I3" s="1">
        <f>IF(Results!I3="",AC3,Results!I3)</f>
        <v>0</v>
      </c>
      <c r="J3" s="305"/>
      <c r="K3" s="305"/>
      <c r="L3" s="305"/>
      <c r="M3" s="305"/>
      <c r="N3" s="66">
        <f t="shared" ref="N3:N34" si="0">IF(OR(H3="",H3="P"),"",IF(H3&gt;I3,1,IF(H3=I3,2,3)))</f>
        <v>1</v>
      </c>
      <c r="O3" s="65">
        <f t="shared" ref="O3:O34" si="1">IFERROR(IF(ABS(H3-I3)&gt;FGoalDiff,Bonus,0),0)</f>
        <v>0</v>
      </c>
      <c r="P3" s="89">
        <f t="shared" ref="P3:P34" si="2">VLOOKUP(B3,Team,3+C3,FALSE)</f>
        <v>1702</v>
      </c>
      <c r="Q3" s="89">
        <f t="shared" ref="Q3:Q34" si="3">VLOOKUP(E3,Team,3+F3,FALSE)</f>
        <v>1428</v>
      </c>
      <c r="R3" s="92">
        <f t="shared" ref="R3" si="4">IFERROR(IF(P3-Q3&gt;735,735,IF(P3-Q3&lt;-735,-735,P3-Q3)),"")</f>
        <v>274</v>
      </c>
      <c r="S3" s="50">
        <f t="shared" ref="S3:S34" si="5">IFERROR(VLOOKUP($R3,Ratings,2,TRUE),"")</f>
        <v>0.83545000000000003</v>
      </c>
      <c r="T3" s="50">
        <f t="shared" ref="T3:T34" si="6">IFERROR(IF(S3-W3/2&lt;0.01,0.01,S3-W3/2),"")</f>
        <v>0.77452585125000006</v>
      </c>
      <c r="U3" s="50">
        <f>IFERROR(1-V3-T3,"")</f>
        <v>0.12184829750000004</v>
      </c>
      <c r="V3" s="50">
        <f t="shared" ref="V3:V34" si="7">IFERROR(IF(1-T3-W3&lt;0.01,0.01,1-T3-W3),"")</f>
        <v>0.10362585124999996</v>
      </c>
      <c r="W3" s="55">
        <f t="shared" ref="W3:W34" si="8">X3-(S3-0.5)*(S3-0.5)</f>
        <v>0.12184829749999998</v>
      </c>
      <c r="X3" s="55">
        <f t="shared" ref="X3:X34" si="9">DFactor</f>
        <v>0.234375</v>
      </c>
      <c r="Y3" s="116">
        <f t="shared" ref="Y3:Y34" ca="1" si="10">VLOOKUP($A3,RND90M,Random90+2,FALSE)</f>
        <v>0.22280379216423551</v>
      </c>
      <c r="Z3" s="66">
        <f t="shared" ref="Z3:Z34" ca="1" si="11">IF(Y3&lt;T3,1,IF(Y3&lt;N(T3)+N(U3),2,3))</f>
        <v>1</v>
      </c>
      <c r="AA3" s="116">
        <f t="shared" ref="AA3:AA34" ca="1" si="12">IF(Z3=1,Y3/T3,IF(Z3=2,(Y3-T3)/U3,(Y3-T3-U3)/V3))</f>
        <v>0.28766475877422881</v>
      </c>
      <c r="AB3" s="301">
        <f t="shared" ref="AB3:AB34" ca="1" si="13">IF($Z3=1,VLOOKUP($AA3,Lookup04,2),IF($Z3=2,VLOOKUP($AA3,Lookup05,2),VLOOKUP($AA3,Lookup06,2)))</f>
        <v>1</v>
      </c>
      <c r="AC3" s="301">
        <f t="shared" ref="AC3:AC34" ca="1" si="14">IF($Z3=1,VLOOKUP($AA3,Lookup04,3),IF($Z3=2,VLOOKUP($AA3,Lookup05,3),VLOOKUP($AA3,Lookup06,3)))</f>
        <v>0</v>
      </c>
      <c r="AD3" s="116"/>
      <c r="AE3" s="66"/>
      <c r="AF3" s="66"/>
      <c r="AG3" s="116"/>
      <c r="AH3" s="66"/>
      <c r="AI3" s="66"/>
    </row>
    <row r="4" spans="1:35" ht="15" customHeight="1" x14ac:dyDescent="0.25">
      <c r="A4" s="44" t="s">
        <v>1277</v>
      </c>
      <c r="B4" s="1">
        <f>Results!B4</f>
        <v>23</v>
      </c>
      <c r="C4" s="45">
        <f>COUNTIF(D$2:D4,D4)+COUNTIF(G$2:G4,D4)</f>
        <v>1</v>
      </c>
      <c r="D4" s="46" t="str">
        <f>Results!D4</f>
        <v>Korea Republic</v>
      </c>
      <c r="E4" s="1">
        <f>Results!E4</f>
        <v>32</v>
      </c>
      <c r="F4" s="45">
        <f>COUNTIF(D$2:D4,G4)+COUNTIF(G$2:G4,G4)</f>
        <v>1</v>
      </c>
      <c r="G4" s="46" t="str">
        <f>Results!G4</f>
        <v>Czechia</v>
      </c>
      <c r="H4" s="1">
        <f>IF(Results!H4="",AB4,Results!H4)</f>
        <v>2</v>
      </c>
      <c r="I4" s="1">
        <f>IF(Results!I4="",AC4,Results!I4)</f>
        <v>1</v>
      </c>
      <c r="J4" s="305"/>
      <c r="K4" s="305"/>
      <c r="L4" s="305"/>
      <c r="M4" s="305"/>
      <c r="N4" s="66">
        <f t="shared" si="0"/>
        <v>1</v>
      </c>
      <c r="O4" s="65">
        <f t="shared" si="1"/>
        <v>0</v>
      </c>
      <c r="P4" s="89">
        <f t="shared" si="2"/>
        <v>1592</v>
      </c>
      <c r="Q4" s="89">
        <f t="shared" si="3"/>
        <v>1506</v>
      </c>
      <c r="R4" s="92">
        <f t="shared" ref="R4:R67" si="15">IFERROR(IF(P4-Q4&gt;735,735,IF(P4-Q4&lt;-735,-735,P4-Q4)),"")</f>
        <v>86</v>
      </c>
      <c r="S4" s="50">
        <f t="shared" si="5"/>
        <v>0.62250000000000005</v>
      </c>
      <c r="T4" s="50">
        <f t="shared" si="6"/>
        <v>0.512815625</v>
      </c>
      <c r="U4" s="50">
        <f t="shared" ref="U4:U65" si="16">IFERROR(1-V4-T4,"")</f>
        <v>0.21936875</v>
      </c>
      <c r="V4" s="50">
        <f t="shared" si="7"/>
        <v>0.267815625</v>
      </c>
      <c r="W4" s="55">
        <f t="shared" si="8"/>
        <v>0.21936875</v>
      </c>
      <c r="X4" s="55">
        <f t="shared" si="9"/>
        <v>0.234375</v>
      </c>
      <c r="Y4" s="116">
        <f t="shared" ca="1" si="10"/>
        <v>0.51493803601189925</v>
      </c>
      <c r="Z4" s="66">
        <f t="shared" ca="1" si="11"/>
        <v>2</v>
      </c>
      <c r="AA4" s="116">
        <f t="shared" ca="1" si="12"/>
        <v>9.6750836748591123E-3</v>
      </c>
      <c r="AB4" s="301">
        <f t="shared" ca="1" si="13"/>
        <v>0</v>
      </c>
      <c r="AC4" s="301">
        <f t="shared" ca="1" si="14"/>
        <v>0</v>
      </c>
      <c r="AD4" s="116"/>
      <c r="AE4" s="66"/>
      <c r="AF4" s="66"/>
      <c r="AG4" s="116"/>
      <c r="AH4" s="66"/>
      <c r="AI4" s="66"/>
    </row>
    <row r="5" spans="1:35" ht="15" customHeight="1" x14ac:dyDescent="0.25">
      <c r="A5" s="44" t="s">
        <v>1278</v>
      </c>
      <c r="B5" s="1">
        <f>Results!B5</f>
        <v>27</v>
      </c>
      <c r="C5" s="45">
        <f>COUNTIF(D$2:D5,D5)+COUNTIF(G$2:G5,D5)</f>
        <v>1</v>
      </c>
      <c r="D5" s="46" t="str">
        <f>Results!D5</f>
        <v>Canada</v>
      </c>
      <c r="E5" s="1">
        <f>Results!E5</f>
        <v>43</v>
      </c>
      <c r="F5" s="45">
        <f>COUNTIF(D$2:D5,G5)+COUNTIF(G$2:G5,G5)</f>
        <v>1</v>
      </c>
      <c r="G5" s="46" t="str">
        <f>Results!G5</f>
        <v>Bosnia-Herzegovina</v>
      </c>
      <c r="H5" s="1">
        <f>IF(Results!H5="",AB5,Results!H5)</f>
        <v>1</v>
      </c>
      <c r="I5" s="1">
        <f>IF(Results!I5="",AC5,Results!I5)</f>
        <v>1</v>
      </c>
      <c r="J5" s="305"/>
      <c r="K5" s="305"/>
      <c r="L5" s="305"/>
      <c r="M5" s="305"/>
      <c r="N5" s="66">
        <f t="shared" si="0"/>
        <v>2</v>
      </c>
      <c r="O5" s="65">
        <f t="shared" si="1"/>
        <v>0</v>
      </c>
      <c r="P5" s="89">
        <f t="shared" si="2"/>
        <v>1589</v>
      </c>
      <c r="Q5" s="89">
        <f t="shared" si="3"/>
        <v>1407</v>
      </c>
      <c r="R5" s="92">
        <f t="shared" si="15"/>
        <v>182</v>
      </c>
      <c r="S5" s="50">
        <f t="shared" si="5"/>
        <v>0.74221999999999999</v>
      </c>
      <c r="T5" s="50">
        <f t="shared" si="6"/>
        <v>0.65436776419999998</v>
      </c>
      <c r="U5" s="50">
        <f t="shared" si="16"/>
        <v>0.17570447160000002</v>
      </c>
      <c r="V5" s="50">
        <f t="shared" si="7"/>
        <v>0.16992776420000003</v>
      </c>
      <c r="W5" s="55">
        <f t="shared" si="8"/>
        <v>0.1757044716</v>
      </c>
      <c r="X5" s="55">
        <f t="shared" si="9"/>
        <v>0.234375</v>
      </c>
      <c r="Y5" s="116">
        <f t="shared" ca="1" si="10"/>
        <v>5.9656926562546064E-2</v>
      </c>
      <c r="Z5" s="66">
        <f t="shared" ca="1" si="11"/>
        <v>1</v>
      </c>
      <c r="AA5" s="116">
        <f t="shared" ca="1" si="12"/>
        <v>9.1167275997282485E-2</v>
      </c>
      <c r="AB5" s="301">
        <f t="shared" ca="1" si="13"/>
        <v>1</v>
      </c>
      <c r="AC5" s="301">
        <f t="shared" ca="1" si="14"/>
        <v>0</v>
      </c>
      <c r="AD5" s="116"/>
      <c r="AE5" s="66"/>
      <c r="AF5" s="66"/>
      <c r="AG5" s="116"/>
      <c r="AH5" s="66"/>
      <c r="AI5" s="66"/>
    </row>
    <row r="6" spans="1:35" ht="15" customHeight="1" x14ac:dyDescent="0.25">
      <c r="A6" s="44" t="s">
        <v>1279</v>
      </c>
      <c r="B6" s="1">
        <f>Results!B6</f>
        <v>16</v>
      </c>
      <c r="C6" s="45">
        <f>COUNTIF(D$2:D6,D6)+COUNTIF(G$2:G6,D6)</f>
        <v>1</v>
      </c>
      <c r="D6" s="46" t="str">
        <f>Results!D6</f>
        <v>USA</v>
      </c>
      <c r="E6" s="1">
        <f>Results!E6</f>
        <v>33</v>
      </c>
      <c r="F6" s="45">
        <f>COUNTIF(D$2:D6,G6)+COUNTIF(G$2:G6,G6)</f>
        <v>1</v>
      </c>
      <c r="G6" s="46" t="str">
        <f>Results!G6</f>
        <v>Paraguay</v>
      </c>
      <c r="H6" s="1">
        <f>IF(Results!H6="",AB6,Results!H6)</f>
        <v>4</v>
      </c>
      <c r="I6" s="1">
        <f>IF(Results!I6="",AC6,Results!I6)</f>
        <v>1</v>
      </c>
      <c r="J6" s="305"/>
      <c r="K6" s="305"/>
      <c r="L6" s="305"/>
      <c r="M6" s="305"/>
      <c r="N6" s="66">
        <f t="shared" si="0"/>
        <v>1</v>
      </c>
      <c r="O6" s="65">
        <f t="shared" si="1"/>
        <v>2</v>
      </c>
      <c r="P6" s="89">
        <f t="shared" si="2"/>
        <v>1671</v>
      </c>
      <c r="Q6" s="89">
        <f t="shared" si="3"/>
        <v>1545</v>
      </c>
      <c r="R6" s="92">
        <f t="shared" si="15"/>
        <v>126</v>
      </c>
      <c r="S6" s="50">
        <f t="shared" si="5"/>
        <v>0.67500000000000004</v>
      </c>
      <c r="T6" s="50">
        <f t="shared" si="6"/>
        <v>0.57312500000000011</v>
      </c>
      <c r="U6" s="50">
        <f t="shared" si="16"/>
        <v>0.20374999999999999</v>
      </c>
      <c r="V6" s="50">
        <f t="shared" si="7"/>
        <v>0.22312499999999991</v>
      </c>
      <c r="W6" s="55">
        <f t="shared" si="8"/>
        <v>0.20374999999999999</v>
      </c>
      <c r="X6" s="55">
        <f t="shared" si="9"/>
        <v>0.234375</v>
      </c>
      <c r="Y6" s="116">
        <f t="shared" ca="1" si="10"/>
        <v>4.9296650180136625E-2</v>
      </c>
      <c r="Z6" s="66">
        <f t="shared" ca="1" si="11"/>
        <v>1</v>
      </c>
      <c r="AA6" s="116">
        <f t="shared" ca="1" si="12"/>
        <v>8.6013784392822881E-2</v>
      </c>
      <c r="AB6" s="301">
        <f t="shared" ca="1" si="13"/>
        <v>1</v>
      </c>
      <c r="AC6" s="301">
        <f t="shared" ca="1" si="14"/>
        <v>0</v>
      </c>
      <c r="AD6" s="116"/>
      <c r="AE6" s="66"/>
      <c r="AF6" s="66"/>
      <c r="AG6" s="116"/>
      <c r="AH6" s="66"/>
      <c r="AI6" s="66"/>
    </row>
    <row r="7" spans="1:35" ht="15" customHeight="1" x14ac:dyDescent="0.25">
      <c r="A7" s="44" t="s">
        <v>1280</v>
      </c>
      <c r="B7" s="1">
        <f>Results!B7</f>
        <v>38</v>
      </c>
      <c r="C7" s="45">
        <f>COUNTIF(D$2:D7,D7)+COUNTIF(G$2:G7,D7)</f>
        <v>1</v>
      </c>
      <c r="D7" s="46" t="str">
        <f>Results!D7</f>
        <v>Qatar</v>
      </c>
      <c r="E7" s="1">
        <f>Results!E7</f>
        <v>18</v>
      </c>
      <c r="F7" s="45">
        <f>COUNTIF(D$2:D7,G7)+COUNTIF(G$2:G7,G7)</f>
        <v>1</v>
      </c>
      <c r="G7" s="46" t="str">
        <f>Results!G7</f>
        <v>Switzerland</v>
      </c>
      <c r="H7" s="1">
        <f>IF(Results!H7="",AB7,Results!H7)</f>
        <v>1</v>
      </c>
      <c r="I7" s="1">
        <f>IF(Results!I7="",AC7,Results!I7)</f>
        <v>1</v>
      </c>
      <c r="J7" s="305"/>
      <c r="K7" s="305"/>
      <c r="L7" s="305"/>
      <c r="M7" s="305"/>
      <c r="N7" s="66">
        <f t="shared" si="0"/>
        <v>2</v>
      </c>
      <c r="O7" s="65">
        <f t="shared" si="1"/>
        <v>0</v>
      </c>
      <c r="P7" s="89">
        <f t="shared" si="2"/>
        <v>1450</v>
      </c>
      <c r="Q7" s="89">
        <f t="shared" si="3"/>
        <v>1650</v>
      </c>
      <c r="R7" s="92">
        <f t="shared" si="15"/>
        <v>-200</v>
      </c>
      <c r="S7" s="50">
        <f t="shared" si="5"/>
        <v>0.23888999999999999</v>
      </c>
      <c r="T7" s="50">
        <f t="shared" si="6"/>
        <v>0.15579171605</v>
      </c>
      <c r="U7" s="50">
        <f t="shared" si="16"/>
        <v>0.1661965678999999</v>
      </c>
      <c r="V7" s="50">
        <f t="shared" si="7"/>
        <v>0.6780117160500001</v>
      </c>
      <c r="W7" s="55">
        <f t="shared" si="8"/>
        <v>0.16619656789999998</v>
      </c>
      <c r="X7" s="55">
        <f t="shared" si="9"/>
        <v>0.234375</v>
      </c>
      <c r="Y7" s="116">
        <f t="shared" ca="1" si="10"/>
        <v>0.93068780930591111</v>
      </c>
      <c r="Z7" s="66">
        <f t="shared" ca="1" si="11"/>
        <v>3</v>
      </c>
      <c r="AA7" s="116">
        <f t="shared" ca="1" si="12"/>
        <v>0.89777139678663387</v>
      </c>
      <c r="AB7" s="301">
        <f t="shared" ca="1" si="13"/>
        <v>1</v>
      </c>
      <c r="AC7" s="301">
        <f t="shared" ca="1" si="14"/>
        <v>4</v>
      </c>
      <c r="AD7" s="116"/>
      <c r="AE7" s="66"/>
      <c r="AF7" s="66"/>
      <c r="AG7" s="116"/>
      <c r="AH7" s="66"/>
      <c r="AI7" s="66"/>
    </row>
    <row r="8" spans="1:35" ht="15" customHeight="1" x14ac:dyDescent="0.25">
      <c r="A8" s="44" t="s">
        <v>1281</v>
      </c>
      <c r="B8" s="1">
        <f>Results!B8</f>
        <v>6</v>
      </c>
      <c r="C8" s="45">
        <f>COUNTIF(D$2:D8,D8)+COUNTIF(G$2:G8,D8)</f>
        <v>1</v>
      </c>
      <c r="D8" s="46" t="str">
        <f>Results!D8</f>
        <v>Brazil</v>
      </c>
      <c r="E8" s="1">
        <f>Results!E8</f>
        <v>7</v>
      </c>
      <c r="F8" s="45">
        <f>COUNTIF(D$2:D8,G8)+COUNTIF(G$2:G8,G8)</f>
        <v>1</v>
      </c>
      <c r="G8" s="46" t="str">
        <f>Results!G8</f>
        <v>Morocco</v>
      </c>
      <c r="H8" s="1">
        <f>IF(Results!H8="",AB8,Results!H8)</f>
        <v>1</v>
      </c>
      <c r="I8" s="1">
        <f>IF(Results!I8="",AC8,Results!I8)</f>
        <v>1</v>
      </c>
      <c r="J8" s="305"/>
      <c r="K8" s="305"/>
      <c r="L8" s="305"/>
      <c r="M8" s="305"/>
      <c r="N8" s="66">
        <f t="shared" si="0"/>
        <v>2</v>
      </c>
      <c r="O8" s="65">
        <f t="shared" si="1"/>
        <v>0</v>
      </c>
      <c r="P8" s="89">
        <f t="shared" si="2"/>
        <v>1788</v>
      </c>
      <c r="Q8" s="89">
        <f t="shared" si="3"/>
        <v>1695</v>
      </c>
      <c r="R8" s="92">
        <f t="shared" si="15"/>
        <v>93</v>
      </c>
      <c r="S8" s="50">
        <f t="shared" si="5"/>
        <v>0.63143000000000005</v>
      </c>
      <c r="T8" s="50">
        <f t="shared" si="6"/>
        <v>0.52287942245000008</v>
      </c>
      <c r="U8" s="50">
        <f t="shared" si="16"/>
        <v>0.21710115510000005</v>
      </c>
      <c r="V8" s="50">
        <f t="shared" si="7"/>
        <v>0.26001942244999993</v>
      </c>
      <c r="W8" s="55">
        <f t="shared" si="8"/>
        <v>0.2171011551</v>
      </c>
      <c r="X8" s="55">
        <f t="shared" si="9"/>
        <v>0.234375</v>
      </c>
      <c r="Y8" s="116">
        <f t="shared" ca="1" si="10"/>
        <v>0.92528113887657792</v>
      </c>
      <c r="Z8" s="66">
        <f t="shared" ca="1" si="11"/>
        <v>3</v>
      </c>
      <c r="AA8" s="116">
        <f t="shared" ca="1" si="12"/>
        <v>0.71264123110730282</v>
      </c>
      <c r="AB8" s="301">
        <f t="shared" ca="1" si="13"/>
        <v>1</v>
      </c>
      <c r="AC8" s="301">
        <f t="shared" ca="1" si="14"/>
        <v>2</v>
      </c>
      <c r="AD8" s="116"/>
      <c r="AE8" s="66"/>
      <c r="AF8" s="66"/>
      <c r="AG8" s="116"/>
      <c r="AH8" s="66"/>
      <c r="AI8" s="66"/>
    </row>
    <row r="9" spans="1:35" ht="15" customHeight="1" x14ac:dyDescent="0.25">
      <c r="A9" s="44" t="s">
        <v>1282</v>
      </c>
      <c r="B9" s="1">
        <f>Results!B9</f>
        <v>47</v>
      </c>
      <c r="C9" s="45">
        <f>COUNTIF(D$2:D9,D9)+COUNTIF(G$2:G9,D9)</f>
        <v>1</v>
      </c>
      <c r="D9" s="46" t="str">
        <f>Results!D9</f>
        <v>Haiti</v>
      </c>
      <c r="E9" s="1">
        <f>Results!E9</f>
        <v>34</v>
      </c>
      <c r="F9" s="45">
        <f>COUNTIF(D$2:D9,G9)+COUNTIF(G$2:G9,G9)</f>
        <v>1</v>
      </c>
      <c r="G9" s="46" t="str">
        <f>Results!G9</f>
        <v>Scotland</v>
      </c>
      <c r="H9" s="1">
        <f>IF(Results!H9="",AB9,Results!H9)</f>
        <v>0</v>
      </c>
      <c r="I9" s="1">
        <f>IF(Results!I9="",AC9,Results!I9)</f>
        <v>1</v>
      </c>
      <c r="J9" s="305"/>
      <c r="K9" s="305"/>
      <c r="L9" s="305"/>
      <c r="M9" s="305"/>
      <c r="N9" s="66">
        <f t="shared" si="0"/>
        <v>3</v>
      </c>
      <c r="O9" s="65">
        <f t="shared" si="1"/>
        <v>0</v>
      </c>
      <c r="P9" s="89">
        <f t="shared" si="2"/>
        <v>1293</v>
      </c>
      <c r="Q9" s="89">
        <f t="shared" si="3"/>
        <v>1533</v>
      </c>
      <c r="R9" s="92">
        <f t="shared" si="15"/>
        <v>-240</v>
      </c>
      <c r="S9" s="50">
        <f t="shared" si="5"/>
        <v>0.19700000000000001</v>
      </c>
      <c r="T9" s="50">
        <f t="shared" si="6"/>
        <v>0.12571700000000002</v>
      </c>
      <c r="U9" s="50">
        <f t="shared" si="16"/>
        <v>0.14256600000000003</v>
      </c>
      <c r="V9" s="50">
        <f t="shared" si="7"/>
        <v>0.73171699999999995</v>
      </c>
      <c r="W9" s="55">
        <f t="shared" si="8"/>
        <v>0.142566</v>
      </c>
      <c r="X9" s="55">
        <f t="shared" si="9"/>
        <v>0.234375</v>
      </c>
      <c r="Y9" s="116">
        <f t="shared" ca="1" si="10"/>
        <v>0.58811199431604877</v>
      </c>
      <c r="Z9" s="66">
        <f t="shared" ca="1" si="11"/>
        <v>3</v>
      </c>
      <c r="AA9" s="116">
        <f t="shared" ca="1" si="12"/>
        <v>0.43709384135676599</v>
      </c>
      <c r="AB9" s="301">
        <f t="shared" ca="1" si="13"/>
        <v>0</v>
      </c>
      <c r="AC9" s="301">
        <f t="shared" ca="1" si="14"/>
        <v>3</v>
      </c>
      <c r="AD9" s="116"/>
      <c r="AE9" s="66"/>
      <c r="AF9" s="66"/>
      <c r="AG9" s="116"/>
      <c r="AH9" s="66"/>
      <c r="AI9" s="66"/>
    </row>
    <row r="10" spans="1:35" ht="15" customHeight="1" x14ac:dyDescent="0.25">
      <c r="A10" s="44" t="s">
        <v>1283</v>
      </c>
      <c r="B10" s="1">
        <f>Results!B10</f>
        <v>24</v>
      </c>
      <c r="C10" s="45">
        <f>COUNTIF(D$2:D10,D10)+COUNTIF(G$2:G10,D10)</f>
        <v>1</v>
      </c>
      <c r="D10" s="46" t="str">
        <f>Results!D10</f>
        <v>Australia</v>
      </c>
      <c r="E10" s="1">
        <f>Results!E10</f>
        <v>20</v>
      </c>
      <c r="F10" s="45">
        <f>COUNTIF(D$2:D10,G10)+COUNTIF(G$2:G10,G10)</f>
        <v>1</v>
      </c>
      <c r="G10" s="46" t="str">
        <f>Results!G10</f>
        <v>Turkiye</v>
      </c>
      <c r="H10" s="1">
        <f>IF(Results!H10="",AB10,Results!H10)</f>
        <v>2</v>
      </c>
      <c r="I10" s="1">
        <f>IF(Results!I10="",AC10,Results!I10)</f>
        <v>0</v>
      </c>
      <c r="J10" s="305"/>
      <c r="K10" s="305"/>
      <c r="L10" s="305"/>
      <c r="M10" s="305"/>
      <c r="N10" s="66">
        <f t="shared" si="0"/>
        <v>1</v>
      </c>
      <c r="O10" s="65">
        <f t="shared" si="1"/>
        <v>0</v>
      </c>
      <c r="P10" s="89">
        <f t="shared" si="2"/>
        <v>1549</v>
      </c>
      <c r="Q10" s="89">
        <f t="shared" si="3"/>
        <v>1606</v>
      </c>
      <c r="R10" s="92">
        <f t="shared" si="15"/>
        <v>-57</v>
      </c>
      <c r="S10" s="50">
        <f t="shared" si="5"/>
        <v>0.41749999999999998</v>
      </c>
      <c r="T10" s="50">
        <f t="shared" si="6"/>
        <v>0.30371562499999999</v>
      </c>
      <c r="U10" s="50">
        <f t="shared" si="16"/>
        <v>0.22756874999999993</v>
      </c>
      <c r="V10" s="50">
        <f t="shared" si="7"/>
        <v>0.46871562500000008</v>
      </c>
      <c r="W10" s="55">
        <f t="shared" si="8"/>
        <v>0.22756874999999999</v>
      </c>
      <c r="X10" s="55">
        <f t="shared" si="9"/>
        <v>0.234375</v>
      </c>
      <c r="Y10" s="116">
        <f t="shared" ca="1" si="10"/>
        <v>0.82328270358425049</v>
      </c>
      <c r="Z10" s="66">
        <f t="shared" ca="1" si="11"/>
        <v>3</v>
      </c>
      <c r="AA10" s="116">
        <f t="shared" ca="1" si="12"/>
        <v>0.62297545251291886</v>
      </c>
      <c r="AB10" s="301">
        <f t="shared" ca="1" si="13"/>
        <v>1</v>
      </c>
      <c r="AC10" s="301">
        <f t="shared" ca="1" si="14"/>
        <v>2</v>
      </c>
      <c r="AD10" s="116"/>
      <c r="AE10" s="66"/>
      <c r="AF10" s="66"/>
      <c r="AG10" s="116"/>
      <c r="AH10" s="66"/>
      <c r="AI10" s="66"/>
    </row>
    <row r="11" spans="1:35" ht="15" customHeight="1" x14ac:dyDescent="0.25">
      <c r="A11" s="44" t="s">
        <v>1284</v>
      </c>
      <c r="B11" s="1">
        <f>Results!B11</f>
        <v>10</v>
      </c>
      <c r="C11" s="45">
        <f>COUNTIF(D$2:D11,D11)+COUNTIF(G$2:G11,D11)</f>
        <v>1</v>
      </c>
      <c r="D11" s="46" t="str">
        <f>Results!D11</f>
        <v>Germany</v>
      </c>
      <c r="E11" s="1">
        <f>Results!E11</f>
        <v>46</v>
      </c>
      <c r="F11" s="45">
        <f>COUNTIF(D$2:D11,G11)+COUNTIF(G$2:G11,G11)</f>
        <v>1</v>
      </c>
      <c r="G11" s="46" t="str">
        <f>Results!G11</f>
        <v>Curaçao</v>
      </c>
      <c r="H11" s="1">
        <f>IF(Results!H11="",AB11,Results!H11)</f>
        <v>7</v>
      </c>
      <c r="I11" s="1">
        <f>IF(Results!I11="",AC11,Results!I11)</f>
        <v>1</v>
      </c>
      <c r="J11" s="305"/>
      <c r="K11" s="305"/>
      <c r="L11" s="305"/>
      <c r="M11" s="305"/>
      <c r="N11" s="66">
        <f t="shared" si="0"/>
        <v>1</v>
      </c>
      <c r="O11" s="65">
        <f t="shared" si="1"/>
        <v>2</v>
      </c>
      <c r="P11" s="89">
        <f t="shared" si="2"/>
        <v>1771</v>
      </c>
      <c r="Q11" s="89">
        <f t="shared" si="3"/>
        <v>1295</v>
      </c>
      <c r="R11" s="92">
        <f t="shared" si="15"/>
        <v>476</v>
      </c>
      <c r="S11" s="50">
        <f t="shared" si="5"/>
        <v>0.95679000000000003</v>
      </c>
      <c r="T11" s="50">
        <f t="shared" si="6"/>
        <v>0.94393105205000005</v>
      </c>
      <c r="U11" s="50">
        <f t="shared" si="16"/>
        <v>2.5717895899999954E-2</v>
      </c>
      <c r="V11" s="50">
        <f t="shared" si="7"/>
        <v>3.0351052049999966E-2</v>
      </c>
      <c r="W11" s="55">
        <f t="shared" si="8"/>
        <v>2.5717895899999982E-2</v>
      </c>
      <c r="X11" s="55">
        <f t="shared" si="9"/>
        <v>0.234375</v>
      </c>
      <c r="Y11" s="116">
        <f t="shared" ca="1" si="10"/>
        <v>0.22336723706004669</v>
      </c>
      <c r="Z11" s="66">
        <f t="shared" ca="1" si="11"/>
        <v>1</v>
      </c>
      <c r="AA11" s="116">
        <f t="shared" ca="1" si="12"/>
        <v>0.23663511924408534</v>
      </c>
      <c r="AB11" s="301">
        <f t="shared" ca="1" si="13"/>
        <v>1</v>
      </c>
      <c r="AC11" s="301">
        <f t="shared" ca="1" si="14"/>
        <v>0</v>
      </c>
      <c r="AD11" s="116"/>
      <c r="AE11" s="66"/>
      <c r="AF11" s="66"/>
      <c r="AG11" s="116"/>
      <c r="AH11" s="66"/>
      <c r="AI11" s="66"/>
    </row>
    <row r="12" spans="1:35" ht="15" customHeight="1" x14ac:dyDescent="0.25">
      <c r="A12" s="44" t="s">
        <v>1285</v>
      </c>
      <c r="B12" s="1">
        <f>Results!B12</f>
        <v>8</v>
      </c>
      <c r="C12" s="45">
        <f>COUNTIF(D$2:D12,D12)+COUNTIF(G$2:G12,D12)</f>
        <v>1</v>
      </c>
      <c r="D12" s="46" t="str">
        <f>Results!D12</f>
        <v>Netherlands</v>
      </c>
      <c r="E12" s="1">
        <f>Results!E12</f>
        <v>17</v>
      </c>
      <c r="F12" s="45">
        <f>COUNTIF(D$2:D12,G12)+COUNTIF(G$2:G12,G12)</f>
        <v>1</v>
      </c>
      <c r="G12" s="46" t="str">
        <f>Results!G12</f>
        <v>Japan</v>
      </c>
      <c r="H12" s="1">
        <f>IF(Results!H12="",AB12,Results!H12)</f>
        <v>2</v>
      </c>
      <c r="I12" s="1">
        <f>IF(Results!I12="",AC12,Results!I12)</f>
        <v>2</v>
      </c>
      <c r="J12" s="305"/>
      <c r="K12" s="305"/>
      <c r="L12" s="305"/>
      <c r="M12" s="305"/>
      <c r="N12" s="66">
        <f t="shared" si="0"/>
        <v>2</v>
      </c>
      <c r="O12" s="65">
        <f t="shared" si="1"/>
        <v>0</v>
      </c>
      <c r="P12" s="89">
        <f t="shared" si="2"/>
        <v>1749</v>
      </c>
      <c r="Q12" s="89">
        <f t="shared" si="3"/>
        <v>1662</v>
      </c>
      <c r="R12" s="92">
        <f t="shared" si="15"/>
        <v>87</v>
      </c>
      <c r="S12" s="50">
        <f t="shared" si="5"/>
        <v>0.62375000000000003</v>
      </c>
      <c r="T12" s="50">
        <f t="shared" si="6"/>
        <v>0.51421953124999997</v>
      </c>
      <c r="U12" s="50">
        <f t="shared" si="16"/>
        <v>0.2190609375</v>
      </c>
      <c r="V12" s="50">
        <f t="shared" si="7"/>
        <v>0.26671953125000003</v>
      </c>
      <c r="W12" s="55">
        <f t="shared" si="8"/>
        <v>0.2190609375</v>
      </c>
      <c r="X12" s="55">
        <f t="shared" si="9"/>
        <v>0.234375</v>
      </c>
      <c r="Y12" s="116">
        <f t="shared" ca="1" si="10"/>
        <v>0.55453876527836343</v>
      </c>
      <c r="Z12" s="66">
        <f t="shared" ca="1" si="11"/>
        <v>2</v>
      </c>
      <c r="AA12" s="116">
        <f t="shared" ca="1" si="12"/>
        <v>0.18405487755371019</v>
      </c>
      <c r="AB12" s="301">
        <f t="shared" ca="1" si="13"/>
        <v>0</v>
      </c>
      <c r="AC12" s="301">
        <f t="shared" ca="1" si="14"/>
        <v>0</v>
      </c>
      <c r="AD12" s="116"/>
      <c r="AE12" s="66"/>
      <c r="AF12" s="66"/>
      <c r="AG12" s="116"/>
      <c r="AH12" s="66"/>
      <c r="AI12" s="66"/>
    </row>
    <row r="13" spans="1:35" ht="15" customHeight="1" x14ac:dyDescent="0.25">
      <c r="A13" s="44" t="s">
        <v>1286</v>
      </c>
      <c r="B13" s="1">
        <f>Results!B13</f>
        <v>29</v>
      </c>
      <c r="C13" s="45">
        <f>COUNTIF(D$2:D13,D13)+COUNTIF(G$2:G13,D13)</f>
        <v>1</v>
      </c>
      <c r="D13" s="46" t="str">
        <f>Results!D13</f>
        <v>Cote d'Ivorie</v>
      </c>
      <c r="E13" s="1">
        <f>Results!E13</f>
        <v>21</v>
      </c>
      <c r="F13" s="45">
        <f>COUNTIF(D$2:D13,G13)+COUNTIF(G$2:G13,G13)</f>
        <v>1</v>
      </c>
      <c r="G13" s="46" t="str">
        <f>Results!G13</f>
        <v>Ecuador</v>
      </c>
      <c r="H13" s="1">
        <f>IF(Results!H13="",AB13,Results!H13)</f>
        <v>1</v>
      </c>
      <c r="I13" s="1">
        <f>IF(Results!I13="",AC13,Results!I13)</f>
        <v>0</v>
      </c>
      <c r="J13" s="305"/>
      <c r="K13" s="305"/>
      <c r="L13" s="305"/>
      <c r="M13" s="305"/>
      <c r="N13" s="66">
        <f t="shared" si="0"/>
        <v>1</v>
      </c>
      <c r="O13" s="65">
        <f t="shared" si="1"/>
        <v>0</v>
      </c>
      <c r="P13" s="89">
        <f t="shared" si="2"/>
        <v>1461</v>
      </c>
      <c r="Q13" s="89">
        <f t="shared" si="3"/>
        <v>1599</v>
      </c>
      <c r="R13" s="92">
        <f t="shared" si="15"/>
        <v>-138</v>
      </c>
      <c r="S13" s="50">
        <f t="shared" si="5"/>
        <v>0.31125000000000003</v>
      </c>
      <c r="T13" s="50">
        <f t="shared" si="6"/>
        <v>0.21187578125000001</v>
      </c>
      <c r="U13" s="50">
        <f t="shared" si="16"/>
        <v>0.1987484375000001</v>
      </c>
      <c r="V13" s="50">
        <f t="shared" si="7"/>
        <v>0.5893757812499999</v>
      </c>
      <c r="W13" s="55">
        <f t="shared" si="8"/>
        <v>0.19874843750000001</v>
      </c>
      <c r="X13" s="55">
        <f t="shared" si="9"/>
        <v>0.234375</v>
      </c>
      <c r="Y13" s="116">
        <f t="shared" ca="1" si="10"/>
        <v>0.40706806070101886</v>
      </c>
      <c r="Z13" s="66">
        <f t="shared" ca="1" si="11"/>
        <v>2</v>
      </c>
      <c r="AA13" s="116">
        <f t="shared" ca="1" si="12"/>
        <v>0.98210724021927853</v>
      </c>
      <c r="AB13" s="301">
        <f t="shared" ca="1" si="13"/>
        <v>2</v>
      </c>
      <c r="AC13" s="301">
        <f t="shared" ca="1" si="14"/>
        <v>2</v>
      </c>
      <c r="AD13" s="116"/>
      <c r="AE13" s="66"/>
      <c r="AF13" s="66"/>
      <c r="AG13" s="116"/>
      <c r="AH13" s="66"/>
      <c r="AI13" s="66"/>
    </row>
    <row r="14" spans="1:35" ht="15" customHeight="1" x14ac:dyDescent="0.25">
      <c r="A14" s="44" t="s">
        <v>1287</v>
      </c>
      <c r="B14" s="1">
        <f>Results!B14</f>
        <v>31</v>
      </c>
      <c r="C14" s="45">
        <f>COUNTIF(D$2:D14,D14)+COUNTIF(G$2:G14,D14)</f>
        <v>1</v>
      </c>
      <c r="D14" s="46" t="str">
        <f>Results!D14</f>
        <v>Sweden</v>
      </c>
      <c r="E14" s="1">
        <f>Results!E14</f>
        <v>35</v>
      </c>
      <c r="F14" s="45">
        <f>COUNTIF(D$2:D14,G14)+COUNTIF(G$2:G14,G14)</f>
        <v>1</v>
      </c>
      <c r="G14" s="46" t="str">
        <f>Results!G14</f>
        <v>Tunisia</v>
      </c>
      <c r="H14" s="1">
        <f>IF(Results!H14="",AB14,Results!H14)</f>
        <v>5</v>
      </c>
      <c r="I14" s="1">
        <f>IF(Results!I14="",AC14,Results!I14)</f>
        <v>1</v>
      </c>
      <c r="J14" s="305"/>
      <c r="K14" s="305"/>
      <c r="L14" s="305"/>
      <c r="M14" s="305"/>
      <c r="N14" s="66">
        <f t="shared" si="0"/>
        <v>1</v>
      </c>
      <c r="O14" s="65">
        <f t="shared" si="1"/>
        <v>2</v>
      </c>
      <c r="P14" s="89">
        <f t="shared" si="2"/>
        <v>1560</v>
      </c>
      <c r="Q14" s="89">
        <f t="shared" si="3"/>
        <v>1506</v>
      </c>
      <c r="R14" s="92">
        <f t="shared" si="15"/>
        <v>54</v>
      </c>
      <c r="S14" s="50">
        <f t="shared" si="5"/>
        <v>0.57999999999999996</v>
      </c>
      <c r="T14" s="50">
        <f t="shared" si="6"/>
        <v>0.46601249999999994</v>
      </c>
      <c r="U14" s="50">
        <f t="shared" si="16"/>
        <v>0.22797500000000004</v>
      </c>
      <c r="V14" s="50">
        <f t="shared" si="7"/>
        <v>0.30601250000000002</v>
      </c>
      <c r="W14" s="55">
        <f t="shared" si="8"/>
        <v>0.22797500000000001</v>
      </c>
      <c r="X14" s="55">
        <f t="shared" si="9"/>
        <v>0.234375</v>
      </c>
      <c r="Y14" s="116">
        <f t="shared" ca="1" si="10"/>
        <v>0.61329232037853121</v>
      </c>
      <c r="Z14" s="66">
        <f t="shared" ca="1" si="11"/>
        <v>2</v>
      </c>
      <c r="AA14" s="116">
        <f t="shared" ca="1" si="12"/>
        <v>0.64603496163408813</v>
      </c>
      <c r="AB14" s="301">
        <f t="shared" ca="1" si="13"/>
        <v>1</v>
      </c>
      <c r="AC14" s="301">
        <f t="shared" ca="1" si="14"/>
        <v>1</v>
      </c>
      <c r="AD14" s="116"/>
      <c r="AE14" s="66"/>
      <c r="AF14" s="66"/>
      <c r="AG14" s="116"/>
      <c r="AH14" s="66"/>
      <c r="AI14" s="66"/>
    </row>
    <row r="15" spans="1:35" ht="15" customHeight="1" x14ac:dyDescent="0.25">
      <c r="A15" s="44" t="s">
        <v>1288</v>
      </c>
      <c r="B15" s="1">
        <f>Results!B15</f>
        <v>2</v>
      </c>
      <c r="C15" s="45">
        <f>COUNTIF(D$2:D15,D15)+COUNTIF(G$2:G15,D15)</f>
        <v>1</v>
      </c>
      <c r="D15" s="46" t="str">
        <f>Results!D15</f>
        <v>Spain</v>
      </c>
      <c r="E15" s="1">
        <f>Results!E15</f>
        <v>44</v>
      </c>
      <c r="F15" s="45">
        <f>COUNTIF(D$2:D15,G15)+COUNTIF(G$2:G15,G15)</f>
        <v>1</v>
      </c>
      <c r="G15" s="46" t="str">
        <f>Results!G15</f>
        <v>Cabo Verde</v>
      </c>
      <c r="H15" s="1">
        <f>IF(Results!H15="",AB15,Results!H15)</f>
        <v>0</v>
      </c>
      <c r="I15" s="1">
        <f>IF(Results!I15="",AC15,Results!I15)</f>
        <v>0</v>
      </c>
      <c r="J15" s="305"/>
      <c r="K15" s="305"/>
      <c r="L15" s="305"/>
      <c r="M15" s="305"/>
      <c r="N15" s="66">
        <f t="shared" si="0"/>
        <v>2</v>
      </c>
      <c r="O15" s="65">
        <f t="shared" si="1"/>
        <v>0</v>
      </c>
      <c r="P15" s="89">
        <f t="shared" si="2"/>
        <v>1835</v>
      </c>
      <c r="Q15" s="89">
        <f t="shared" si="3"/>
        <v>1371</v>
      </c>
      <c r="R15" s="92">
        <f t="shared" si="15"/>
        <v>464</v>
      </c>
      <c r="S15" s="50">
        <f t="shared" si="5"/>
        <v>0.95250000000000001</v>
      </c>
      <c r="T15" s="50">
        <f t="shared" si="6"/>
        <v>0.937690625</v>
      </c>
      <c r="U15" s="50">
        <f t="shared" si="16"/>
        <v>2.9618750000000027E-2</v>
      </c>
      <c r="V15" s="50">
        <f t="shared" si="7"/>
        <v>3.2690625000000001E-2</v>
      </c>
      <c r="W15" s="55">
        <f t="shared" si="8"/>
        <v>2.9618749999999999E-2</v>
      </c>
      <c r="X15" s="55">
        <f t="shared" si="9"/>
        <v>0.234375</v>
      </c>
      <c r="Y15" s="116">
        <f t="shared" ca="1" si="10"/>
        <v>0.27742885033308351</v>
      </c>
      <c r="Z15" s="66">
        <f t="shared" ca="1" si="11"/>
        <v>1</v>
      </c>
      <c r="AA15" s="116">
        <f t="shared" ca="1" si="12"/>
        <v>0.29586394801919186</v>
      </c>
      <c r="AB15" s="301">
        <f t="shared" ca="1" si="13"/>
        <v>2</v>
      </c>
      <c r="AC15" s="301">
        <f t="shared" ca="1" si="14"/>
        <v>0</v>
      </c>
      <c r="AD15" s="116"/>
      <c r="AE15" s="66"/>
      <c r="AF15" s="66"/>
      <c r="AG15" s="116"/>
      <c r="AH15" s="66"/>
      <c r="AI15" s="66"/>
    </row>
    <row r="16" spans="1:35" ht="15" customHeight="1" x14ac:dyDescent="0.25">
      <c r="A16" s="44" t="s">
        <v>1289</v>
      </c>
      <c r="B16" s="1">
        <f>Results!B16</f>
        <v>9</v>
      </c>
      <c r="C16" s="45">
        <f>COUNTIF(D$2:D16,D16)+COUNTIF(G$2:G16,D16)</f>
        <v>1</v>
      </c>
      <c r="D16" s="46" t="str">
        <f>Results!D16</f>
        <v>Belgium</v>
      </c>
      <c r="E16" s="1">
        <f>Results!E16</f>
        <v>26</v>
      </c>
      <c r="F16" s="45">
        <f>COUNTIF(D$2:D16,G16)+COUNTIF(G$2:G16,G16)</f>
        <v>1</v>
      </c>
      <c r="G16" s="46" t="str">
        <f>Results!G16</f>
        <v>Egypt</v>
      </c>
      <c r="H16" s="1">
        <f>IF(Results!H16="",AB16,Results!H16)</f>
        <v>1</v>
      </c>
      <c r="I16" s="1">
        <f>IF(Results!I16="",AC16,Results!I16)</f>
        <v>1</v>
      </c>
      <c r="J16" s="305"/>
      <c r="K16" s="305"/>
      <c r="L16" s="305"/>
      <c r="M16" s="305"/>
      <c r="N16" s="66">
        <f t="shared" si="0"/>
        <v>2</v>
      </c>
      <c r="O16" s="65">
        <f t="shared" si="1"/>
        <v>0</v>
      </c>
      <c r="P16" s="89">
        <f t="shared" si="2"/>
        <v>1735</v>
      </c>
      <c r="Q16" s="89">
        <f t="shared" si="3"/>
        <v>1562</v>
      </c>
      <c r="R16" s="92">
        <f t="shared" si="15"/>
        <v>173</v>
      </c>
      <c r="S16" s="50">
        <f t="shared" si="5"/>
        <v>0.73221999999999998</v>
      </c>
      <c r="T16" s="50">
        <f t="shared" si="6"/>
        <v>0.64199556419999992</v>
      </c>
      <c r="U16" s="50">
        <f t="shared" si="16"/>
        <v>0.1804488716</v>
      </c>
      <c r="V16" s="50">
        <f t="shared" si="7"/>
        <v>0.17755556420000007</v>
      </c>
      <c r="W16" s="55">
        <f t="shared" si="8"/>
        <v>0.1804488716</v>
      </c>
      <c r="X16" s="55">
        <f t="shared" si="9"/>
        <v>0.234375</v>
      </c>
      <c r="Y16" s="116">
        <f t="shared" ca="1" si="10"/>
        <v>0.89078331441320524</v>
      </c>
      <c r="Z16" s="66">
        <f t="shared" ca="1" si="11"/>
        <v>3</v>
      </c>
      <c r="AA16" s="116">
        <f t="shared" ca="1" si="12"/>
        <v>0.38488728258736982</v>
      </c>
      <c r="AB16" s="301">
        <f t="shared" ca="1" si="13"/>
        <v>0</v>
      </c>
      <c r="AC16" s="301">
        <f t="shared" ca="1" si="14"/>
        <v>2</v>
      </c>
      <c r="AD16" s="116"/>
      <c r="AE16" s="66"/>
      <c r="AF16" s="66"/>
      <c r="AG16" s="116"/>
      <c r="AH16" s="66"/>
      <c r="AI16" s="66"/>
    </row>
    <row r="17" spans="1:35" ht="15" customHeight="1" x14ac:dyDescent="0.25">
      <c r="A17" s="44" t="s">
        <v>1290</v>
      </c>
      <c r="B17" s="1">
        <f>Results!B17</f>
        <v>41</v>
      </c>
      <c r="C17" s="45">
        <f>COUNTIF(D$2:D17,D17)+COUNTIF(G$2:G17,D17)</f>
        <v>1</v>
      </c>
      <c r="D17" s="46" t="str">
        <f>Results!D17</f>
        <v>Saudi Arabia</v>
      </c>
      <c r="E17" s="1">
        <f>Results!E17</f>
        <v>15</v>
      </c>
      <c r="F17" s="45">
        <f>COUNTIF(D$2:D17,G17)+COUNTIF(G$2:G17,G17)</f>
        <v>1</v>
      </c>
      <c r="G17" s="46" t="str">
        <f>Results!G17</f>
        <v>Uruguay</v>
      </c>
      <c r="H17" s="1">
        <f>IF(Results!H17="",AB17,Results!H17)</f>
        <v>1</v>
      </c>
      <c r="I17" s="1">
        <f>IF(Results!I17="",AC17,Results!I17)</f>
        <v>1</v>
      </c>
      <c r="J17" s="305"/>
      <c r="K17" s="305"/>
      <c r="L17" s="305"/>
      <c r="M17" s="305"/>
      <c r="N17" s="66">
        <f t="shared" si="0"/>
        <v>2</v>
      </c>
      <c r="O17" s="65">
        <f t="shared" si="1"/>
        <v>0</v>
      </c>
      <c r="P17" s="89">
        <f t="shared" si="2"/>
        <v>1424</v>
      </c>
      <c r="Q17" s="89">
        <f t="shared" si="3"/>
        <v>1673</v>
      </c>
      <c r="R17" s="92">
        <f t="shared" si="15"/>
        <v>-249</v>
      </c>
      <c r="S17" s="50">
        <f t="shared" si="5"/>
        <v>0.18817999999999999</v>
      </c>
      <c r="T17" s="50">
        <f t="shared" si="6"/>
        <v>0.11960835619999999</v>
      </c>
      <c r="U17" s="50">
        <f t="shared" si="16"/>
        <v>0.13714328759999994</v>
      </c>
      <c r="V17" s="50">
        <f t="shared" si="7"/>
        <v>0.74324835620000007</v>
      </c>
      <c r="W17" s="55">
        <f t="shared" si="8"/>
        <v>0.1371432876</v>
      </c>
      <c r="X17" s="55">
        <f t="shared" si="9"/>
        <v>0.234375</v>
      </c>
      <c r="Y17" s="116">
        <f t="shared" ca="1" si="10"/>
        <v>0.34114562419802252</v>
      </c>
      <c r="Z17" s="66">
        <f t="shared" ca="1" si="11"/>
        <v>3</v>
      </c>
      <c r="AA17" s="116">
        <f t="shared" ca="1" si="12"/>
        <v>0.1135474834138928</v>
      </c>
      <c r="AB17" s="301">
        <f t="shared" ca="1" si="13"/>
        <v>0</v>
      </c>
      <c r="AC17" s="301">
        <f t="shared" ca="1" si="14"/>
        <v>1</v>
      </c>
      <c r="AD17" s="116"/>
      <c r="AE17" s="66"/>
      <c r="AF17" s="66"/>
      <c r="AG17" s="116"/>
      <c r="AH17" s="66"/>
      <c r="AI17" s="66"/>
    </row>
    <row r="18" spans="1:35" ht="15" customHeight="1" x14ac:dyDescent="0.25">
      <c r="A18" s="44" t="s">
        <v>1291</v>
      </c>
      <c r="B18" s="1">
        <f>Results!B18</f>
        <v>19</v>
      </c>
      <c r="C18" s="45">
        <f>COUNTIF(D$2:D18,D18)+COUNTIF(G$2:G18,D18)</f>
        <v>1</v>
      </c>
      <c r="D18" s="46" t="str">
        <f>Results!D18</f>
        <v>IR Iran</v>
      </c>
      <c r="E18" s="1">
        <f>Results!E18</f>
        <v>48</v>
      </c>
      <c r="F18" s="45">
        <f>COUNTIF(D$2:D18,G18)+COUNTIF(G$2:G18,G18)</f>
        <v>1</v>
      </c>
      <c r="G18" s="46" t="str">
        <f>Results!G18</f>
        <v>New Zealand</v>
      </c>
      <c r="H18" s="1">
        <f>IF(Results!H18="",AB18,Results!H18)</f>
        <v>2</v>
      </c>
      <c r="I18" s="1">
        <f>IF(Results!I18="",AC18,Results!I18)</f>
        <v>2</v>
      </c>
      <c r="J18" s="305"/>
      <c r="K18" s="305"/>
      <c r="L18" s="305"/>
      <c r="M18" s="305"/>
      <c r="N18" s="66">
        <f t="shared" si="0"/>
        <v>2</v>
      </c>
      <c r="O18" s="65">
        <f t="shared" si="1"/>
        <v>0</v>
      </c>
      <c r="P18" s="89">
        <f t="shared" si="2"/>
        <v>1570</v>
      </c>
      <c r="Q18" s="89">
        <f t="shared" si="3"/>
        <v>1276</v>
      </c>
      <c r="R18" s="92">
        <f t="shared" si="15"/>
        <v>294</v>
      </c>
      <c r="S18" s="50">
        <f t="shared" si="5"/>
        <v>0.85250000000000004</v>
      </c>
      <c r="T18" s="50">
        <f t="shared" si="6"/>
        <v>0.79744062500000001</v>
      </c>
      <c r="U18" s="50">
        <f t="shared" si="16"/>
        <v>0.11011874999999993</v>
      </c>
      <c r="V18" s="50">
        <f t="shared" si="7"/>
        <v>9.2440625000000012E-2</v>
      </c>
      <c r="W18" s="55">
        <f t="shared" si="8"/>
        <v>0.11011874999999997</v>
      </c>
      <c r="X18" s="55">
        <f t="shared" si="9"/>
        <v>0.234375</v>
      </c>
      <c r="Y18" s="116">
        <f t="shared" ca="1" si="10"/>
        <v>0.49540645815359452</v>
      </c>
      <c r="Z18" s="66">
        <f t="shared" ca="1" si="11"/>
        <v>1</v>
      </c>
      <c r="AA18" s="116">
        <f t="shared" ca="1" si="12"/>
        <v>0.62124557317805884</v>
      </c>
      <c r="AB18" s="301">
        <f t="shared" ca="1" si="13"/>
        <v>2</v>
      </c>
      <c r="AC18" s="301">
        <f t="shared" ca="1" si="14"/>
        <v>1</v>
      </c>
      <c r="AD18" s="116"/>
      <c r="AE18" s="66"/>
      <c r="AF18" s="66"/>
      <c r="AG18" s="116"/>
      <c r="AH18" s="66"/>
      <c r="AI18" s="66"/>
    </row>
    <row r="19" spans="1:35" ht="15" customHeight="1" x14ac:dyDescent="0.25">
      <c r="A19" s="44" t="s">
        <v>1292</v>
      </c>
      <c r="B19" s="1">
        <f>Results!B19</f>
        <v>3</v>
      </c>
      <c r="C19" s="45">
        <f>COUNTIF(D$2:D19,D19)+COUNTIF(G$2:G19,D19)</f>
        <v>1</v>
      </c>
      <c r="D19" s="46" t="str">
        <f>Results!D19</f>
        <v>France</v>
      </c>
      <c r="E19" s="1">
        <f>Results!E19</f>
        <v>14</v>
      </c>
      <c r="F19" s="45">
        <f>COUNTIF(D$2:D19,G19)+COUNTIF(G$2:G19,G19)</f>
        <v>1</v>
      </c>
      <c r="G19" s="46" t="str">
        <f>Results!G19</f>
        <v>Senegal</v>
      </c>
      <c r="H19" s="1">
        <f ca="1">IF(Results!H19="",AB19,Results!H19)</f>
        <v>1</v>
      </c>
      <c r="I19" s="1">
        <f ca="1">IF(Results!I19="",AC19,Results!I19)</f>
        <v>1</v>
      </c>
      <c r="J19" s="305"/>
      <c r="K19" s="305"/>
      <c r="L19" s="305"/>
      <c r="M19" s="305"/>
      <c r="N19" s="66">
        <f t="shared" ca="1" si="0"/>
        <v>2</v>
      </c>
      <c r="O19" s="65">
        <f t="shared" ca="1" si="1"/>
        <v>0</v>
      </c>
      <c r="P19" s="89">
        <f t="shared" si="2"/>
        <v>1819</v>
      </c>
      <c r="Q19" s="89">
        <f t="shared" si="3"/>
        <v>1654</v>
      </c>
      <c r="R19" s="92">
        <f t="shared" si="15"/>
        <v>165</v>
      </c>
      <c r="S19" s="50">
        <f t="shared" si="5"/>
        <v>0.72250000000000003</v>
      </c>
      <c r="T19" s="50">
        <f t="shared" si="6"/>
        <v>0.63006562500000007</v>
      </c>
      <c r="U19" s="50">
        <f t="shared" si="16"/>
        <v>0.18486874999999992</v>
      </c>
      <c r="V19" s="50">
        <f t="shared" si="7"/>
        <v>0.18506562499999996</v>
      </c>
      <c r="W19" s="55">
        <f t="shared" si="8"/>
        <v>0.18486874999999997</v>
      </c>
      <c r="X19" s="55">
        <f t="shared" si="9"/>
        <v>0.234375</v>
      </c>
      <c r="Y19" s="116">
        <f t="shared" ca="1" si="10"/>
        <v>0.72911667623927789</v>
      </c>
      <c r="Z19" s="66">
        <f t="shared" ca="1" si="11"/>
        <v>2</v>
      </c>
      <c r="AA19" s="116">
        <f t="shared" ca="1" si="12"/>
        <v>0.53579120992205476</v>
      </c>
      <c r="AB19" s="301">
        <f t="shared" ca="1" si="13"/>
        <v>1</v>
      </c>
      <c r="AC19" s="301">
        <f t="shared" ca="1" si="14"/>
        <v>1</v>
      </c>
      <c r="AD19" s="116"/>
      <c r="AE19" s="66"/>
      <c r="AF19" s="66"/>
      <c r="AG19" s="116"/>
      <c r="AH19" s="66"/>
      <c r="AI19" s="66"/>
    </row>
    <row r="20" spans="1:35" ht="15" customHeight="1" x14ac:dyDescent="0.25">
      <c r="A20" s="44" t="s">
        <v>1293</v>
      </c>
      <c r="B20" s="1">
        <f>Results!B20</f>
        <v>39</v>
      </c>
      <c r="C20" s="45">
        <f>COUNTIF(D$2:D20,D20)+COUNTIF(G$2:G20,D20)</f>
        <v>1</v>
      </c>
      <c r="D20" s="46" t="str">
        <f>Results!D20</f>
        <v>Iraq</v>
      </c>
      <c r="E20" s="1">
        <f>Results!E20</f>
        <v>28</v>
      </c>
      <c r="F20" s="45">
        <f>COUNTIF(D$2:D20,G20)+COUNTIF(G$2:G20,G20)</f>
        <v>1</v>
      </c>
      <c r="G20" s="46" t="str">
        <f>Results!G20</f>
        <v>Norway</v>
      </c>
      <c r="H20" s="1">
        <f ca="1">IF(Results!H20="",AB20,Results!H20)</f>
        <v>1</v>
      </c>
      <c r="I20" s="1">
        <f ca="1">IF(Results!I20="",AC20,Results!I20)</f>
        <v>1</v>
      </c>
      <c r="J20" s="305"/>
      <c r="K20" s="305"/>
      <c r="L20" s="305"/>
      <c r="M20" s="305"/>
      <c r="N20" s="66">
        <f t="shared" ca="1" si="0"/>
        <v>2</v>
      </c>
      <c r="O20" s="65">
        <f t="shared" ca="1" si="1"/>
        <v>0</v>
      </c>
      <c r="P20" s="89">
        <f t="shared" si="2"/>
        <v>1446</v>
      </c>
      <c r="Q20" s="89">
        <f t="shared" si="3"/>
        <v>1637</v>
      </c>
      <c r="R20" s="92">
        <f t="shared" si="15"/>
        <v>-191</v>
      </c>
      <c r="S20" s="50">
        <f t="shared" si="5"/>
        <v>0.24889</v>
      </c>
      <c r="T20" s="50">
        <f t="shared" si="6"/>
        <v>0.16323061605</v>
      </c>
      <c r="U20" s="50">
        <f t="shared" si="16"/>
        <v>0.1713187679</v>
      </c>
      <c r="V20" s="50">
        <f t="shared" si="7"/>
        <v>0.66545061605</v>
      </c>
      <c r="W20" s="55">
        <f t="shared" si="8"/>
        <v>0.1713187679</v>
      </c>
      <c r="X20" s="55">
        <f t="shared" si="9"/>
        <v>0.234375</v>
      </c>
      <c r="Y20" s="116">
        <f t="shared" ca="1" si="10"/>
        <v>0.26018658993219068</v>
      </c>
      <c r="Z20" s="66">
        <f t="shared" ca="1" si="11"/>
        <v>2</v>
      </c>
      <c r="AA20" s="116">
        <f t="shared" ca="1" si="12"/>
        <v>0.56593900989752965</v>
      </c>
      <c r="AB20" s="301">
        <f t="shared" ca="1" si="13"/>
        <v>1</v>
      </c>
      <c r="AC20" s="301">
        <f t="shared" ca="1" si="14"/>
        <v>1</v>
      </c>
      <c r="AD20" s="116"/>
      <c r="AE20" s="66"/>
      <c r="AF20" s="66"/>
      <c r="AG20" s="116"/>
      <c r="AH20" s="66"/>
      <c r="AI20" s="66"/>
    </row>
    <row r="21" spans="1:35" ht="15" customHeight="1" x14ac:dyDescent="0.25">
      <c r="A21" s="44" t="s">
        <v>1294</v>
      </c>
      <c r="B21" s="1">
        <f>Results!B21</f>
        <v>1</v>
      </c>
      <c r="C21" s="45">
        <f>COUNTIF(D$2:D21,D21)+COUNTIF(G$2:G21,D21)</f>
        <v>1</v>
      </c>
      <c r="D21" s="46" t="str">
        <f>Results!D21</f>
        <v>Argentina</v>
      </c>
      <c r="E21" s="1">
        <f>Results!E21</f>
        <v>25</v>
      </c>
      <c r="F21" s="45">
        <f>COUNTIF(D$2:D21,G21)+COUNTIF(G$2:G21,G21)</f>
        <v>1</v>
      </c>
      <c r="G21" s="46" t="str">
        <f>Results!G21</f>
        <v>Algeria</v>
      </c>
      <c r="H21" s="1">
        <f ca="1">IF(Results!H21="",AB21,Results!H21)</f>
        <v>4</v>
      </c>
      <c r="I21" s="1">
        <f ca="1">IF(Results!I21="",AC21,Results!I21)</f>
        <v>1</v>
      </c>
      <c r="J21" s="305"/>
      <c r="K21" s="305"/>
      <c r="L21" s="305"/>
      <c r="M21" s="305"/>
      <c r="N21" s="66">
        <f t="shared" ca="1" si="0"/>
        <v>1</v>
      </c>
      <c r="O21" s="65">
        <f t="shared" ca="1" si="1"/>
        <v>2</v>
      </c>
      <c r="P21" s="89">
        <f t="shared" si="2"/>
        <v>1792</v>
      </c>
      <c r="Q21" s="89">
        <f t="shared" si="3"/>
        <v>1591</v>
      </c>
      <c r="R21" s="92">
        <f t="shared" si="15"/>
        <v>201</v>
      </c>
      <c r="S21" s="50">
        <f t="shared" si="5"/>
        <v>0.76332999999999995</v>
      </c>
      <c r="T21" s="50">
        <f t="shared" si="6"/>
        <v>0.68081384444999993</v>
      </c>
      <c r="U21" s="50">
        <f t="shared" si="16"/>
        <v>0.16503231110000005</v>
      </c>
      <c r="V21" s="50">
        <f t="shared" si="7"/>
        <v>0.15415384445000005</v>
      </c>
      <c r="W21" s="55">
        <f t="shared" si="8"/>
        <v>0.16503231110000002</v>
      </c>
      <c r="X21" s="55">
        <f t="shared" si="9"/>
        <v>0.234375</v>
      </c>
      <c r="Y21" s="116">
        <f t="shared" ca="1" si="10"/>
        <v>0.60285860020011006</v>
      </c>
      <c r="Z21" s="66">
        <f t="shared" ca="1" si="11"/>
        <v>1</v>
      </c>
      <c r="AA21" s="116">
        <f t="shared" ca="1" si="12"/>
        <v>0.88549697558975682</v>
      </c>
      <c r="AB21" s="301">
        <f t="shared" ca="1" si="13"/>
        <v>4</v>
      </c>
      <c r="AC21" s="301">
        <f t="shared" ca="1" si="14"/>
        <v>1</v>
      </c>
      <c r="AD21" s="116"/>
      <c r="AE21" s="66"/>
      <c r="AF21" s="66"/>
      <c r="AG21" s="116"/>
      <c r="AH21" s="66"/>
      <c r="AI21" s="66"/>
    </row>
    <row r="22" spans="1:35" ht="15" customHeight="1" x14ac:dyDescent="0.25">
      <c r="A22" s="44" t="s">
        <v>1295</v>
      </c>
      <c r="B22" s="1">
        <f>Results!B22</f>
        <v>22</v>
      </c>
      <c r="C22" s="45">
        <f>COUNTIF(D$2:D22,D22)+COUNTIF(G$2:G22,D22)</f>
        <v>1</v>
      </c>
      <c r="D22" s="46" t="str">
        <f>Results!D22</f>
        <v>Austria</v>
      </c>
      <c r="E22" s="1">
        <f>Results!E22</f>
        <v>42</v>
      </c>
      <c r="F22" s="45">
        <f>COUNTIF(D$2:D22,G22)+COUNTIF(G$2:G22,G22)</f>
        <v>1</v>
      </c>
      <c r="G22" s="46" t="str">
        <f>Results!G22</f>
        <v>Jordan</v>
      </c>
      <c r="H22" s="1">
        <f ca="1">IF(Results!H22="",AB22,Results!H22)</f>
        <v>3</v>
      </c>
      <c r="I22" s="1">
        <f ca="1">IF(Results!I22="",AC22,Results!I22)</f>
        <v>1</v>
      </c>
      <c r="J22" s="305"/>
      <c r="K22" s="305"/>
      <c r="L22" s="305"/>
      <c r="M22" s="305"/>
      <c r="N22" s="66">
        <f t="shared" ca="1" si="0"/>
        <v>1</v>
      </c>
      <c r="O22" s="65">
        <f t="shared" ca="1" si="1"/>
        <v>0</v>
      </c>
      <c r="P22" s="89">
        <f t="shared" si="2"/>
        <v>1607</v>
      </c>
      <c r="Q22" s="89">
        <f t="shared" si="3"/>
        <v>1388</v>
      </c>
      <c r="R22" s="92">
        <f t="shared" si="15"/>
        <v>219</v>
      </c>
      <c r="S22" s="50">
        <f t="shared" si="5"/>
        <v>0.78300000000000003</v>
      </c>
      <c r="T22" s="50">
        <f t="shared" si="6"/>
        <v>0.70585700000000007</v>
      </c>
      <c r="U22" s="50">
        <f t="shared" si="16"/>
        <v>0.15428600000000003</v>
      </c>
      <c r="V22" s="50">
        <f t="shared" si="7"/>
        <v>0.13985699999999995</v>
      </c>
      <c r="W22" s="55">
        <f t="shared" si="8"/>
        <v>0.15428599999999998</v>
      </c>
      <c r="X22" s="55">
        <f t="shared" si="9"/>
        <v>0.234375</v>
      </c>
      <c r="Y22" s="116">
        <f t="shared" ca="1" si="10"/>
        <v>0.59670614625483243</v>
      </c>
      <c r="Z22" s="66">
        <f t="shared" ca="1" si="11"/>
        <v>1</v>
      </c>
      <c r="AA22" s="116">
        <f t="shared" ca="1" si="12"/>
        <v>0.84536406985385482</v>
      </c>
      <c r="AB22" s="301">
        <f t="shared" ca="1" si="13"/>
        <v>3</v>
      </c>
      <c r="AC22" s="301">
        <f t="shared" ca="1" si="14"/>
        <v>1</v>
      </c>
      <c r="AD22" s="116"/>
      <c r="AE22" s="66"/>
      <c r="AF22" s="66"/>
      <c r="AG22" s="116"/>
      <c r="AH22" s="66"/>
      <c r="AI22" s="66"/>
    </row>
    <row r="23" spans="1:35" ht="15" customHeight="1" x14ac:dyDescent="0.25">
      <c r="A23" s="44" t="s">
        <v>1296</v>
      </c>
      <c r="B23" s="1">
        <f>Results!B23</f>
        <v>5</v>
      </c>
      <c r="C23" s="45">
        <f>COUNTIF(D$2:D23,D23)+COUNTIF(G$2:G23,D23)</f>
        <v>1</v>
      </c>
      <c r="D23" s="46" t="str">
        <f>Results!D23</f>
        <v>Portugal</v>
      </c>
      <c r="E23" s="1">
        <f>Results!E23</f>
        <v>36</v>
      </c>
      <c r="F23" s="45">
        <f>COUNTIF(D$2:D23,G23)+COUNTIF(G$2:G23,G23)</f>
        <v>1</v>
      </c>
      <c r="G23" s="46" t="str">
        <f>Results!G23</f>
        <v>Congo DR</v>
      </c>
      <c r="H23" s="1">
        <f ca="1">IF(Results!H23="",AB23,Results!H23)</f>
        <v>2</v>
      </c>
      <c r="I23" s="1">
        <f ca="1">IF(Results!I23="",AC23,Results!I23)</f>
        <v>1</v>
      </c>
      <c r="J23" s="305"/>
      <c r="K23" s="305"/>
      <c r="L23" s="305"/>
      <c r="M23" s="305"/>
      <c r="N23" s="66">
        <f t="shared" ca="1" si="0"/>
        <v>1</v>
      </c>
      <c r="O23" s="65">
        <f t="shared" ca="1" si="1"/>
        <v>0</v>
      </c>
      <c r="P23" s="89">
        <f t="shared" si="2"/>
        <v>1798</v>
      </c>
      <c r="Q23" s="89">
        <f t="shared" si="3"/>
        <v>1474</v>
      </c>
      <c r="R23" s="92">
        <f t="shared" si="15"/>
        <v>324</v>
      </c>
      <c r="S23" s="50">
        <f t="shared" si="5"/>
        <v>0.87614999999999998</v>
      </c>
      <c r="T23" s="50">
        <f t="shared" si="6"/>
        <v>0.82970691124999996</v>
      </c>
      <c r="U23" s="50">
        <f t="shared" si="16"/>
        <v>9.2886177500000056E-2</v>
      </c>
      <c r="V23" s="50">
        <f t="shared" si="7"/>
        <v>7.7406911250000043E-2</v>
      </c>
      <c r="W23" s="55">
        <f t="shared" si="8"/>
        <v>9.28861775E-2</v>
      </c>
      <c r="X23" s="55">
        <f t="shared" si="9"/>
        <v>0.234375</v>
      </c>
      <c r="Y23" s="116">
        <f t="shared" ca="1" si="10"/>
        <v>0.60063081336192581</v>
      </c>
      <c r="Z23" s="66">
        <f t="shared" ca="1" si="11"/>
        <v>1</v>
      </c>
      <c r="AA23" s="116">
        <f t="shared" ca="1" si="12"/>
        <v>0.7239072077356109</v>
      </c>
      <c r="AB23" s="301">
        <f t="shared" ca="1" si="13"/>
        <v>2</v>
      </c>
      <c r="AC23" s="301">
        <f t="shared" ca="1" si="14"/>
        <v>1</v>
      </c>
      <c r="AD23" s="116"/>
      <c r="AE23" s="66"/>
      <c r="AF23" s="66"/>
      <c r="AG23" s="116"/>
      <c r="AH23" s="66"/>
      <c r="AI23" s="66"/>
    </row>
    <row r="24" spans="1:35" ht="15" customHeight="1" x14ac:dyDescent="0.25">
      <c r="A24" s="44" t="s">
        <v>1297</v>
      </c>
      <c r="B24" s="1">
        <f>Results!B24</f>
        <v>4</v>
      </c>
      <c r="C24" s="45">
        <f>COUNTIF(D$2:D24,D24)+COUNTIF(G$2:G24,D24)</f>
        <v>1</v>
      </c>
      <c r="D24" s="46" t="str">
        <f>Results!D24</f>
        <v>England</v>
      </c>
      <c r="E24" s="1">
        <f>Results!E24</f>
        <v>11</v>
      </c>
      <c r="F24" s="45">
        <f>COUNTIF(D$2:D24,G24)+COUNTIF(G$2:G24,G24)</f>
        <v>1</v>
      </c>
      <c r="G24" s="46" t="str">
        <f>Results!G24</f>
        <v>Croatia</v>
      </c>
      <c r="H24" s="1">
        <f ca="1">IF(Results!H24="",AB24,Results!H24)</f>
        <v>3</v>
      </c>
      <c r="I24" s="1">
        <f ca="1">IF(Results!I24="",AC24,Results!I24)</f>
        <v>0</v>
      </c>
      <c r="J24" s="305"/>
      <c r="K24" s="305"/>
      <c r="L24" s="305"/>
      <c r="M24" s="305"/>
      <c r="N24" s="66">
        <f t="shared" ca="1" si="0"/>
        <v>1</v>
      </c>
      <c r="O24" s="65">
        <f t="shared" ca="1" si="1"/>
        <v>2</v>
      </c>
      <c r="P24" s="89">
        <f t="shared" si="2"/>
        <v>1803</v>
      </c>
      <c r="Q24" s="89">
        <f t="shared" si="3"/>
        <v>1695</v>
      </c>
      <c r="R24" s="92">
        <f t="shared" si="15"/>
        <v>108</v>
      </c>
      <c r="S24" s="50">
        <f t="shared" si="5"/>
        <v>0.65142999999999995</v>
      </c>
      <c r="T24" s="50">
        <f t="shared" si="6"/>
        <v>0.54570802244999994</v>
      </c>
      <c r="U24" s="50">
        <f t="shared" si="16"/>
        <v>0.21144395510000003</v>
      </c>
      <c r="V24" s="50">
        <f t="shared" si="7"/>
        <v>0.24284802245000003</v>
      </c>
      <c r="W24" s="55">
        <f t="shared" si="8"/>
        <v>0.21144395510000003</v>
      </c>
      <c r="X24" s="55">
        <f t="shared" si="9"/>
        <v>0.234375</v>
      </c>
      <c r="Y24" s="116">
        <f t="shared" ca="1" si="10"/>
        <v>0.22819555983156381</v>
      </c>
      <c r="Z24" s="66">
        <f t="shared" ca="1" si="11"/>
        <v>1</v>
      </c>
      <c r="AA24" s="116">
        <f t="shared" ca="1" si="12"/>
        <v>0.41816420218097866</v>
      </c>
      <c r="AB24" s="301">
        <f t="shared" ca="1" si="13"/>
        <v>3</v>
      </c>
      <c r="AC24" s="301">
        <f t="shared" ca="1" si="14"/>
        <v>0</v>
      </c>
      <c r="AD24" s="116"/>
      <c r="AE24" s="66"/>
      <c r="AF24" s="66"/>
      <c r="AG24" s="116"/>
      <c r="AH24" s="66"/>
      <c r="AI24" s="66"/>
    </row>
    <row r="25" spans="1:35" ht="15" customHeight="1" x14ac:dyDescent="0.25">
      <c r="A25" s="44" t="s">
        <v>1298</v>
      </c>
      <c r="B25" s="1">
        <f>Results!B25</f>
        <v>45</v>
      </c>
      <c r="C25" s="45">
        <f>COUNTIF(D$2:D25,D25)+COUNTIF(G$2:G25,D25)</f>
        <v>1</v>
      </c>
      <c r="D25" s="46" t="str">
        <f>Results!D25</f>
        <v>Ghana</v>
      </c>
      <c r="E25" s="1">
        <f>Results!E25</f>
        <v>30</v>
      </c>
      <c r="F25" s="45">
        <f>COUNTIF(D$2:D25,G25)+COUNTIF(G$2:G25,G25)</f>
        <v>1</v>
      </c>
      <c r="G25" s="46" t="str">
        <f>Results!G25</f>
        <v>Panama</v>
      </c>
      <c r="H25" s="1">
        <f ca="1">IF(Results!H25="",AB25,Results!H25)</f>
        <v>0</v>
      </c>
      <c r="I25" s="1">
        <f ca="1">IF(Results!I25="",AC25,Results!I25)</f>
        <v>1</v>
      </c>
      <c r="J25" s="305"/>
      <c r="K25" s="305"/>
      <c r="L25" s="305"/>
      <c r="M25" s="305"/>
      <c r="N25" s="66">
        <f t="shared" ca="1" si="0"/>
        <v>3</v>
      </c>
      <c r="O25" s="65">
        <f t="shared" ca="1" si="1"/>
        <v>0</v>
      </c>
      <c r="P25" s="89">
        <f t="shared" si="2"/>
        <v>1447</v>
      </c>
      <c r="Q25" s="89">
        <f t="shared" si="3"/>
        <v>1569</v>
      </c>
      <c r="R25" s="92">
        <f t="shared" si="15"/>
        <v>-122</v>
      </c>
      <c r="S25" s="50">
        <f t="shared" si="5"/>
        <v>0.33124999999999999</v>
      </c>
      <c r="T25" s="50">
        <f t="shared" si="6"/>
        <v>0.22830078124999997</v>
      </c>
      <c r="U25" s="50">
        <f t="shared" si="16"/>
        <v>0.20589843750000003</v>
      </c>
      <c r="V25" s="50">
        <f t="shared" si="7"/>
        <v>0.56580078125</v>
      </c>
      <c r="W25" s="55">
        <f t="shared" si="8"/>
        <v>0.2058984375</v>
      </c>
      <c r="X25" s="55">
        <f t="shared" si="9"/>
        <v>0.234375</v>
      </c>
      <c r="Y25" s="116">
        <f t="shared" ca="1" si="10"/>
        <v>0.56792090446376731</v>
      </c>
      <c r="Z25" s="66">
        <f t="shared" ca="1" si="11"/>
        <v>3</v>
      </c>
      <c r="AA25" s="116">
        <f t="shared" ca="1" si="12"/>
        <v>0.2363405816060232</v>
      </c>
      <c r="AB25" s="301">
        <f t="shared" ca="1" si="13"/>
        <v>0</v>
      </c>
      <c r="AC25" s="301">
        <f t="shared" ca="1" si="14"/>
        <v>1</v>
      </c>
      <c r="AD25" s="116"/>
      <c r="AE25" s="66"/>
      <c r="AF25" s="66"/>
      <c r="AG25" s="116"/>
      <c r="AH25" s="66"/>
      <c r="AI25" s="66"/>
    </row>
    <row r="26" spans="1:35" ht="15" customHeight="1" x14ac:dyDescent="0.25">
      <c r="A26" s="44" t="s">
        <v>1299</v>
      </c>
      <c r="B26" s="1">
        <f>Results!B26</f>
        <v>37</v>
      </c>
      <c r="C26" s="45">
        <f>COUNTIF(D$2:D26,D26)+COUNTIF(G$2:G26,D26)</f>
        <v>1</v>
      </c>
      <c r="D26" s="46" t="str">
        <f>Results!D26</f>
        <v>Uzbekistan</v>
      </c>
      <c r="E26" s="1">
        <f>Results!E26</f>
        <v>12</v>
      </c>
      <c r="F26" s="45">
        <f>COUNTIF(D$2:D26,G26)+COUNTIF(G$2:G26,G26)</f>
        <v>1</v>
      </c>
      <c r="G26" s="46" t="str">
        <f>Results!G26</f>
        <v>Colombia</v>
      </c>
      <c r="H26" s="1">
        <f ca="1">IF(Results!H26="",AB26,Results!H26)</f>
        <v>0</v>
      </c>
      <c r="I26" s="1">
        <f ca="1">IF(Results!I26="",AC26,Results!I26)</f>
        <v>3</v>
      </c>
      <c r="J26" s="305"/>
      <c r="K26" s="305"/>
      <c r="L26" s="305"/>
      <c r="M26" s="305"/>
      <c r="N26" s="66">
        <f t="shared" ca="1" si="0"/>
        <v>3</v>
      </c>
      <c r="O26" s="65">
        <f t="shared" ca="1" si="1"/>
        <v>2</v>
      </c>
      <c r="P26" s="89">
        <f t="shared" si="2"/>
        <v>1459</v>
      </c>
      <c r="Q26" s="89">
        <f t="shared" si="3"/>
        <v>1723</v>
      </c>
      <c r="R26" s="92">
        <f t="shared" si="15"/>
        <v>-264</v>
      </c>
      <c r="S26" s="50">
        <f t="shared" si="5"/>
        <v>0.17455000000000001</v>
      </c>
      <c r="T26" s="50">
        <f t="shared" si="6"/>
        <v>0.11032135125000002</v>
      </c>
      <c r="U26" s="50">
        <f t="shared" si="16"/>
        <v>0.12845729749999996</v>
      </c>
      <c r="V26" s="50">
        <f t="shared" si="7"/>
        <v>0.76122135125000001</v>
      </c>
      <c r="W26" s="55">
        <f t="shared" si="8"/>
        <v>0.12845729749999998</v>
      </c>
      <c r="X26" s="55">
        <f t="shared" si="9"/>
        <v>0.234375</v>
      </c>
      <c r="Y26" s="116">
        <f t="shared" ca="1" si="10"/>
        <v>0.58246683461963933</v>
      </c>
      <c r="Z26" s="66">
        <f t="shared" ca="1" si="11"/>
        <v>3</v>
      </c>
      <c r="AA26" s="116">
        <f t="shared" ca="1" si="12"/>
        <v>0.45149572500202428</v>
      </c>
      <c r="AB26" s="301">
        <f t="shared" ca="1" si="13"/>
        <v>0</v>
      </c>
      <c r="AC26" s="301">
        <f t="shared" ca="1" si="14"/>
        <v>3</v>
      </c>
      <c r="AD26" s="116"/>
      <c r="AE26" s="66"/>
      <c r="AF26" s="66"/>
      <c r="AG26" s="116"/>
      <c r="AH26" s="66"/>
      <c r="AI26" s="66"/>
    </row>
    <row r="27" spans="1:35" ht="15" customHeight="1" x14ac:dyDescent="0.25">
      <c r="A27" s="44" t="s">
        <v>1300</v>
      </c>
      <c r="B27" s="1">
        <f>Results!B27</f>
        <v>32</v>
      </c>
      <c r="C27" s="45">
        <f>COUNTIF(D$2:D27,D27)+COUNTIF(G$2:G27,D27)</f>
        <v>2</v>
      </c>
      <c r="D27" s="46" t="str">
        <f>Results!D27</f>
        <v>Czechia</v>
      </c>
      <c r="E27" s="1">
        <f>Results!E27</f>
        <v>40</v>
      </c>
      <c r="F27" s="45">
        <f>COUNTIF(D$2:D27,G27)+COUNTIF(G$2:G27,G27)</f>
        <v>2</v>
      </c>
      <c r="G27" s="46" t="str">
        <f>Results!G27</f>
        <v>South Africa</v>
      </c>
      <c r="H27" s="1">
        <f ca="1">IF(Results!H27="",AB27,Results!H27)</f>
        <v>2</v>
      </c>
      <c r="I27" s="1">
        <f ca="1">IF(Results!I27="",AC27,Results!I27)</f>
        <v>3</v>
      </c>
      <c r="J27" s="305"/>
      <c r="K27" s="305"/>
      <c r="L27" s="305"/>
      <c r="M27" s="305"/>
      <c r="N27" s="66">
        <f t="shared" ca="1" si="0"/>
        <v>3</v>
      </c>
      <c r="O27" s="65">
        <f t="shared" ca="1" si="1"/>
        <v>0</v>
      </c>
      <c r="P27" s="89">
        <f t="shared" si="2"/>
        <v>1500.3375000000001</v>
      </c>
      <c r="Q27" s="89">
        <f t="shared" si="3"/>
        <v>1425.5317500000001</v>
      </c>
      <c r="R27" s="92">
        <f t="shared" si="15"/>
        <v>74.805749999999989</v>
      </c>
      <c r="S27" s="50">
        <f t="shared" si="5"/>
        <v>0.60624999999999996</v>
      </c>
      <c r="T27" s="50">
        <f t="shared" si="6"/>
        <v>0.49470703124999993</v>
      </c>
      <c r="U27" s="50">
        <f t="shared" si="16"/>
        <v>0.22308593750000005</v>
      </c>
      <c r="V27" s="50">
        <f t="shared" si="7"/>
        <v>0.28220703125000007</v>
      </c>
      <c r="W27" s="55">
        <f t="shared" si="8"/>
        <v>0.2230859375</v>
      </c>
      <c r="X27" s="55">
        <f t="shared" si="9"/>
        <v>0.234375</v>
      </c>
      <c r="Y27" s="116">
        <f t="shared" ca="1" si="10"/>
        <v>0.99268425086988932</v>
      </c>
      <c r="Z27" s="66">
        <f t="shared" ca="1" si="11"/>
        <v>3</v>
      </c>
      <c r="AA27" s="116">
        <f t="shared" ca="1" si="12"/>
        <v>0.97407665890638317</v>
      </c>
      <c r="AB27" s="301">
        <f t="shared" ca="1" si="13"/>
        <v>2</v>
      </c>
      <c r="AC27" s="301">
        <f t="shared" ca="1" si="14"/>
        <v>3</v>
      </c>
      <c r="AD27" s="116"/>
      <c r="AE27" s="66"/>
      <c r="AF27" s="66"/>
      <c r="AG27" s="116"/>
      <c r="AH27" s="66"/>
      <c r="AI27" s="66"/>
    </row>
    <row r="28" spans="1:35" ht="15" customHeight="1" x14ac:dyDescent="0.25">
      <c r="A28" s="44" t="s">
        <v>1301</v>
      </c>
      <c r="B28" s="1">
        <f>Results!B28</f>
        <v>18</v>
      </c>
      <c r="C28" s="45">
        <f>COUNTIF(D$2:D28,D28)+COUNTIF(G$2:G28,D28)</f>
        <v>2</v>
      </c>
      <c r="D28" s="46" t="str">
        <f>Results!D28</f>
        <v>Switzerland</v>
      </c>
      <c r="E28" s="1">
        <f>Results!E28</f>
        <v>43</v>
      </c>
      <c r="F28" s="45">
        <f>COUNTIF(D$2:D28,G28)+COUNTIF(G$2:G28,G28)</f>
        <v>2</v>
      </c>
      <c r="G28" s="46" t="str">
        <f>Results!G28</f>
        <v>Bosnia-Herzegovina</v>
      </c>
      <c r="H28" s="1">
        <f ca="1">IF(Results!H28="",AB28,Results!H28)</f>
        <v>2</v>
      </c>
      <c r="I28" s="1">
        <f ca="1">IF(Results!I28="",AC28,Results!I28)</f>
        <v>1</v>
      </c>
      <c r="J28" s="305"/>
      <c r="K28" s="305"/>
      <c r="L28" s="305"/>
      <c r="M28" s="305"/>
      <c r="N28" s="66">
        <f t="shared" ca="1" si="0"/>
        <v>1</v>
      </c>
      <c r="O28" s="65">
        <f t="shared" ca="1" si="1"/>
        <v>0</v>
      </c>
      <c r="P28" s="89">
        <f t="shared" si="2"/>
        <v>1646.0833500000001</v>
      </c>
      <c r="Q28" s="89">
        <f t="shared" si="3"/>
        <v>1410.6333</v>
      </c>
      <c r="R28" s="92">
        <f t="shared" si="15"/>
        <v>235.45005000000015</v>
      </c>
      <c r="S28" s="50">
        <f t="shared" si="5"/>
        <v>0.79900000000000004</v>
      </c>
      <c r="T28" s="50">
        <f t="shared" si="6"/>
        <v>0.72651300000000008</v>
      </c>
      <c r="U28" s="50">
        <f t="shared" si="16"/>
        <v>0.14497400000000005</v>
      </c>
      <c r="V28" s="50">
        <f t="shared" si="7"/>
        <v>0.12851299999999993</v>
      </c>
      <c r="W28" s="55">
        <f t="shared" si="8"/>
        <v>0.14497399999999999</v>
      </c>
      <c r="X28" s="55">
        <f t="shared" si="9"/>
        <v>0.234375</v>
      </c>
      <c r="Y28" s="116">
        <f t="shared" ca="1" si="10"/>
        <v>0.3917260176726457</v>
      </c>
      <c r="Z28" s="66">
        <f t="shared" ca="1" si="11"/>
        <v>1</v>
      </c>
      <c r="AA28" s="116">
        <f t="shared" ca="1" si="12"/>
        <v>0.53918652202045336</v>
      </c>
      <c r="AB28" s="301">
        <f t="shared" ca="1" si="13"/>
        <v>2</v>
      </c>
      <c r="AC28" s="301">
        <f t="shared" ca="1" si="14"/>
        <v>1</v>
      </c>
      <c r="AD28" s="116"/>
      <c r="AE28" s="66"/>
      <c r="AF28" s="66"/>
      <c r="AG28" s="116"/>
      <c r="AH28" s="66"/>
      <c r="AI28" s="66"/>
    </row>
    <row r="29" spans="1:35" ht="15" customHeight="1" x14ac:dyDescent="0.25">
      <c r="A29" s="44" t="s">
        <v>1302</v>
      </c>
      <c r="B29" s="1">
        <f>Results!B29</f>
        <v>27</v>
      </c>
      <c r="C29" s="45">
        <f>COUNTIF(D$2:D29,D29)+COUNTIF(G$2:G29,D29)</f>
        <v>2</v>
      </c>
      <c r="D29" s="46" t="str">
        <f>Results!D29</f>
        <v>Canada</v>
      </c>
      <c r="E29" s="1">
        <f>Results!E29</f>
        <v>38</v>
      </c>
      <c r="F29" s="45">
        <f>COUNTIF(D$2:D29,G29)+COUNTIF(G$2:G29,G29)</f>
        <v>2</v>
      </c>
      <c r="G29" s="46" t="str">
        <f>Results!G29</f>
        <v>Qatar</v>
      </c>
      <c r="H29" s="1">
        <f ca="1">IF(Results!H29="",AB29,Results!H29)</f>
        <v>2</v>
      </c>
      <c r="I29" s="1">
        <f ca="1">IF(Results!I29="",AC29,Results!I29)</f>
        <v>1</v>
      </c>
      <c r="J29" s="305"/>
      <c r="K29" s="305"/>
      <c r="L29" s="305"/>
      <c r="M29" s="305"/>
      <c r="N29" s="66">
        <f t="shared" ca="1" si="0"/>
        <v>1</v>
      </c>
      <c r="O29" s="65">
        <f t="shared" ca="1" si="1"/>
        <v>0</v>
      </c>
      <c r="P29" s="89">
        <f t="shared" si="2"/>
        <v>1581.7334000000001</v>
      </c>
      <c r="Q29" s="89">
        <f t="shared" si="3"/>
        <v>1457.8333</v>
      </c>
      <c r="R29" s="92">
        <f t="shared" si="15"/>
        <v>123.90010000000007</v>
      </c>
      <c r="S29" s="50">
        <f t="shared" si="5"/>
        <v>0.67125000000000001</v>
      </c>
      <c r="T29" s="50">
        <f t="shared" si="6"/>
        <v>0.56872578125000006</v>
      </c>
      <c r="U29" s="50">
        <f t="shared" si="16"/>
        <v>0.20504843750000001</v>
      </c>
      <c r="V29" s="50">
        <f t="shared" si="7"/>
        <v>0.22622578124999995</v>
      </c>
      <c r="W29" s="55">
        <f t="shared" si="8"/>
        <v>0.20504843749999999</v>
      </c>
      <c r="X29" s="55">
        <f t="shared" si="9"/>
        <v>0.234375</v>
      </c>
      <c r="Y29" s="116">
        <f t="shared" ca="1" si="10"/>
        <v>0.33374890379286482</v>
      </c>
      <c r="Z29" s="66">
        <f t="shared" ca="1" si="11"/>
        <v>1</v>
      </c>
      <c r="AA29" s="116">
        <f t="shared" ca="1" si="12"/>
        <v>0.58683624832220449</v>
      </c>
      <c r="AB29" s="301">
        <f t="shared" ca="1" si="13"/>
        <v>2</v>
      </c>
      <c r="AC29" s="301">
        <f t="shared" ca="1" si="14"/>
        <v>1</v>
      </c>
      <c r="AD29" s="116"/>
      <c r="AE29" s="66"/>
      <c r="AF29" s="66"/>
      <c r="AG29" s="116"/>
      <c r="AH29" s="66"/>
      <c r="AI29" s="66"/>
    </row>
    <row r="30" spans="1:35" ht="15" customHeight="1" x14ac:dyDescent="0.25">
      <c r="A30" s="44" t="s">
        <v>1303</v>
      </c>
      <c r="B30" s="1">
        <f>Results!B30</f>
        <v>13</v>
      </c>
      <c r="C30" s="45">
        <f>COUNTIF(D$2:D30,D30)+COUNTIF(G$2:G30,D30)</f>
        <v>2</v>
      </c>
      <c r="D30" s="46" t="str">
        <f>Results!D30</f>
        <v>Mexico</v>
      </c>
      <c r="E30" s="1">
        <f>Results!E30</f>
        <v>23</v>
      </c>
      <c r="F30" s="45">
        <f>COUNTIF(D$2:D30,G30)+COUNTIF(G$2:G30,G30)</f>
        <v>2</v>
      </c>
      <c r="G30" s="46" t="str">
        <f>Results!G30</f>
        <v>Korea Republic</v>
      </c>
      <c r="H30" s="1">
        <f ca="1">IF(Results!H30="",AB30,Results!H30)</f>
        <v>0</v>
      </c>
      <c r="I30" s="1">
        <f ca="1">IF(Results!I30="",AC30,Results!I30)</f>
        <v>2</v>
      </c>
      <c r="J30" s="305"/>
      <c r="K30" s="305"/>
      <c r="L30" s="305"/>
      <c r="M30" s="305"/>
      <c r="N30" s="66">
        <f t="shared" ca="1" si="0"/>
        <v>3</v>
      </c>
      <c r="O30" s="65">
        <f t="shared" ca="1" si="1"/>
        <v>0</v>
      </c>
      <c r="P30" s="89">
        <f t="shared" si="2"/>
        <v>1706.9365</v>
      </c>
      <c r="Q30" s="89">
        <f t="shared" si="3"/>
        <v>1603.325</v>
      </c>
      <c r="R30" s="92">
        <f t="shared" si="15"/>
        <v>103.61149999999998</v>
      </c>
      <c r="S30" s="50">
        <f t="shared" si="5"/>
        <v>0.64500000000000002</v>
      </c>
      <c r="T30" s="50">
        <f t="shared" si="6"/>
        <v>0.53832500000000005</v>
      </c>
      <c r="U30" s="50">
        <f t="shared" si="16"/>
        <v>0.21335000000000004</v>
      </c>
      <c r="V30" s="50">
        <f t="shared" si="7"/>
        <v>0.24832499999999996</v>
      </c>
      <c r="W30" s="55">
        <f t="shared" si="8"/>
        <v>0.21334999999999998</v>
      </c>
      <c r="X30" s="55">
        <f t="shared" si="9"/>
        <v>0.234375</v>
      </c>
      <c r="Y30" s="116">
        <f t="shared" ca="1" si="10"/>
        <v>0.82834028979620788</v>
      </c>
      <c r="Z30" s="66">
        <f t="shared" ca="1" si="11"/>
        <v>3</v>
      </c>
      <c r="AA30" s="116">
        <f t="shared" ca="1" si="12"/>
        <v>0.30872964782526047</v>
      </c>
      <c r="AB30" s="301">
        <f t="shared" ca="1" si="13"/>
        <v>0</v>
      </c>
      <c r="AC30" s="301">
        <f t="shared" ca="1" si="14"/>
        <v>2</v>
      </c>
      <c r="AD30" s="116"/>
      <c r="AE30" s="66"/>
      <c r="AF30" s="66"/>
      <c r="AG30" s="116"/>
      <c r="AH30" s="66"/>
      <c r="AI30" s="66"/>
    </row>
    <row r="31" spans="1:35" ht="15" customHeight="1" x14ac:dyDescent="0.25">
      <c r="A31" s="44" t="s">
        <v>1304</v>
      </c>
      <c r="B31" s="1">
        <f>Results!B31</f>
        <v>16</v>
      </c>
      <c r="C31" s="45">
        <f>COUNTIF(D$2:D31,D31)+COUNTIF(G$2:G31,D31)</f>
        <v>2</v>
      </c>
      <c r="D31" s="46" t="str">
        <f>Results!D31</f>
        <v>USA</v>
      </c>
      <c r="E31" s="1">
        <f>Results!E31</f>
        <v>24</v>
      </c>
      <c r="F31" s="45">
        <f>COUNTIF(D$2:D31,G31)+COUNTIF(G$2:G31,G31)</f>
        <v>2</v>
      </c>
      <c r="G31" s="46" t="str">
        <f>Results!G31</f>
        <v>Australia</v>
      </c>
      <c r="H31" s="1">
        <f ca="1">IF(Results!H31="",AB31,Results!H31)</f>
        <v>3</v>
      </c>
      <c r="I31" s="1">
        <f ca="1">IF(Results!I31="",AC31,Results!I31)</f>
        <v>1</v>
      </c>
      <c r="J31" s="305"/>
      <c r="K31" s="305"/>
      <c r="L31" s="305"/>
      <c r="M31" s="305"/>
      <c r="N31" s="66">
        <f t="shared" ca="1" si="0"/>
        <v>1</v>
      </c>
      <c r="O31" s="65">
        <f t="shared" ca="1" si="1"/>
        <v>0</v>
      </c>
      <c r="P31" s="89">
        <f t="shared" si="2"/>
        <v>1681.4</v>
      </c>
      <c r="Q31" s="89">
        <f t="shared" si="3"/>
        <v>1566.4749999999999</v>
      </c>
      <c r="R31" s="92">
        <f t="shared" si="15"/>
        <v>114.92500000000018</v>
      </c>
      <c r="S31" s="50">
        <f t="shared" si="5"/>
        <v>0.66</v>
      </c>
      <c r="T31" s="50">
        <f t="shared" si="6"/>
        <v>0.55561250000000006</v>
      </c>
      <c r="U31" s="50">
        <f t="shared" si="16"/>
        <v>0.20877499999999993</v>
      </c>
      <c r="V31" s="50">
        <f t="shared" si="7"/>
        <v>0.23561249999999995</v>
      </c>
      <c r="W31" s="55">
        <f t="shared" si="8"/>
        <v>0.20877499999999999</v>
      </c>
      <c r="X31" s="55">
        <f t="shared" si="9"/>
        <v>0.234375</v>
      </c>
      <c r="Y31" s="116">
        <f t="shared" ca="1" si="10"/>
        <v>0.45825756901613035</v>
      </c>
      <c r="Z31" s="66">
        <f t="shared" ca="1" si="11"/>
        <v>1</v>
      </c>
      <c r="AA31" s="116">
        <f t="shared" ca="1" si="12"/>
        <v>0.82477908437288627</v>
      </c>
      <c r="AB31" s="301">
        <f t="shared" ca="1" si="13"/>
        <v>3</v>
      </c>
      <c r="AC31" s="301">
        <f t="shared" ca="1" si="14"/>
        <v>1</v>
      </c>
      <c r="AD31" s="116"/>
      <c r="AE31" s="66"/>
      <c r="AF31" s="66"/>
      <c r="AG31" s="116"/>
      <c r="AH31" s="66"/>
      <c r="AI31" s="66"/>
    </row>
    <row r="32" spans="1:35" ht="15" customHeight="1" x14ac:dyDescent="0.25">
      <c r="A32" s="44" t="s">
        <v>1305</v>
      </c>
      <c r="B32" s="1">
        <f>Results!B32</f>
        <v>34</v>
      </c>
      <c r="C32" s="45">
        <f>COUNTIF(D$2:D32,D32)+COUNTIF(G$2:G32,D32)</f>
        <v>2</v>
      </c>
      <c r="D32" s="46" t="str">
        <f>Results!D32</f>
        <v>Scotland</v>
      </c>
      <c r="E32" s="1">
        <f>Results!E32</f>
        <v>7</v>
      </c>
      <c r="F32" s="45">
        <f>COUNTIF(D$2:D32,G32)+COUNTIF(G$2:G32,G32)</f>
        <v>2</v>
      </c>
      <c r="G32" s="46" t="str">
        <f>Results!G32</f>
        <v>Morocco</v>
      </c>
      <c r="H32" s="1">
        <f ca="1">IF(Results!H32="",AB32,Results!H32)</f>
        <v>1</v>
      </c>
      <c r="I32" s="1">
        <f ca="1">IF(Results!I32="",AC32,Results!I32)</f>
        <v>2</v>
      </c>
      <c r="J32" s="305"/>
      <c r="K32" s="305"/>
      <c r="L32" s="305"/>
      <c r="M32" s="305"/>
      <c r="N32" s="66">
        <f t="shared" ca="1" si="0"/>
        <v>3</v>
      </c>
      <c r="O32" s="65">
        <f t="shared" ca="1" si="1"/>
        <v>0</v>
      </c>
      <c r="P32" s="89">
        <f t="shared" si="2"/>
        <v>1535.9549999999999</v>
      </c>
      <c r="Q32" s="89">
        <f t="shared" si="3"/>
        <v>1696.97145</v>
      </c>
      <c r="R32" s="92">
        <f t="shared" si="15"/>
        <v>-161.01645000000008</v>
      </c>
      <c r="S32" s="50">
        <f t="shared" si="5"/>
        <v>0.28222000000000003</v>
      </c>
      <c r="T32" s="50">
        <f t="shared" si="6"/>
        <v>0.18874656420000002</v>
      </c>
      <c r="U32" s="50">
        <f t="shared" si="16"/>
        <v>0.18694687160000001</v>
      </c>
      <c r="V32" s="50">
        <f t="shared" si="7"/>
        <v>0.62430656419999997</v>
      </c>
      <c r="W32" s="55">
        <f t="shared" si="8"/>
        <v>0.18694687160000001</v>
      </c>
      <c r="X32" s="55">
        <f t="shared" si="9"/>
        <v>0.234375</v>
      </c>
      <c r="Y32" s="116">
        <f t="shared" ca="1" si="10"/>
        <v>0.72490926729141902</v>
      </c>
      <c r="Z32" s="66">
        <f t="shared" ca="1" si="11"/>
        <v>3</v>
      </c>
      <c r="AA32" s="116">
        <f t="shared" ca="1" si="12"/>
        <v>0.55936594538119544</v>
      </c>
      <c r="AB32" s="301">
        <f t="shared" ca="1" si="13"/>
        <v>1</v>
      </c>
      <c r="AC32" s="301">
        <f t="shared" ca="1" si="14"/>
        <v>2</v>
      </c>
      <c r="AD32" s="116"/>
      <c r="AE32" s="66"/>
      <c r="AF32" s="66"/>
      <c r="AG32" s="116"/>
      <c r="AH32" s="66"/>
      <c r="AI32" s="66"/>
    </row>
    <row r="33" spans="1:35" ht="15" customHeight="1" x14ac:dyDescent="0.25">
      <c r="A33" s="44" t="s">
        <v>1306</v>
      </c>
      <c r="B33" s="1">
        <f>Results!B33</f>
        <v>6</v>
      </c>
      <c r="C33" s="45">
        <f>COUNTIF(D$2:D33,D33)+COUNTIF(G$2:G33,D33)</f>
        <v>2</v>
      </c>
      <c r="D33" s="46" t="str">
        <f>Results!D33</f>
        <v>Brazil</v>
      </c>
      <c r="E33" s="1">
        <f>Results!E33</f>
        <v>47</v>
      </c>
      <c r="F33" s="45">
        <f>COUNTIF(D$2:D33,G33)+COUNTIF(G$2:G33,G33)</f>
        <v>2</v>
      </c>
      <c r="G33" s="46" t="str">
        <f>Results!G33</f>
        <v>Haiti</v>
      </c>
      <c r="H33" s="1">
        <f ca="1">IF(Results!H33="",AB33,Results!H33)</f>
        <v>3</v>
      </c>
      <c r="I33" s="1">
        <f ca="1">IF(Results!I33="",AC33,Results!I33)</f>
        <v>2</v>
      </c>
      <c r="J33" s="305"/>
      <c r="K33" s="305"/>
      <c r="L33" s="305"/>
      <c r="M33" s="305"/>
      <c r="N33" s="66">
        <f t="shared" ca="1" si="0"/>
        <v>1</v>
      </c>
      <c r="O33" s="65">
        <f t="shared" ca="1" si="1"/>
        <v>0</v>
      </c>
      <c r="P33" s="89">
        <f t="shared" si="2"/>
        <v>1784.0571</v>
      </c>
      <c r="Q33" s="89">
        <f t="shared" si="3"/>
        <v>1287.0899999999999</v>
      </c>
      <c r="R33" s="92">
        <f t="shared" si="15"/>
        <v>496.96710000000007</v>
      </c>
      <c r="S33" s="50">
        <f t="shared" si="5"/>
        <v>0.96333000000000002</v>
      </c>
      <c r="T33" s="50">
        <f t="shared" si="6"/>
        <v>0.95347984445</v>
      </c>
      <c r="U33" s="50">
        <f t="shared" si="16"/>
        <v>1.9700311099999923E-2</v>
      </c>
      <c r="V33" s="50">
        <f t="shared" si="7"/>
        <v>2.6819844450000019E-2</v>
      </c>
      <c r="W33" s="55">
        <f t="shared" si="8"/>
        <v>1.9700311099999979E-2</v>
      </c>
      <c r="X33" s="55">
        <f t="shared" si="9"/>
        <v>0.234375</v>
      </c>
      <c r="Y33" s="116">
        <f t="shared" ca="1" si="10"/>
        <v>0.93864107203020652</v>
      </c>
      <c r="Z33" s="66">
        <f t="shared" ca="1" si="11"/>
        <v>1</v>
      </c>
      <c r="AA33" s="116">
        <f t="shared" ca="1" si="12"/>
        <v>0.98443724583569669</v>
      </c>
      <c r="AB33" s="301">
        <f t="shared" ca="1" si="13"/>
        <v>3</v>
      </c>
      <c r="AC33" s="301">
        <f t="shared" ca="1" si="14"/>
        <v>2</v>
      </c>
      <c r="AD33" s="116"/>
      <c r="AE33" s="66"/>
      <c r="AF33" s="66"/>
      <c r="AG33" s="116"/>
      <c r="AH33" s="66"/>
      <c r="AI33" s="66"/>
    </row>
    <row r="34" spans="1:35" ht="15" customHeight="1" x14ac:dyDescent="0.25">
      <c r="A34" s="44" t="s">
        <v>1307</v>
      </c>
      <c r="B34" s="1">
        <f>Results!B34</f>
        <v>20</v>
      </c>
      <c r="C34" s="45">
        <f>COUNTIF(D$2:D34,D34)+COUNTIF(G$2:G34,D34)</f>
        <v>2</v>
      </c>
      <c r="D34" s="46" t="str">
        <f>Results!D34</f>
        <v>Turkiye</v>
      </c>
      <c r="E34" s="1">
        <f>Results!E34</f>
        <v>33</v>
      </c>
      <c r="F34" s="45">
        <f>COUNTIF(D$2:D34,G34)+COUNTIF(G$2:G34,G34)</f>
        <v>2</v>
      </c>
      <c r="G34" s="46" t="str">
        <f>Results!G34</f>
        <v>Paraguay</v>
      </c>
      <c r="H34" s="1">
        <f ca="1">IF(Results!H34="",AB34,Results!H34)</f>
        <v>1</v>
      </c>
      <c r="I34" s="1">
        <f ca="1">IF(Results!I34="",AC34,Results!I34)</f>
        <v>2</v>
      </c>
      <c r="J34" s="305"/>
      <c r="K34" s="305"/>
      <c r="L34" s="305"/>
      <c r="M34" s="305"/>
      <c r="N34" s="66">
        <f t="shared" ca="1" si="0"/>
        <v>3</v>
      </c>
      <c r="O34" s="65">
        <f t="shared" ca="1" si="1"/>
        <v>0</v>
      </c>
      <c r="P34" s="89">
        <f t="shared" si="2"/>
        <v>1597.2625</v>
      </c>
      <c r="Q34" s="89">
        <f t="shared" si="3"/>
        <v>1539.8</v>
      </c>
      <c r="R34" s="92">
        <f t="shared" si="15"/>
        <v>57.462500000000091</v>
      </c>
      <c r="S34" s="50">
        <f t="shared" si="5"/>
        <v>0.58374999999999999</v>
      </c>
      <c r="T34" s="50">
        <f t="shared" si="6"/>
        <v>0.47006953125000001</v>
      </c>
      <c r="U34" s="50">
        <f t="shared" si="16"/>
        <v>0.22736093750000003</v>
      </c>
      <c r="V34" s="50">
        <f t="shared" si="7"/>
        <v>0.30256953124999997</v>
      </c>
      <c r="W34" s="55">
        <f t="shared" si="8"/>
        <v>0.2273609375</v>
      </c>
      <c r="X34" s="55">
        <f t="shared" si="9"/>
        <v>0.234375</v>
      </c>
      <c r="Y34" s="116">
        <f t="shared" ca="1" si="10"/>
        <v>0.85818395544437975</v>
      </c>
      <c r="Z34" s="66">
        <f t="shared" ca="1" si="11"/>
        <v>3</v>
      </c>
      <c r="AA34" s="116">
        <f t="shared" ca="1" si="12"/>
        <v>0.53129436407645469</v>
      </c>
      <c r="AB34" s="301">
        <f t="shared" ca="1" si="13"/>
        <v>1</v>
      </c>
      <c r="AC34" s="301">
        <f t="shared" ca="1" si="14"/>
        <v>2</v>
      </c>
      <c r="AD34" s="116"/>
      <c r="AE34" s="66"/>
      <c r="AF34" s="66"/>
      <c r="AG34" s="116"/>
      <c r="AH34" s="66"/>
      <c r="AI34" s="66"/>
    </row>
    <row r="35" spans="1:35" ht="15" customHeight="1" x14ac:dyDescent="0.25">
      <c r="A35" s="44" t="s">
        <v>1308</v>
      </c>
      <c r="B35" s="1">
        <f>Results!B35</f>
        <v>8</v>
      </c>
      <c r="C35" s="45">
        <f>COUNTIF(D$2:D35,D35)+COUNTIF(G$2:G35,D35)</f>
        <v>2</v>
      </c>
      <c r="D35" s="46" t="str">
        <f>Results!D35</f>
        <v>Netherlands</v>
      </c>
      <c r="E35" s="1">
        <f>Results!E35</f>
        <v>31</v>
      </c>
      <c r="F35" s="45">
        <f>COUNTIF(D$2:D35,G35)+COUNTIF(G$2:G35,G35)</f>
        <v>2</v>
      </c>
      <c r="G35" s="46" t="str">
        <f>Results!G35</f>
        <v>Sweden</v>
      </c>
      <c r="H35" s="1">
        <f ca="1">IF(Results!H35="",AB35,Results!H35)</f>
        <v>3</v>
      </c>
      <c r="I35" s="1">
        <f ca="1">IF(Results!I35="",AC35,Results!I35)</f>
        <v>0</v>
      </c>
      <c r="J35" s="305"/>
      <c r="K35" s="305"/>
      <c r="L35" s="305"/>
      <c r="M35" s="305"/>
      <c r="N35" s="66">
        <f t="shared" ref="N35:N66" ca="1" si="17">IF(OR(H35="",H35="P"),"",IF(H35&gt;I35,1,IF(H35=I35,2,3)))</f>
        <v>1</v>
      </c>
      <c r="O35" s="65">
        <f t="shared" ref="O35:O66" ca="1" si="18">IFERROR(IF(ABS(H35-I35)&gt;FGoalDiff,Bonus,0),0)</f>
        <v>2</v>
      </c>
      <c r="P35" s="89">
        <f t="shared" ref="P35:P66" si="19">VLOOKUP(B35,Team,3+C35,FALSE)</f>
        <v>1745.2874999999999</v>
      </c>
      <c r="Q35" s="89">
        <f t="shared" ref="Q35:Q66" si="20">VLOOKUP(E35,Team,3+F35,FALSE)</f>
        <v>1573.44</v>
      </c>
      <c r="R35" s="92">
        <f t="shared" si="15"/>
        <v>171.84749999999985</v>
      </c>
      <c r="S35" s="50">
        <f t="shared" ref="S35:S66" si="21">IFERROR(VLOOKUP($R35,Ratings,2,TRUE),"")</f>
        <v>0.73</v>
      </c>
      <c r="T35" s="50">
        <f t="shared" ref="T35:T65" si="22">IFERROR(IF(S35-W35/2&lt;0.01,0.01,S35-W35/2),"")</f>
        <v>0.63926249999999996</v>
      </c>
      <c r="U35" s="50">
        <f t="shared" si="16"/>
        <v>0.18147499999999994</v>
      </c>
      <c r="V35" s="50">
        <f t="shared" ref="V35:V65" si="23">IFERROR(IF(1-T35-W35&lt;0.01,0.01,1-T35-W35),"")</f>
        <v>0.17926250000000005</v>
      </c>
      <c r="W35" s="55">
        <f t="shared" ref="W35:W66" si="24">X35-(S35-0.5)*(S35-0.5)</f>
        <v>0.181475</v>
      </c>
      <c r="X35" s="55">
        <f t="shared" ref="X35:X66" si="25">DFactor</f>
        <v>0.234375</v>
      </c>
      <c r="Y35" s="116">
        <f t="shared" ref="Y35:Y106" ca="1" si="26">VLOOKUP($A35,RND90M,Random90+2,FALSE)</f>
        <v>0.27307249058638539</v>
      </c>
      <c r="Z35" s="66">
        <f t="shared" ref="Z35:Z66" ca="1" si="27">IF(Y35&lt;T35,1,IF(Y35&lt;N(T35)+N(U35),2,3))</f>
        <v>1</v>
      </c>
      <c r="AA35" s="116">
        <f t="shared" ref="AA35:AA66" ca="1" si="28">IF(Z35=1,Y35/T35,IF(Z35=2,(Y35-T35)/U35,(Y35-T35-U35)/V35))</f>
        <v>0.42716801092882095</v>
      </c>
      <c r="AB35" s="301">
        <f t="shared" ref="AB35:AB66" ca="1" si="29">IF($Z35=1,VLOOKUP($AA35,Lookup04,2),IF($Z35=2,VLOOKUP($AA35,Lookup05,2),VLOOKUP($AA35,Lookup06,2)))</f>
        <v>3</v>
      </c>
      <c r="AC35" s="301">
        <f t="shared" ref="AC35:AC66" ca="1" si="30">IF($Z35=1,VLOOKUP($AA35,Lookup04,3),IF($Z35=2,VLOOKUP($AA35,Lookup05,3),VLOOKUP($AA35,Lookup06,3)))</f>
        <v>0</v>
      </c>
      <c r="AD35" s="116"/>
      <c r="AE35" s="66"/>
      <c r="AF35" s="66"/>
      <c r="AG35" s="116"/>
      <c r="AH35" s="66"/>
      <c r="AI35" s="66"/>
    </row>
    <row r="36" spans="1:35" ht="15" customHeight="1" x14ac:dyDescent="0.25">
      <c r="A36" s="44" t="s">
        <v>1309</v>
      </c>
      <c r="B36" s="1">
        <f>Results!B36</f>
        <v>10</v>
      </c>
      <c r="C36" s="45">
        <f>COUNTIF(D$2:D36,D36)+COUNTIF(G$2:G36,D36)</f>
        <v>2</v>
      </c>
      <c r="D36" s="46" t="str">
        <f>Results!D36</f>
        <v>Germany</v>
      </c>
      <c r="E36" s="1">
        <f>Results!E36</f>
        <v>29</v>
      </c>
      <c r="F36" s="45">
        <f>COUNTIF(D$2:D36,G36)+COUNTIF(G$2:G36,G36)</f>
        <v>2</v>
      </c>
      <c r="G36" s="46" t="str">
        <f>Results!G36</f>
        <v>Cote d'Ivorie</v>
      </c>
      <c r="H36" s="1">
        <f ca="1">IF(Results!H36="",AB36,Results!H36)</f>
        <v>1</v>
      </c>
      <c r="I36" s="1">
        <f ca="1">IF(Results!I36="",AC36,Results!I36)</f>
        <v>2</v>
      </c>
      <c r="J36" s="305"/>
      <c r="K36" s="305"/>
      <c r="L36" s="305"/>
      <c r="M36" s="305"/>
      <c r="N36" s="66">
        <f t="shared" ca="1" si="17"/>
        <v>3</v>
      </c>
      <c r="O36" s="65">
        <f t="shared" ca="1" si="18"/>
        <v>0</v>
      </c>
      <c r="P36" s="89">
        <f t="shared" si="19"/>
        <v>1772.3827200000001</v>
      </c>
      <c r="Q36" s="89">
        <f t="shared" si="20"/>
        <v>1481.6624999999999</v>
      </c>
      <c r="R36" s="92">
        <f t="shared" si="15"/>
        <v>290.72022000000015</v>
      </c>
      <c r="S36" s="50">
        <f t="shared" si="21"/>
        <v>0.84916999999999998</v>
      </c>
      <c r="T36" s="50">
        <f t="shared" si="22"/>
        <v>0.79294234445</v>
      </c>
      <c r="U36" s="50">
        <f t="shared" si="16"/>
        <v>0.11245531110000007</v>
      </c>
      <c r="V36" s="50">
        <f t="shared" si="23"/>
        <v>9.4602344449999987E-2</v>
      </c>
      <c r="W36" s="55">
        <f t="shared" si="24"/>
        <v>0.11245531110000001</v>
      </c>
      <c r="X36" s="55">
        <f t="shared" si="25"/>
        <v>0.234375</v>
      </c>
      <c r="Y36" s="116">
        <f t="shared" ca="1" si="26"/>
        <v>0.97157926902925662</v>
      </c>
      <c r="Z36" s="66">
        <f t="shared" ca="1" si="27"/>
        <v>3</v>
      </c>
      <c r="AA36" s="116">
        <f t="shared" ca="1" si="28"/>
        <v>0.69957688537238527</v>
      </c>
      <c r="AB36" s="301">
        <f t="shared" ca="1" si="29"/>
        <v>1</v>
      </c>
      <c r="AC36" s="301">
        <f t="shared" ca="1" si="30"/>
        <v>2</v>
      </c>
      <c r="AD36" s="116"/>
      <c r="AE36" s="66"/>
      <c r="AF36" s="66"/>
      <c r="AG36" s="116"/>
      <c r="AH36" s="66"/>
      <c r="AI36" s="66"/>
    </row>
    <row r="37" spans="1:35" ht="15" customHeight="1" x14ac:dyDescent="0.25">
      <c r="A37" s="44" t="s">
        <v>1310</v>
      </c>
      <c r="B37" s="1">
        <f>Results!B37</f>
        <v>21</v>
      </c>
      <c r="C37" s="45">
        <f>COUNTIF(D$2:D37,D37)+COUNTIF(G$2:G37,D37)</f>
        <v>2</v>
      </c>
      <c r="D37" s="46" t="str">
        <f>Results!D37</f>
        <v>Ecuador</v>
      </c>
      <c r="E37" s="1">
        <f>Results!E37</f>
        <v>46</v>
      </c>
      <c r="F37" s="45">
        <f>COUNTIF(D$2:D37,G37)+COUNTIF(G$2:G37,G37)</f>
        <v>2</v>
      </c>
      <c r="G37" s="46" t="str">
        <f>Results!G37</f>
        <v>Curaçao</v>
      </c>
      <c r="H37" s="1">
        <f ca="1">IF(Results!H37="",AB37,Results!H37)</f>
        <v>0</v>
      </c>
      <c r="I37" s="1">
        <f ca="1">IF(Results!I37="",AC37,Results!I37)</f>
        <v>3</v>
      </c>
      <c r="J37" s="305"/>
      <c r="K37" s="305"/>
      <c r="L37" s="305"/>
      <c r="M37" s="305"/>
      <c r="N37" s="66">
        <f t="shared" ca="1" si="17"/>
        <v>3</v>
      </c>
      <c r="O37" s="65">
        <f t="shared" ca="1" si="18"/>
        <v>2</v>
      </c>
      <c r="P37" s="89">
        <f t="shared" si="19"/>
        <v>1588.66875</v>
      </c>
      <c r="Q37" s="89">
        <f t="shared" si="20"/>
        <v>1294.30864</v>
      </c>
      <c r="R37" s="92">
        <f t="shared" si="15"/>
        <v>294.36011000000008</v>
      </c>
      <c r="S37" s="50">
        <f t="shared" si="21"/>
        <v>0.85250000000000004</v>
      </c>
      <c r="T37" s="50">
        <f t="shared" si="22"/>
        <v>0.79744062500000001</v>
      </c>
      <c r="U37" s="50">
        <f t="shared" si="16"/>
        <v>0.11011874999999993</v>
      </c>
      <c r="V37" s="50">
        <f t="shared" si="23"/>
        <v>9.2440625000000012E-2</v>
      </c>
      <c r="W37" s="55">
        <f t="shared" si="24"/>
        <v>0.11011874999999997</v>
      </c>
      <c r="X37" s="55">
        <f t="shared" si="25"/>
        <v>0.234375</v>
      </c>
      <c r="Y37" s="116">
        <f t="shared" ca="1" si="26"/>
        <v>0.94577370721954979</v>
      </c>
      <c r="Z37" s="66">
        <f t="shared" ca="1" si="27"/>
        <v>3</v>
      </c>
      <c r="AA37" s="116">
        <f t="shared" ca="1" si="28"/>
        <v>0.41339326967499229</v>
      </c>
      <c r="AB37" s="301">
        <f t="shared" ca="1" si="29"/>
        <v>0</v>
      </c>
      <c r="AC37" s="301">
        <f t="shared" ca="1" si="30"/>
        <v>3</v>
      </c>
      <c r="AD37" s="116"/>
      <c r="AE37" s="66"/>
      <c r="AF37" s="66"/>
      <c r="AG37" s="116"/>
      <c r="AH37" s="66"/>
      <c r="AI37" s="66"/>
    </row>
    <row r="38" spans="1:35" ht="15" customHeight="1" x14ac:dyDescent="0.25">
      <c r="A38" s="44" t="s">
        <v>1311</v>
      </c>
      <c r="B38" s="1">
        <f>Results!B38</f>
        <v>35</v>
      </c>
      <c r="C38" s="45">
        <f>COUNTIF(D$2:D38,D38)+COUNTIF(G$2:G38,D38)</f>
        <v>2</v>
      </c>
      <c r="D38" s="46" t="str">
        <f>Results!D38</f>
        <v>Tunisia</v>
      </c>
      <c r="E38" s="1">
        <f>Results!E38</f>
        <v>17</v>
      </c>
      <c r="F38" s="45">
        <f>COUNTIF(D$2:D38,G38)+COUNTIF(G$2:G38,G38)</f>
        <v>2</v>
      </c>
      <c r="G38" s="46" t="str">
        <f>Results!G38</f>
        <v>Japan</v>
      </c>
      <c r="H38" s="1">
        <f ca="1">IF(Results!H38="",AB38,Results!H38)</f>
        <v>2</v>
      </c>
      <c r="I38" s="1">
        <f ca="1">IF(Results!I38="",AC38,Results!I38)</f>
        <v>3</v>
      </c>
      <c r="J38" s="305"/>
      <c r="K38" s="305"/>
      <c r="L38" s="305"/>
      <c r="M38" s="305"/>
      <c r="N38" s="66">
        <f t="shared" ca="1" si="17"/>
        <v>3</v>
      </c>
      <c r="O38" s="65">
        <f t="shared" ca="1" si="18"/>
        <v>0</v>
      </c>
      <c r="P38" s="89">
        <f t="shared" si="19"/>
        <v>1499.28</v>
      </c>
      <c r="Q38" s="89">
        <f t="shared" si="20"/>
        <v>1663.85625</v>
      </c>
      <c r="R38" s="92">
        <f t="shared" si="15"/>
        <v>-164.57625000000007</v>
      </c>
      <c r="S38" s="50">
        <f t="shared" si="21"/>
        <v>0.27875</v>
      </c>
      <c r="T38" s="50">
        <f t="shared" si="22"/>
        <v>0.18603828124999999</v>
      </c>
      <c r="U38" s="50">
        <f t="shared" si="16"/>
        <v>0.18542343750000001</v>
      </c>
      <c r="V38" s="50">
        <f t="shared" si="23"/>
        <v>0.62853828125</v>
      </c>
      <c r="W38" s="55">
        <f t="shared" si="24"/>
        <v>0.18542343750000001</v>
      </c>
      <c r="X38" s="55">
        <f t="shared" si="25"/>
        <v>0.234375</v>
      </c>
      <c r="Y38" s="116">
        <f t="shared" ca="1" si="26"/>
        <v>0.98796037759971456</v>
      </c>
      <c r="Z38" s="66">
        <f t="shared" ca="1" si="27"/>
        <v>3</v>
      </c>
      <c r="AA38" s="116">
        <f t="shared" ca="1" si="28"/>
        <v>0.98084504514770088</v>
      </c>
      <c r="AB38" s="301">
        <f t="shared" ca="1" si="29"/>
        <v>2</v>
      </c>
      <c r="AC38" s="301">
        <f t="shared" ca="1" si="30"/>
        <v>3</v>
      </c>
      <c r="AD38" s="116"/>
      <c r="AE38" s="66"/>
      <c r="AF38" s="66"/>
      <c r="AG38" s="116"/>
      <c r="AH38" s="66"/>
      <c r="AI38" s="66"/>
    </row>
    <row r="39" spans="1:35" ht="15" customHeight="1" x14ac:dyDescent="0.25">
      <c r="A39" s="44" t="s">
        <v>1312</v>
      </c>
      <c r="B39" s="1">
        <f>Results!B39</f>
        <v>2</v>
      </c>
      <c r="C39" s="45">
        <f>COUNTIF(D$2:D39,D39)+COUNTIF(G$2:G39,D39)</f>
        <v>2</v>
      </c>
      <c r="D39" s="46" t="str">
        <f>Results!D39</f>
        <v>Spain</v>
      </c>
      <c r="E39" s="1">
        <f>Results!E39</f>
        <v>41</v>
      </c>
      <c r="F39" s="45">
        <f>COUNTIF(D$2:D39,G39)+COUNTIF(G$2:G39,G39)</f>
        <v>2</v>
      </c>
      <c r="G39" s="46" t="str">
        <f>Results!G39</f>
        <v>Saudi Arabia</v>
      </c>
      <c r="H39" s="1">
        <f ca="1">IF(Results!H39="",AB39,Results!H39)</f>
        <v>1</v>
      </c>
      <c r="I39" s="1">
        <f ca="1">IF(Results!I39="",AC39,Results!I39)</f>
        <v>0</v>
      </c>
      <c r="J39" s="305"/>
      <c r="K39" s="305"/>
      <c r="L39" s="305"/>
      <c r="M39" s="305"/>
      <c r="N39" s="66">
        <f t="shared" ca="1" si="17"/>
        <v>1</v>
      </c>
      <c r="O39" s="65">
        <f t="shared" ca="1" si="18"/>
        <v>0</v>
      </c>
      <c r="P39" s="89">
        <f t="shared" si="19"/>
        <v>1821.425</v>
      </c>
      <c r="Q39" s="89">
        <f t="shared" si="20"/>
        <v>1433.3545999999999</v>
      </c>
      <c r="R39" s="92">
        <f t="shared" si="15"/>
        <v>388.07040000000006</v>
      </c>
      <c r="S39" s="50">
        <f t="shared" si="21"/>
        <v>0.91764999999999997</v>
      </c>
      <c r="T39" s="50">
        <f t="shared" si="22"/>
        <v>0.88767826124999993</v>
      </c>
      <c r="U39" s="50">
        <f t="shared" si="16"/>
        <v>5.9943477500000064E-2</v>
      </c>
      <c r="V39" s="50">
        <f t="shared" si="23"/>
        <v>5.237826125000003E-2</v>
      </c>
      <c r="W39" s="55">
        <f t="shared" si="24"/>
        <v>5.9943477500000036E-2</v>
      </c>
      <c r="X39" s="55">
        <f t="shared" si="25"/>
        <v>0.234375</v>
      </c>
      <c r="Y39" s="116">
        <f t="shared" ca="1" si="26"/>
        <v>0.25273095936901691</v>
      </c>
      <c r="Z39" s="66">
        <f t="shared" ca="1" si="27"/>
        <v>1</v>
      </c>
      <c r="AA39" s="116">
        <f t="shared" ca="1" si="28"/>
        <v>0.28471009193480679</v>
      </c>
      <c r="AB39" s="301">
        <f t="shared" ca="1" si="29"/>
        <v>1</v>
      </c>
      <c r="AC39" s="301">
        <f t="shared" ca="1" si="30"/>
        <v>0</v>
      </c>
      <c r="AD39" s="116"/>
      <c r="AE39" s="66"/>
      <c r="AF39" s="66"/>
      <c r="AG39" s="116"/>
      <c r="AH39" s="66"/>
      <c r="AI39" s="66"/>
    </row>
    <row r="40" spans="1:35" ht="15" customHeight="1" x14ac:dyDescent="0.25">
      <c r="A40" s="44" t="s">
        <v>1313</v>
      </c>
      <c r="B40" s="1">
        <f>Results!B40</f>
        <v>9</v>
      </c>
      <c r="C40" s="45">
        <f>COUNTIF(D$2:D40,D40)+COUNTIF(G$2:G40,D40)</f>
        <v>2</v>
      </c>
      <c r="D40" s="46" t="str">
        <f>Results!D40</f>
        <v>Belgium</v>
      </c>
      <c r="E40" s="1">
        <f>Results!E40</f>
        <v>19</v>
      </c>
      <c r="F40" s="45">
        <f>COUNTIF(D$2:D40,G40)+COUNTIF(G$2:G40,G40)</f>
        <v>2</v>
      </c>
      <c r="G40" s="46" t="str">
        <f>Results!G40</f>
        <v>IR Iran</v>
      </c>
      <c r="H40" s="1">
        <f ca="1">IF(Results!H40="",AB40,Results!H40)</f>
        <v>1</v>
      </c>
      <c r="I40" s="1">
        <f ca="1">IF(Results!I40="",AC40,Results!I40)</f>
        <v>2</v>
      </c>
      <c r="J40" s="305"/>
      <c r="K40" s="305"/>
      <c r="L40" s="305"/>
      <c r="M40" s="305"/>
      <c r="N40" s="66">
        <f t="shared" ca="1" si="17"/>
        <v>3</v>
      </c>
      <c r="O40" s="65">
        <f t="shared" ca="1" si="18"/>
        <v>0</v>
      </c>
      <c r="P40" s="89">
        <f t="shared" si="19"/>
        <v>1728.0334</v>
      </c>
      <c r="Q40" s="89">
        <f t="shared" si="20"/>
        <v>1559.425</v>
      </c>
      <c r="R40" s="92">
        <f t="shared" si="15"/>
        <v>168.60840000000007</v>
      </c>
      <c r="S40" s="50">
        <f t="shared" si="21"/>
        <v>0.72624999999999995</v>
      </c>
      <c r="T40" s="50">
        <f t="shared" si="22"/>
        <v>0.63465703124999995</v>
      </c>
      <c r="U40" s="50">
        <f t="shared" si="16"/>
        <v>0.18318593750000001</v>
      </c>
      <c r="V40" s="50">
        <f t="shared" si="23"/>
        <v>0.18215703125000005</v>
      </c>
      <c r="W40" s="55">
        <f t="shared" si="24"/>
        <v>0.18318593750000001</v>
      </c>
      <c r="X40" s="55">
        <f t="shared" si="25"/>
        <v>0.234375</v>
      </c>
      <c r="Y40" s="116">
        <f t="shared" ca="1" si="26"/>
        <v>0.95122801959768677</v>
      </c>
      <c r="Z40" s="66">
        <f t="shared" ca="1" si="27"/>
        <v>3</v>
      </c>
      <c r="AA40" s="116">
        <f t="shared" ca="1" si="28"/>
        <v>0.73225310015413847</v>
      </c>
      <c r="AB40" s="301">
        <f t="shared" ca="1" si="29"/>
        <v>1</v>
      </c>
      <c r="AC40" s="301">
        <f t="shared" ca="1" si="30"/>
        <v>2</v>
      </c>
      <c r="AD40" s="116"/>
      <c r="AE40" s="66"/>
      <c r="AF40" s="66"/>
      <c r="AG40" s="116"/>
      <c r="AH40" s="66"/>
      <c r="AI40" s="66"/>
    </row>
    <row r="41" spans="1:35" ht="15" customHeight="1" x14ac:dyDescent="0.25">
      <c r="A41" s="44" t="s">
        <v>1314</v>
      </c>
      <c r="B41" s="1">
        <f>Results!B41</f>
        <v>15</v>
      </c>
      <c r="C41" s="45">
        <f>COUNTIF(D$2:D41,D41)+COUNTIF(G$2:G41,D41)</f>
        <v>2</v>
      </c>
      <c r="D41" s="46" t="str">
        <f>Results!D41</f>
        <v>Uruguay</v>
      </c>
      <c r="E41" s="1">
        <f>Results!E41</f>
        <v>44</v>
      </c>
      <c r="F41" s="45">
        <f>COUNTIF(D$2:D41,G41)+COUNTIF(G$2:G41,G41)</f>
        <v>2</v>
      </c>
      <c r="G41" s="46" t="str">
        <f>Results!G41</f>
        <v>Cabo Verde</v>
      </c>
      <c r="H41" s="1">
        <f ca="1">IF(Results!H41="",AB41,Results!H41)</f>
        <v>0</v>
      </c>
      <c r="I41" s="1">
        <f ca="1">IF(Results!I41="",AC41,Results!I41)</f>
        <v>1</v>
      </c>
      <c r="J41" s="305"/>
      <c r="K41" s="305"/>
      <c r="L41" s="305"/>
      <c r="M41" s="305"/>
      <c r="N41" s="66">
        <f t="shared" ca="1" si="17"/>
        <v>3</v>
      </c>
      <c r="O41" s="65">
        <f t="shared" ca="1" si="18"/>
        <v>0</v>
      </c>
      <c r="P41" s="89">
        <f t="shared" si="19"/>
        <v>1668.3226999999999</v>
      </c>
      <c r="Q41" s="89">
        <f t="shared" si="20"/>
        <v>1377.7874999999999</v>
      </c>
      <c r="R41" s="92">
        <f t="shared" si="15"/>
        <v>290.53520000000003</v>
      </c>
      <c r="S41" s="50">
        <f t="shared" si="21"/>
        <v>0.84916999999999998</v>
      </c>
      <c r="T41" s="50">
        <f t="shared" si="22"/>
        <v>0.79294234445</v>
      </c>
      <c r="U41" s="50">
        <f t="shared" si="16"/>
        <v>0.11245531110000007</v>
      </c>
      <c r="V41" s="50">
        <f t="shared" si="23"/>
        <v>9.4602344449999987E-2</v>
      </c>
      <c r="W41" s="55">
        <f t="shared" si="24"/>
        <v>0.11245531110000001</v>
      </c>
      <c r="X41" s="55">
        <f t="shared" si="25"/>
        <v>0.234375</v>
      </c>
      <c r="Y41" s="116">
        <f t="shared" ca="1" si="26"/>
        <v>0.90627592426980141</v>
      </c>
      <c r="Z41" s="66">
        <f t="shared" ca="1" si="27"/>
        <v>3</v>
      </c>
      <c r="AA41" s="116">
        <f t="shared" ca="1" si="28"/>
        <v>9.2837944440746379E-3</v>
      </c>
      <c r="AB41" s="301">
        <f t="shared" ca="1" si="29"/>
        <v>0</v>
      </c>
      <c r="AC41" s="301">
        <f t="shared" ca="1" si="30"/>
        <v>1</v>
      </c>
      <c r="AD41" s="116"/>
      <c r="AE41" s="66"/>
      <c r="AF41" s="66"/>
      <c r="AG41" s="116"/>
      <c r="AH41" s="66"/>
      <c r="AI41" s="66"/>
    </row>
    <row r="42" spans="1:35" ht="15" customHeight="1" x14ac:dyDescent="0.25">
      <c r="A42" s="44" t="s">
        <v>1315</v>
      </c>
      <c r="B42" s="1">
        <f>Results!B42</f>
        <v>48</v>
      </c>
      <c r="C42" s="45">
        <f>COUNTIF(D$2:D42,D42)+COUNTIF(G$2:G42,D42)</f>
        <v>2</v>
      </c>
      <c r="D42" s="46" t="str">
        <f>Results!D42</f>
        <v>New Zealand</v>
      </c>
      <c r="E42" s="1">
        <f>Results!E42</f>
        <v>26</v>
      </c>
      <c r="F42" s="45">
        <f>COUNTIF(D$2:D42,G42)+COUNTIF(G$2:G42,G42)</f>
        <v>2</v>
      </c>
      <c r="G42" s="46" t="str">
        <f>Results!G42</f>
        <v>Egypt</v>
      </c>
      <c r="H42" s="1">
        <f ca="1">IF(Results!H42="",AB42,Results!H42)</f>
        <v>0</v>
      </c>
      <c r="I42" s="1">
        <f ca="1">IF(Results!I42="",AC42,Results!I42)</f>
        <v>2</v>
      </c>
      <c r="J42" s="305"/>
      <c r="K42" s="305"/>
      <c r="L42" s="305"/>
      <c r="M42" s="305"/>
      <c r="N42" s="66">
        <f t="shared" ca="1" si="17"/>
        <v>3</v>
      </c>
      <c r="O42" s="65">
        <f t="shared" ca="1" si="18"/>
        <v>0</v>
      </c>
      <c r="P42" s="89">
        <f t="shared" si="19"/>
        <v>1281.2874999999999</v>
      </c>
      <c r="Q42" s="89">
        <f t="shared" si="20"/>
        <v>1565.4833000000001</v>
      </c>
      <c r="R42" s="92">
        <f t="shared" si="15"/>
        <v>-284.19580000000019</v>
      </c>
      <c r="S42" s="50">
        <f t="shared" si="21"/>
        <v>0.15583</v>
      </c>
      <c r="T42" s="50">
        <f t="shared" si="22"/>
        <v>9.7868994449999996E-2</v>
      </c>
      <c r="U42" s="50">
        <f t="shared" si="16"/>
        <v>0.11592201109999997</v>
      </c>
      <c r="V42" s="50">
        <f t="shared" si="23"/>
        <v>0.78620899445000003</v>
      </c>
      <c r="W42" s="55">
        <f t="shared" si="24"/>
        <v>0.11592201110000001</v>
      </c>
      <c r="X42" s="55">
        <f t="shared" si="25"/>
        <v>0.234375</v>
      </c>
      <c r="Y42" s="116">
        <f t="shared" ca="1" si="26"/>
        <v>0.47065258387391617</v>
      </c>
      <c r="Z42" s="66">
        <f t="shared" ca="1" si="27"/>
        <v>3</v>
      </c>
      <c r="AA42" s="116">
        <f t="shared" ca="1" si="28"/>
        <v>0.32670903047046179</v>
      </c>
      <c r="AB42" s="301">
        <f t="shared" ca="1" si="29"/>
        <v>0</v>
      </c>
      <c r="AC42" s="301">
        <f t="shared" ca="1" si="30"/>
        <v>2</v>
      </c>
      <c r="AD42" s="116"/>
      <c r="AE42" s="66"/>
      <c r="AF42" s="66"/>
      <c r="AG42" s="116"/>
      <c r="AH42" s="66"/>
      <c r="AI42" s="66"/>
    </row>
    <row r="43" spans="1:35" ht="15" customHeight="1" x14ac:dyDescent="0.25">
      <c r="A43" s="44" t="s">
        <v>1316</v>
      </c>
      <c r="B43" s="1">
        <f>Results!B43</f>
        <v>1</v>
      </c>
      <c r="C43" s="45">
        <f>COUNTIF(D$2:D43,D43)+COUNTIF(G$2:G43,D43)</f>
        <v>2</v>
      </c>
      <c r="D43" s="46" t="str">
        <f>Results!D43</f>
        <v>Argentina</v>
      </c>
      <c r="E43" s="1">
        <f>Results!E43</f>
        <v>22</v>
      </c>
      <c r="F43" s="45">
        <f>COUNTIF(D$2:D43,G43)+COUNTIF(G$2:G43,G43)</f>
        <v>2</v>
      </c>
      <c r="G43" s="46" t="str">
        <f>Results!G43</f>
        <v>Austria</v>
      </c>
      <c r="H43" s="1">
        <f ca="1">IF(Results!H43="",AB43,Results!H43)</f>
        <v>1</v>
      </c>
      <c r="I43" s="1">
        <f ca="1">IF(Results!I43="",AC43,Results!I43)</f>
        <v>1</v>
      </c>
      <c r="J43" s="305"/>
      <c r="K43" s="305"/>
      <c r="L43" s="305"/>
      <c r="M43" s="305"/>
      <c r="N43" s="66">
        <f t="shared" ca="1" si="17"/>
        <v>2</v>
      </c>
      <c r="O43" s="65">
        <f t="shared" ca="1" si="18"/>
        <v>0</v>
      </c>
      <c r="P43" s="89">
        <f t="shared" si="19"/>
        <v>1792</v>
      </c>
      <c r="Q43" s="89">
        <f t="shared" si="20"/>
        <v>1607</v>
      </c>
      <c r="R43" s="92">
        <f t="shared" si="15"/>
        <v>185</v>
      </c>
      <c r="S43" s="50">
        <f t="shared" si="21"/>
        <v>0.74556</v>
      </c>
      <c r="T43" s="50">
        <f t="shared" si="22"/>
        <v>0.65852235680000004</v>
      </c>
      <c r="U43" s="50">
        <f t="shared" si="16"/>
        <v>0.17407528640000003</v>
      </c>
      <c r="V43" s="50">
        <f t="shared" si="23"/>
        <v>0.16740235679999996</v>
      </c>
      <c r="W43" s="55">
        <f t="shared" si="24"/>
        <v>0.1740752864</v>
      </c>
      <c r="X43" s="55">
        <f t="shared" si="25"/>
        <v>0.234375</v>
      </c>
      <c r="Y43" s="116">
        <f t="shared" ca="1" si="26"/>
        <v>0.77545288871366136</v>
      </c>
      <c r="Z43" s="66">
        <f t="shared" ca="1" si="27"/>
        <v>2</v>
      </c>
      <c r="AA43" s="116">
        <f t="shared" ca="1" si="28"/>
        <v>0.671723909417973</v>
      </c>
      <c r="AB43" s="301">
        <f t="shared" ca="1" si="29"/>
        <v>1</v>
      </c>
      <c r="AC43" s="301">
        <f t="shared" ca="1" si="30"/>
        <v>1</v>
      </c>
      <c r="AD43" s="116"/>
      <c r="AE43" s="66"/>
      <c r="AF43" s="66"/>
      <c r="AG43" s="116"/>
      <c r="AH43" s="66"/>
      <c r="AI43" s="66"/>
    </row>
    <row r="44" spans="1:35" ht="15" customHeight="1" x14ac:dyDescent="0.25">
      <c r="A44" s="44" t="s">
        <v>1317</v>
      </c>
      <c r="B44" s="1">
        <f>Results!B44</f>
        <v>3</v>
      </c>
      <c r="C44" s="45">
        <f>COUNTIF(D$2:D44,D44)+COUNTIF(G$2:G44,D44)</f>
        <v>2</v>
      </c>
      <c r="D44" s="46" t="str">
        <f>Results!D44</f>
        <v>France</v>
      </c>
      <c r="E44" s="1">
        <f>Results!E44</f>
        <v>39</v>
      </c>
      <c r="F44" s="45">
        <f>COUNTIF(D$2:D44,G44)+COUNTIF(G$2:G44,G44)</f>
        <v>2</v>
      </c>
      <c r="G44" s="46" t="str">
        <f>Results!G44</f>
        <v>Iraq</v>
      </c>
      <c r="H44" s="1">
        <f ca="1">IF(Results!H44="",AB44,Results!H44)</f>
        <v>2</v>
      </c>
      <c r="I44" s="1">
        <f ca="1">IF(Results!I44="",AC44,Results!I44)</f>
        <v>0</v>
      </c>
      <c r="J44" s="305"/>
      <c r="K44" s="305"/>
      <c r="L44" s="305"/>
      <c r="M44" s="305"/>
      <c r="N44" s="66">
        <f t="shared" ca="1" si="17"/>
        <v>1</v>
      </c>
      <c r="O44" s="65">
        <f t="shared" ca="1" si="18"/>
        <v>0</v>
      </c>
      <c r="P44" s="89">
        <f t="shared" si="19"/>
        <v>1819</v>
      </c>
      <c r="Q44" s="89">
        <f t="shared" si="20"/>
        <v>1446</v>
      </c>
      <c r="R44" s="92">
        <f t="shared" si="15"/>
        <v>373</v>
      </c>
      <c r="S44" s="50">
        <f t="shared" si="21"/>
        <v>0.90881999999999996</v>
      </c>
      <c r="T44" s="50">
        <f t="shared" si="22"/>
        <v>0.87519939619999998</v>
      </c>
      <c r="U44" s="50">
        <f t="shared" si="16"/>
        <v>6.7241207599999964E-2</v>
      </c>
      <c r="V44" s="50">
        <f t="shared" si="23"/>
        <v>5.7559396200000001E-2</v>
      </c>
      <c r="W44" s="55">
        <f t="shared" si="24"/>
        <v>6.7241207600000019E-2</v>
      </c>
      <c r="X44" s="55">
        <f t="shared" si="25"/>
        <v>0.234375</v>
      </c>
      <c r="Y44" s="116">
        <f t="shared" ca="1" si="26"/>
        <v>0.28248745911742412</v>
      </c>
      <c r="Z44" s="66">
        <f t="shared" ca="1" si="27"/>
        <v>1</v>
      </c>
      <c r="AA44" s="116">
        <f t="shared" ca="1" si="28"/>
        <v>0.32276925731890049</v>
      </c>
      <c r="AB44" s="301">
        <f t="shared" ca="1" si="29"/>
        <v>2</v>
      </c>
      <c r="AC44" s="301">
        <f t="shared" ca="1" si="30"/>
        <v>0</v>
      </c>
      <c r="AD44" s="116"/>
      <c r="AE44" s="66"/>
      <c r="AF44" s="66"/>
      <c r="AG44" s="116"/>
      <c r="AH44" s="66"/>
      <c r="AI44" s="66"/>
    </row>
    <row r="45" spans="1:35" ht="15" customHeight="1" x14ac:dyDescent="0.25">
      <c r="A45" s="44" t="s">
        <v>1318</v>
      </c>
      <c r="B45" s="1">
        <f>Results!B45</f>
        <v>28</v>
      </c>
      <c r="C45" s="45">
        <f>COUNTIF(D$2:D45,D45)+COUNTIF(G$2:G45,D45)</f>
        <v>2</v>
      </c>
      <c r="D45" s="46" t="str">
        <f>Results!D45</f>
        <v>Norway</v>
      </c>
      <c r="E45" s="1">
        <f>Results!E45</f>
        <v>14</v>
      </c>
      <c r="F45" s="45">
        <f>COUNTIF(D$2:D45,G45)+COUNTIF(G$2:G45,G45)</f>
        <v>2</v>
      </c>
      <c r="G45" s="46" t="str">
        <f>Results!G45</f>
        <v>Senegal</v>
      </c>
      <c r="H45" s="1">
        <f ca="1">IF(Results!H45="",AB45,Results!H45)</f>
        <v>0</v>
      </c>
      <c r="I45" s="1">
        <f ca="1">IF(Results!I45="",AC45,Results!I45)</f>
        <v>4</v>
      </c>
      <c r="J45" s="305"/>
      <c r="K45" s="305"/>
      <c r="L45" s="305"/>
      <c r="M45" s="305"/>
      <c r="N45" s="66">
        <f t="shared" ca="1" si="17"/>
        <v>3</v>
      </c>
      <c r="O45" s="65">
        <f t="shared" ca="1" si="18"/>
        <v>2</v>
      </c>
      <c r="P45" s="89">
        <f t="shared" si="19"/>
        <v>1637</v>
      </c>
      <c r="Q45" s="89">
        <f t="shared" si="20"/>
        <v>1654</v>
      </c>
      <c r="R45" s="92">
        <f t="shared" si="15"/>
        <v>-17</v>
      </c>
      <c r="S45" s="50">
        <f t="shared" si="21"/>
        <v>0.47286</v>
      </c>
      <c r="T45" s="50">
        <f t="shared" si="22"/>
        <v>0.35604078979999998</v>
      </c>
      <c r="U45" s="50">
        <f t="shared" si="16"/>
        <v>0.23363842039999994</v>
      </c>
      <c r="V45" s="50">
        <f t="shared" si="23"/>
        <v>0.41032078980000003</v>
      </c>
      <c r="W45" s="55">
        <f t="shared" si="24"/>
        <v>0.23363842039999999</v>
      </c>
      <c r="X45" s="55">
        <f t="shared" si="25"/>
        <v>0.234375</v>
      </c>
      <c r="Y45" s="116">
        <f t="shared" ca="1" si="26"/>
        <v>0.79643596162755093</v>
      </c>
      <c r="Z45" s="66">
        <f t="shared" ca="1" si="27"/>
        <v>3</v>
      </c>
      <c r="AA45" s="116">
        <f t="shared" ca="1" si="28"/>
        <v>0.50389050851732153</v>
      </c>
      <c r="AB45" s="301">
        <f t="shared" ca="1" si="29"/>
        <v>0</v>
      </c>
      <c r="AC45" s="301">
        <f t="shared" ca="1" si="30"/>
        <v>4</v>
      </c>
      <c r="AD45" s="116"/>
      <c r="AE45" s="66"/>
      <c r="AF45" s="66"/>
      <c r="AG45" s="116"/>
      <c r="AH45" s="66"/>
      <c r="AI45" s="66"/>
    </row>
    <row r="46" spans="1:35" ht="15" customHeight="1" x14ac:dyDescent="0.25">
      <c r="A46" s="44" t="s">
        <v>1319</v>
      </c>
      <c r="B46" s="1">
        <f>Results!B46</f>
        <v>42</v>
      </c>
      <c r="C46" s="45">
        <f>COUNTIF(D$2:D46,D46)+COUNTIF(G$2:G46,D46)</f>
        <v>2</v>
      </c>
      <c r="D46" s="46" t="str">
        <f>Results!D46</f>
        <v>Jordan</v>
      </c>
      <c r="E46" s="1">
        <f>Results!E46</f>
        <v>25</v>
      </c>
      <c r="F46" s="45">
        <f>COUNTIF(D$2:D46,G46)+COUNTIF(G$2:G46,G46)</f>
        <v>2</v>
      </c>
      <c r="G46" s="46" t="str">
        <f>Results!G46</f>
        <v>Algeria</v>
      </c>
      <c r="H46" s="1">
        <f ca="1">IF(Results!H46="",AB46,Results!H46)</f>
        <v>1</v>
      </c>
      <c r="I46" s="1">
        <f ca="1">IF(Results!I46="",AC46,Results!I46)</f>
        <v>2</v>
      </c>
      <c r="J46" s="305"/>
      <c r="K46" s="305"/>
      <c r="L46" s="305"/>
      <c r="M46" s="305"/>
      <c r="N46" s="66">
        <f t="shared" ca="1" si="17"/>
        <v>3</v>
      </c>
      <c r="O46" s="65">
        <f t="shared" ca="1" si="18"/>
        <v>0</v>
      </c>
      <c r="P46" s="89">
        <f t="shared" si="19"/>
        <v>1388</v>
      </c>
      <c r="Q46" s="89">
        <f t="shared" si="20"/>
        <v>1591</v>
      </c>
      <c r="R46" s="92">
        <f t="shared" si="15"/>
        <v>-203</v>
      </c>
      <c r="S46" s="50">
        <f t="shared" si="21"/>
        <v>0.23555999999999999</v>
      </c>
      <c r="T46" s="50">
        <f t="shared" si="22"/>
        <v>0.1533367568</v>
      </c>
      <c r="U46" s="50">
        <f t="shared" si="16"/>
        <v>0.16444648640000006</v>
      </c>
      <c r="V46" s="50">
        <f t="shared" si="23"/>
        <v>0.68221675679999993</v>
      </c>
      <c r="W46" s="55">
        <f t="shared" si="24"/>
        <v>0.16444648639999998</v>
      </c>
      <c r="X46" s="55">
        <f t="shared" si="25"/>
        <v>0.234375</v>
      </c>
      <c r="Y46" s="116">
        <f t="shared" ca="1" si="26"/>
        <v>0.82287451129485789</v>
      </c>
      <c r="Z46" s="66">
        <f t="shared" ca="1" si="27"/>
        <v>3</v>
      </c>
      <c r="AA46" s="116">
        <f t="shared" ca="1" si="28"/>
        <v>0.74036772486216051</v>
      </c>
      <c r="AB46" s="301">
        <f t="shared" ca="1" si="29"/>
        <v>1</v>
      </c>
      <c r="AC46" s="301">
        <f t="shared" ca="1" si="30"/>
        <v>2</v>
      </c>
      <c r="AD46" s="116"/>
      <c r="AE46" s="66"/>
      <c r="AF46" s="66"/>
      <c r="AG46" s="116"/>
      <c r="AH46" s="66"/>
      <c r="AI46" s="66"/>
    </row>
    <row r="47" spans="1:35" ht="15" customHeight="1" x14ac:dyDescent="0.25">
      <c r="A47" s="44" t="s">
        <v>1320</v>
      </c>
      <c r="B47" s="1">
        <f>Results!B47</f>
        <v>5</v>
      </c>
      <c r="C47" s="45">
        <f>COUNTIF(D$2:D47,D47)+COUNTIF(G$2:G47,D47)</f>
        <v>2</v>
      </c>
      <c r="D47" s="46" t="str">
        <f>Results!D47</f>
        <v>Portugal</v>
      </c>
      <c r="E47" s="1">
        <f>Results!E47</f>
        <v>37</v>
      </c>
      <c r="F47" s="45">
        <f>COUNTIF(D$2:D47,G47)+COUNTIF(G$2:G47,G47)</f>
        <v>2</v>
      </c>
      <c r="G47" s="46" t="str">
        <f>Results!G47</f>
        <v>Uzbekistan</v>
      </c>
      <c r="H47" s="1">
        <f ca="1">IF(Results!H47="",AB47,Results!H47)</f>
        <v>1</v>
      </c>
      <c r="I47" s="1">
        <f ca="1">IF(Results!I47="",AC47,Results!I47)</f>
        <v>0</v>
      </c>
      <c r="J47" s="305"/>
      <c r="K47" s="305"/>
      <c r="L47" s="305"/>
      <c r="M47" s="305"/>
      <c r="N47" s="66">
        <f t="shared" ca="1" si="17"/>
        <v>1</v>
      </c>
      <c r="O47" s="65">
        <f t="shared" ca="1" si="18"/>
        <v>0</v>
      </c>
      <c r="P47" s="89">
        <f t="shared" si="19"/>
        <v>1798</v>
      </c>
      <c r="Q47" s="89">
        <f t="shared" si="20"/>
        <v>1459</v>
      </c>
      <c r="R47" s="92">
        <f t="shared" si="15"/>
        <v>339</v>
      </c>
      <c r="S47" s="50">
        <f t="shared" si="21"/>
        <v>0.88624999999999998</v>
      </c>
      <c r="T47" s="50">
        <f t="shared" si="22"/>
        <v>0.84365703125000002</v>
      </c>
      <c r="U47" s="50">
        <f t="shared" si="16"/>
        <v>8.5185937500000031E-2</v>
      </c>
      <c r="V47" s="50">
        <f t="shared" si="23"/>
        <v>7.1157031249999975E-2</v>
      </c>
      <c r="W47" s="55">
        <f t="shared" si="24"/>
        <v>8.5185937500000003E-2</v>
      </c>
      <c r="X47" s="55">
        <f t="shared" si="25"/>
        <v>0.234375</v>
      </c>
      <c r="Y47" s="116">
        <f t="shared" ca="1" si="26"/>
        <v>2.2692086928614907E-2</v>
      </c>
      <c r="Z47" s="66">
        <f t="shared" ca="1" si="27"/>
        <v>1</v>
      </c>
      <c r="AA47" s="116">
        <f t="shared" ca="1" si="28"/>
        <v>2.6897288931490675E-2</v>
      </c>
      <c r="AB47" s="301">
        <f t="shared" ca="1" si="29"/>
        <v>1</v>
      </c>
      <c r="AC47" s="301">
        <f t="shared" ca="1" si="30"/>
        <v>0</v>
      </c>
      <c r="AD47" s="116"/>
      <c r="AE47" s="66"/>
      <c r="AF47" s="66"/>
      <c r="AG47" s="116"/>
      <c r="AH47" s="66"/>
      <c r="AI47" s="66"/>
    </row>
    <row r="48" spans="1:35" ht="15" customHeight="1" x14ac:dyDescent="0.25">
      <c r="A48" s="44" t="s">
        <v>1321</v>
      </c>
      <c r="B48" s="1">
        <f>Results!B48</f>
        <v>4</v>
      </c>
      <c r="C48" s="45">
        <f>COUNTIF(D$2:D48,D48)+COUNTIF(G$2:G48,D48)</f>
        <v>2</v>
      </c>
      <c r="D48" s="46" t="str">
        <f>Results!D48</f>
        <v>England</v>
      </c>
      <c r="E48" s="1">
        <f>Results!E48</f>
        <v>45</v>
      </c>
      <c r="F48" s="45">
        <f>COUNTIF(D$2:D48,G48)+COUNTIF(G$2:G48,G48)</f>
        <v>2</v>
      </c>
      <c r="G48" s="46" t="str">
        <f>Results!G48</f>
        <v>Ghana</v>
      </c>
      <c r="H48" s="1">
        <f ca="1">IF(Results!H48="",AB48,Results!H48)</f>
        <v>2</v>
      </c>
      <c r="I48" s="1">
        <f ca="1">IF(Results!I48="",AC48,Results!I48)</f>
        <v>1</v>
      </c>
      <c r="J48" s="305"/>
      <c r="K48" s="305"/>
      <c r="L48" s="305"/>
      <c r="M48" s="305"/>
      <c r="N48" s="66">
        <f t="shared" ca="1" si="17"/>
        <v>1</v>
      </c>
      <c r="O48" s="65">
        <f t="shared" ca="1" si="18"/>
        <v>0</v>
      </c>
      <c r="P48" s="89">
        <f t="shared" si="19"/>
        <v>1803</v>
      </c>
      <c r="Q48" s="89">
        <f t="shared" si="20"/>
        <v>1447</v>
      </c>
      <c r="R48" s="92">
        <f t="shared" si="15"/>
        <v>356</v>
      </c>
      <c r="S48" s="50">
        <f t="shared" si="21"/>
        <v>0.89646999999999999</v>
      </c>
      <c r="T48" s="50">
        <f t="shared" si="22"/>
        <v>0.85787673045000001</v>
      </c>
      <c r="U48" s="50">
        <f t="shared" si="16"/>
        <v>7.7186539100000062E-2</v>
      </c>
      <c r="V48" s="50">
        <f t="shared" si="23"/>
        <v>6.493673044999998E-2</v>
      </c>
      <c r="W48" s="55">
        <f t="shared" si="24"/>
        <v>7.7186539100000007E-2</v>
      </c>
      <c r="X48" s="55">
        <f t="shared" si="25"/>
        <v>0.234375</v>
      </c>
      <c r="Y48" s="116">
        <f t="shared" ca="1" si="26"/>
        <v>0.62595110852951275</v>
      </c>
      <c r="Z48" s="66">
        <f t="shared" ca="1" si="27"/>
        <v>1</v>
      </c>
      <c r="AA48" s="116">
        <f t="shared" ca="1" si="28"/>
        <v>0.72965157616662424</v>
      </c>
      <c r="AB48" s="301">
        <f t="shared" ca="1" si="29"/>
        <v>2</v>
      </c>
      <c r="AC48" s="301">
        <f t="shared" ca="1" si="30"/>
        <v>1</v>
      </c>
      <c r="AD48" s="116"/>
      <c r="AE48" s="66"/>
      <c r="AF48" s="66"/>
      <c r="AG48" s="116"/>
      <c r="AH48" s="66"/>
      <c r="AI48" s="66"/>
    </row>
    <row r="49" spans="1:35" ht="15" customHeight="1" x14ac:dyDescent="0.25">
      <c r="A49" s="44" t="s">
        <v>1322</v>
      </c>
      <c r="B49" s="1">
        <f>Results!B49</f>
        <v>30</v>
      </c>
      <c r="C49" s="45">
        <f>COUNTIF(D$2:D49,D49)+COUNTIF(G$2:G49,D49)</f>
        <v>2</v>
      </c>
      <c r="D49" s="46" t="str">
        <f>Results!D49</f>
        <v>Panama</v>
      </c>
      <c r="E49" s="1">
        <f>Results!E49</f>
        <v>11</v>
      </c>
      <c r="F49" s="45">
        <f>COUNTIF(D$2:D49,G49)+COUNTIF(G$2:G49,G49)</f>
        <v>2</v>
      </c>
      <c r="G49" s="46" t="str">
        <f>Results!G49</f>
        <v>Croatia</v>
      </c>
      <c r="H49" s="1">
        <f ca="1">IF(Results!H49="",AB49,Results!H49)</f>
        <v>0</v>
      </c>
      <c r="I49" s="1">
        <f ca="1">IF(Results!I49="",AC49,Results!I49)</f>
        <v>3</v>
      </c>
      <c r="J49" s="305"/>
      <c r="K49" s="305"/>
      <c r="L49" s="305"/>
      <c r="M49" s="305"/>
      <c r="N49" s="66">
        <f t="shared" ca="1" si="17"/>
        <v>3</v>
      </c>
      <c r="O49" s="65">
        <f t="shared" ca="1" si="18"/>
        <v>2</v>
      </c>
      <c r="P49" s="89">
        <f t="shared" si="19"/>
        <v>1569</v>
      </c>
      <c r="Q49" s="89">
        <f t="shared" si="20"/>
        <v>1695</v>
      </c>
      <c r="R49" s="92">
        <f t="shared" si="15"/>
        <v>-126</v>
      </c>
      <c r="S49" s="50">
        <f t="shared" si="21"/>
        <v>0.32624999999999998</v>
      </c>
      <c r="T49" s="50">
        <f t="shared" si="22"/>
        <v>0.22415703124999997</v>
      </c>
      <c r="U49" s="50">
        <f t="shared" si="16"/>
        <v>0.20418593750000003</v>
      </c>
      <c r="V49" s="50">
        <f t="shared" si="23"/>
        <v>0.57165703125</v>
      </c>
      <c r="W49" s="55">
        <f t="shared" si="24"/>
        <v>0.2041859375</v>
      </c>
      <c r="X49" s="55">
        <f t="shared" si="25"/>
        <v>0.234375</v>
      </c>
      <c r="Y49" s="116">
        <f t="shared" ca="1" si="26"/>
        <v>0.66536902149683697</v>
      </c>
      <c r="Z49" s="66">
        <f t="shared" ca="1" si="27"/>
        <v>3</v>
      </c>
      <c r="AA49" s="116">
        <f t="shared" ca="1" si="28"/>
        <v>0.41462982136080734</v>
      </c>
      <c r="AB49" s="301">
        <f t="shared" ca="1" si="29"/>
        <v>0</v>
      </c>
      <c r="AC49" s="301">
        <f t="shared" ca="1" si="30"/>
        <v>3</v>
      </c>
      <c r="AD49" s="116"/>
      <c r="AE49" s="66"/>
      <c r="AF49" s="66"/>
      <c r="AG49" s="116"/>
      <c r="AH49" s="66"/>
      <c r="AI49" s="66"/>
    </row>
    <row r="50" spans="1:35" ht="15" customHeight="1" x14ac:dyDescent="0.25">
      <c r="A50" s="44" t="s">
        <v>1323</v>
      </c>
      <c r="B50" s="1">
        <f>Results!B50</f>
        <v>12</v>
      </c>
      <c r="C50" s="45">
        <f>COUNTIF(D$2:D50,D50)+COUNTIF(G$2:G50,D50)</f>
        <v>2</v>
      </c>
      <c r="D50" s="46" t="str">
        <f>Results!D50</f>
        <v>Colombia</v>
      </c>
      <c r="E50" s="1">
        <f>Results!E50</f>
        <v>36</v>
      </c>
      <c r="F50" s="45">
        <f>COUNTIF(D$2:D50,G50)+COUNTIF(G$2:G50,G50)</f>
        <v>2</v>
      </c>
      <c r="G50" s="46" t="str">
        <f>Results!G50</f>
        <v>Congo DR</v>
      </c>
      <c r="H50" s="1">
        <f ca="1">IF(Results!H50="",AB50,Results!H50)</f>
        <v>2</v>
      </c>
      <c r="I50" s="1">
        <f ca="1">IF(Results!I50="",AC50,Results!I50)</f>
        <v>0</v>
      </c>
      <c r="J50" s="305"/>
      <c r="K50" s="305"/>
      <c r="L50" s="305"/>
      <c r="M50" s="305"/>
      <c r="N50" s="66">
        <f t="shared" ca="1" si="17"/>
        <v>1</v>
      </c>
      <c r="O50" s="65">
        <f t="shared" ca="1" si="18"/>
        <v>0</v>
      </c>
      <c r="P50" s="89">
        <f t="shared" si="19"/>
        <v>1723</v>
      </c>
      <c r="Q50" s="89">
        <f t="shared" si="20"/>
        <v>1474</v>
      </c>
      <c r="R50" s="92">
        <f t="shared" si="15"/>
        <v>249</v>
      </c>
      <c r="S50" s="50">
        <f t="shared" si="21"/>
        <v>0.81272999999999995</v>
      </c>
      <c r="T50" s="50">
        <f t="shared" si="22"/>
        <v>0.74444252644999998</v>
      </c>
      <c r="U50" s="50">
        <f t="shared" si="16"/>
        <v>0.13657494710000007</v>
      </c>
      <c r="V50" s="50">
        <f t="shared" si="23"/>
        <v>0.11898252645000001</v>
      </c>
      <c r="W50" s="55">
        <f t="shared" si="24"/>
        <v>0.13657494710000001</v>
      </c>
      <c r="X50" s="55">
        <f t="shared" si="25"/>
        <v>0.234375</v>
      </c>
      <c r="Y50" s="116">
        <f t="shared" ca="1" si="26"/>
        <v>0.21679261739550271</v>
      </c>
      <c r="Z50" s="66">
        <f t="shared" ca="1" si="27"/>
        <v>1</v>
      </c>
      <c r="AA50" s="116">
        <f t="shared" ca="1" si="28"/>
        <v>0.29121471395423221</v>
      </c>
      <c r="AB50" s="301">
        <f t="shared" ca="1" si="29"/>
        <v>2</v>
      </c>
      <c r="AC50" s="301">
        <f t="shared" ca="1" si="30"/>
        <v>0</v>
      </c>
      <c r="AD50" s="116"/>
      <c r="AE50" s="66"/>
      <c r="AF50" s="66"/>
      <c r="AG50" s="116"/>
      <c r="AH50" s="66"/>
      <c r="AI50" s="66"/>
    </row>
    <row r="51" spans="1:35" ht="15" customHeight="1" x14ac:dyDescent="0.25">
      <c r="A51" s="44" t="s">
        <v>1324</v>
      </c>
      <c r="B51" s="1">
        <f>Results!B51</f>
        <v>18</v>
      </c>
      <c r="C51" s="45">
        <f>COUNTIF(D$2:D51,D51)+COUNTIF(G$2:G51,D51)</f>
        <v>3</v>
      </c>
      <c r="D51" s="46" t="str">
        <f>Results!D51</f>
        <v>Switzerland</v>
      </c>
      <c r="E51" s="1">
        <f>Results!E51</f>
        <v>27</v>
      </c>
      <c r="F51" s="45">
        <f>COUNTIF(D$2:D51,G51)+COUNTIF(G$2:G51,G51)</f>
        <v>3</v>
      </c>
      <c r="G51" s="46" t="str">
        <f>Results!G51</f>
        <v>Canada</v>
      </c>
      <c r="H51" s="1">
        <f ca="1">IF(Results!H51="",AB51,Results!H51)</f>
        <v>1</v>
      </c>
      <c r="I51" s="1">
        <f ca="1">IF(Results!I51="",AC51,Results!I51)</f>
        <v>0</v>
      </c>
      <c r="J51" s="305"/>
      <c r="K51" s="305"/>
      <c r="L51" s="305"/>
      <c r="M51" s="305"/>
      <c r="N51" s="66">
        <f t="shared" ca="1" si="17"/>
        <v>1</v>
      </c>
      <c r="O51" s="65">
        <f t="shared" ca="1" si="18"/>
        <v>0</v>
      </c>
      <c r="P51" s="89">
        <f t="shared" si="19"/>
        <v>1646.0833500000001</v>
      </c>
      <c r="Q51" s="89">
        <f t="shared" si="20"/>
        <v>1581.7334000000001</v>
      </c>
      <c r="R51" s="92">
        <f t="shared" si="15"/>
        <v>64.349950000000035</v>
      </c>
      <c r="S51" s="50">
        <f t="shared" si="21"/>
        <v>0.59286000000000005</v>
      </c>
      <c r="T51" s="50">
        <f t="shared" si="22"/>
        <v>0.47998398980000007</v>
      </c>
      <c r="U51" s="50">
        <f t="shared" si="16"/>
        <v>0.22575202039999992</v>
      </c>
      <c r="V51" s="50">
        <f t="shared" si="23"/>
        <v>0.29426398980000001</v>
      </c>
      <c r="W51" s="55">
        <f t="shared" si="24"/>
        <v>0.2257520204</v>
      </c>
      <c r="X51" s="55">
        <f t="shared" si="25"/>
        <v>0.234375</v>
      </c>
      <c r="Y51" s="116">
        <f t="shared" ca="1" si="26"/>
        <v>0.12956540619391366</v>
      </c>
      <c r="Z51" s="66">
        <f t="shared" ca="1" si="27"/>
        <v>1</v>
      </c>
      <c r="AA51" s="116">
        <f t="shared" ca="1" si="28"/>
        <v>0.26993693320458673</v>
      </c>
      <c r="AB51" s="301">
        <f t="shared" ca="1" si="29"/>
        <v>1</v>
      </c>
      <c r="AC51" s="301">
        <f t="shared" ca="1" si="30"/>
        <v>0</v>
      </c>
      <c r="AD51" s="116"/>
      <c r="AE51" s="66"/>
      <c r="AF51" s="66"/>
      <c r="AG51" s="116"/>
      <c r="AH51" s="66"/>
      <c r="AI51" s="66"/>
    </row>
    <row r="52" spans="1:35" ht="15" customHeight="1" x14ac:dyDescent="0.25">
      <c r="A52" s="44" t="s">
        <v>1325</v>
      </c>
      <c r="B52" s="1">
        <f>Results!B52</f>
        <v>43</v>
      </c>
      <c r="C52" s="45">
        <f>COUNTIF(D$2:D52,D52)+COUNTIF(G$2:G52,D52)</f>
        <v>3</v>
      </c>
      <c r="D52" s="46" t="str">
        <f>Results!D52</f>
        <v>Bosnia-Herzegovina</v>
      </c>
      <c r="E52" s="1">
        <f>Results!E52</f>
        <v>38</v>
      </c>
      <c r="F52" s="45">
        <f>COUNTIF(D$2:D52,G52)+COUNTIF(G$2:G52,G52)</f>
        <v>3</v>
      </c>
      <c r="G52" s="46" t="str">
        <f>Results!G52</f>
        <v>Qatar</v>
      </c>
      <c r="H52" s="1">
        <f ca="1">IF(Results!H52="",AB52,Results!H52)</f>
        <v>0</v>
      </c>
      <c r="I52" s="1">
        <f ca="1">IF(Results!I52="",AC52,Results!I52)</f>
        <v>0</v>
      </c>
      <c r="J52" s="305"/>
      <c r="K52" s="305"/>
      <c r="L52" s="305"/>
      <c r="M52" s="305"/>
      <c r="N52" s="66">
        <f t="shared" ca="1" si="17"/>
        <v>2</v>
      </c>
      <c r="O52" s="65">
        <f t="shared" ca="1" si="18"/>
        <v>0</v>
      </c>
      <c r="P52" s="89">
        <f t="shared" si="19"/>
        <v>1410.6333</v>
      </c>
      <c r="Q52" s="89">
        <f t="shared" si="20"/>
        <v>1457.8333</v>
      </c>
      <c r="R52" s="92">
        <f t="shared" si="15"/>
        <v>-47.200000000000045</v>
      </c>
      <c r="S52" s="50">
        <f t="shared" si="21"/>
        <v>0.43</v>
      </c>
      <c r="T52" s="50">
        <f t="shared" si="22"/>
        <v>0.3152625</v>
      </c>
      <c r="U52" s="50">
        <f t="shared" si="16"/>
        <v>0.22947499999999998</v>
      </c>
      <c r="V52" s="50">
        <f t="shared" si="23"/>
        <v>0.45526250000000001</v>
      </c>
      <c r="W52" s="55">
        <f t="shared" si="24"/>
        <v>0.22947500000000001</v>
      </c>
      <c r="X52" s="55">
        <f t="shared" si="25"/>
        <v>0.234375</v>
      </c>
      <c r="Y52" s="116">
        <f t="shared" ca="1" si="26"/>
        <v>0.36742540530560219</v>
      </c>
      <c r="Z52" s="66">
        <f t="shared" ca="1" si="27"/>
        <v>2</v>
      </c>
      <c r="AA52" s="116">
        <f t="shared" ca="1" si="28"/>
        <v>0.22731410962240853</v>
      </c>
      <c r="AB52" s="301">
        <f t="shared" ca="1" si="29"/>
        <v>0</v>
      </c>
      <c r="AC52" s="301">
        <f t="shared" ca="1" si="30"/>
        <v>0</v>
      </c>
      <c r="AD52" s="116"/>
      <c r="AE52" s="66"/>
      <c r="AF52" s="66"/>
      <c r="AG52" s="116"/>
      <c r="AH52" s="66"/>
      <c r="AI52" s="66"/>
    </row>
    <row r="53" spans="1:35" ht="15" customHeight="1" x14ac:dyDescent="0.25">
      <c r="A53" s="44" t="s">
        <v>1326</v>
      </c>
      <c r="B53" s="1">
        <f>Results!B53</f>
        <v>34</v>
      </c>
      <c r="C53" s="45">
        <f>COUNTIF(D$2:D53,D53)+COUNTIF(G$2:G53,D53)</f>
        <v>3</v>
      </c>
      <c r="D53" s="46" t="str">
        <f>Results!D53</f>
        <v>Scotland</v>
      </c>
      <c r="E53" s="1">
        <f>Results!E53</f>
        <v>6</v>
      </c>
      <c r="F53" s="45">
        <f>COUNTIF(D$2:D53,G53)+COUNTIF(G$2:G53,G53)</f>
        <v>3</v>
      </c>
      <c r="G53" s="46" t="str">
        <f>Results!G53</f>
        <v>Brazil</v>
      </c>
      <c r="H53" s="1">
        <f ca="1">IF(Results!H53="",AB53,Results!H53)</f>
        <v>0</v>
      </c>
      <c r="I53" s="1">
        <f ca="1">IF(Results!I53="",AC53,Results!I53)</f>
        <v>1</v>
      </c>
      <c r="J53" s="305"/>
      <c r="K53" s="305"/>
      <c r="L53" s="305"/>
      <c r="M53" s="305"/>
      <c r="N53" s="66">
        <f t="shared" ca="1" si="17"/>
        <v>3</v>
      </c>
      <c r="O53" s="65">
        <f t="shared" ca="1" si="18"/>
        <v>0</v>
      </c>
      <c r="P53" s="89">
        <f t="shared" si="19"/>
        <v>1535.9549999999999</v>
      </c>
      <c r="Q53" s="89">
        <f t="shared" si="20"/>
        <v>1784.0571</v>
      </c>
      <c r="R53" s="92">
        <f t="shared" si="15"/>
        <v>-248.10210000000006</v>
      </c>
      <c r="S53" s="50">
        <f t="shared" si="21"/>
        <v>0.18817999999999999</v>
      </c>
      <c r="T53" s="50">
        <f t="shared" si="22"/>
        <v>0.11960835619999999</v>
      </c>
      <c r="U53" s="50">
        <f t="shared" si="16"/>
        <v>0.13714328759999994</v>
      </c>
      <c r="V53" s="50">
        <f t="shared" si="23"/>
        <v>0.74324835620000007</v>
      </c>
      <c r="W53" s="55">
        <f t="shared" si="24"/>
        <v>0.1371432876</v>
      </c>
      <c r="X53" s="55">
        <f t="shared" si="25"/>
        <v>0.234375</v>
      </c>
      <c r="Y53" s="116">
        <f t="shared" ca="1" si="26"/>
        <v>0.33305949998145779</v>
      </c>
      <c r="Z53" s="66">
        <f t="shared" ca="1" si="27"/>
        <v>3</v>
      </c>
      <c r="AA53" s="116">
        <f t="shared" ca="1" si="28"/>
        <v>0.10266804567398766</v>
      </c>
      <c r="AB53" s="301">
        <f t="shared" ca="1" si="29"/>
        <v>0</v>
      </c>
      <c r="AC53" s="301">
        <f t="shared" ca="1" si="30"/>
        <v>1</v>
      </c>
      <c r="AD53" s="116"/>
      <c r="AE53" s="66"/>
      <c r="AF53" s="66"/>
      <c r="AG53" s="116"/>
      <c r="AH53" s="66"/>
      <c r="AI53" s="66"/>
    </row>
    <row r="54" spans="1:35" ht="15" customHeight="1" x14ac:dyDescent="0.25">
      <c r="A54" s="44" t="s">
        <v>1327</v>
      </c>
      <c r="B54" s="1">
        <f>Results!B54</f>
        <v>7</v>
      </c>
      <c r="C54" s="45">
        <f>COUNTIF(D$2:D54,D54)+COUNTIF(G$2:G54,D54)</f>
        <v>3</v>
      </c>
      <c r="D54" s="46" t="str">
        <f>Results!D54</f>
        <v>Morocco</v>
      </c>
      <c r="E54" s="1">
        <f>Results!E54</f>
        <v>47</v>
      </c>
      <c r="F54" s="45">
        <f>COUNTIF(D$2:D54,G54)+COUNTIF(G$2:G54,G54)</f>
        <v>3</v>
      </c>
      <c r="G54" s="46" t="str">
        <f>Results!G54</f>
        <v>Haiti</v>
      </c>
      <c r="H54" s="1">
        <f ca="1">IF(Results!H54="",AB54,Results!H54)</f>
        <v>3</v>
      </c>
      <c r="I54" s="1">
        <f ca="1">IF(Results!I54="",AC54,Results!I54)</f>
        <v>0</v>
      </c>
      <c r="J54" s="305"/>
      <c r="K54" s="305"/>
      <c r="L54" s="305"/>
      <c r="M54" s="305"/>
      <c r="N54" s="66">
        <f t="shared" ca="1" si="17"/>
        <v>1</v>
      </c>
      <c r="O54" s="65">
        <f t="shared" ca="1" si="18"/>
        <v>2</v>
      </c>
      <c r="P54" s="89">
        <f t="shared" si="19"/>
        <v>1696.97145</v>
      </c>
      <c r="Q54" s="89">
        <f t="shared" si="20"/>
        <v>1287.0899999999999</v>
      </c>
      <c r="R54" s="92">
        <f t="shared" si="15"/>
        <v>409.88145000000009</v>
      </c>
      <c r="S54" s="50">
        <f t="shared" si="21"/>
        <v>0.92849999999999999</v>
      </c>
      <c r="T54" s="50">
        <f t="shared" si="22"/>
        <v>0.90311862499999995</v>
      </c>
      <c r="U54" s="50">
        <f t="shared" si="16"/>
        <v>5.0762749999999968E-2</v>
      </c>
      <c r="V54" s="50">
        <f t="shared" si="23"/>
        <v>4.6118625000000052E-2</v>
      </c>
      <c r="W54" s="55">
        <f t="shared" si="24"/>
        <v>5.0762749999999995E-2</v>
      </c>
      <c r="X54" s="55">
        <f t="shared" si="25"/>
        <v>0.234375</v>
      </c>
      <c r="Y54" s="116">
        <f t="shared" ca="1" si="26"/>
        <v>0.41845157808336719</v>
      </c>
      <c r="Z54" s="66">
        <f t="shared" ca="1" si="27"/>
        <v>1</v>
      </c>
      <c r="AA54" s="116">
        <f t="shared" ca="1" si="28"/>
        <v>0.4633406581370938</v>
      </c>
      <c r="AB54" s="301">
        <f t="shared" ca="1" si="29"/>
        <v>3</v>
      </c>
      <c r="AC54" s="301">
        <f t="shared" ca="1" si="30"/>
        <v>0</v>
      </c>
      <c r="AD54" s="116"/>
      <c r="AE54" s="66"/>
      <c r="AF54" s="66"/>
      <c r="AG54" s="116"/>
      <c r="AH54" s="66"/>
      <c r="AI54" s="66"/>
    </row>
    <row r="55" spans="1:35" ht="15" customHeight="1" x14ac:dyDescent="0.25">
      <c r="A55" s="44" t="s">
        <v>1328</v>
      </c>
      <c r="B55" s="1">
        <f>Results!B55</f>
        <v>32</v>
      </c>
      <c r="C55" s="45">
        <f>COUNTIF(D$2:D55,D55)+COUNTIF(G$2:G55,D55)</f>
        <v>3</v>
      </c>
      <c r="D55" s="46" t="str">
        <f>Results!D55</f>
        <v>Czechia</v>
      </c>
      <c r="E55" s="1">
        <f>Results!E55</f>
        <v>13</v>
      </c>
      <c r="F55" s="45">
        <f>COUNTIF(D$2:D55,G55)+COUNTIF(G$2:G55,G55)</f>
        <v>3</v>
      </c>
      <c r="G55" s="46" t="str">
        <f>Results!G55</f>
        <v>Mexico</v>
      </c>
      <c r="H55" s="1">
        <f ca="1">IF(Results!H55="",AB55,Results!H55)</f>
        <v>0</v>
      </c>
      <c r="I55" s="1">
        <f ca="1">IF(Results!I55="",AC55,Results!I55)</f>
        <v>1</v>
      </c>
      <c r="J55" s="305"/>
      <c r="K55" s="305"/>
      <c r="L55" s="305"/>
      <c r="M55" s="305"/>
      <c r="N55" s="66">
        <f t="shared" ca="1" si="17"/>
        <v>3</v>
      </c>
      <c r="O55" s="65">
        <f t="shared" ca="1" si="18"/>
        <v>0</v>
      </c>
      <c r="P55" s="89">
        <f t="shared" si="19"/>
        <v>1500.3375000000001</v>
      </c>
      <c r="Q55" s="89">
        <f t="shared" si="20"/>
        <v>1706.9365</v>
      </c>
      <c r="R55" s="92">
        <f t="shared" si="15"/>
        <v>-206.59899999999993</v>
      </c>
      <c r="S55" s="50">
        <f t="shared" si="21"/>
        <v>0.23111000000000001</v>
      </c>
      <c r="T55" s="50">
        <f t="shared" si="22"/>
        <v>0.15007341604999999</v>
      </c>
      <c r="U55" s="50">
        <f t="shared" si="16"/>
        <v>0.16207316790000006</v>
      </c>
      <c r="V55" s="50">
        <f t="shared" si="23"/>
        <v>0.68785341604999994</v>
      </c>
      <c r="W55" s="55">
        <f t="shared" si="24"/>
        <v>0.16207316790000004</v>
      </c>
      <c r="X55" s="55">
        <f t="shared" si="25"/>
        <v>0.234375</v>
      </c>
      <c r="Y55" s="116">
        <f t="shared" ca="1" si="26"/>
        <v>0.47552436295737555</v>
      </c>
      <c r="Z55" s="66">
        <f t="shared" ca="1" si="27"/>
        <v>3</v>
      </c>
      <c r="AA55" s="116">
        <f t="shared" ca="1" si="28"/>
        <v>0.23751830723698777</v>
      </c>
      <c r="AB55" s="301">
        <f t="shared" ca="1" si="29"/>
        <v>0</v>
      </c>
      <c r="AC55" s="301">
        <f t="shared" ca="1" si="30"/>
        <v>1</v>
      </c>
      <c r="AD55" s="116"/>
      <c r="AE55" s="66"/>
      <c r="AF55" s="66"/>
      <c r="AG55" s="116"/>
      <c r="AH55" s="66"/>
      <c r="AI55" s="66"/>
    </row>
    <row r="56" spans="1:35" ht="15" customHeight="1" x14ac:dyDescent="0.25">
      <c r="A56" s="44" t="s">
        <v>1329</v>
      </c>
      <c r="B56" s="1">
        <f>Results!B56</f>
        <v>40</v>
      </c>
      <c r="C56" s="45">
        <f>COUNTIF(D$2:D56,D56)+COUNTIF(G$2:G56,D56)</f>
        <v>3</v>
      </c>
      <c r="D56" s="46" t="str">
        <f>Results!D56</f>
        <v>South Africa</v>
      </c>
      <c r="E56" s="1">
        <f>Results!E56</f>
        <v>23</v>
      </c>
      <c r="F56" s="45">
        <f>COUNTIF(D$2:D56,G56)+COUNTIF(G$2:G56,G56)</f>
        <v>3</v>
      </c>
      <c r="G56" s="46" t="str">
        <f>Results!G56</f>
        <v>Korea Republic</v>
      </c>
      <c r="H56" s="1">
        <f ca="1">IF(Results!H56="",AB56,Results!H56)</f>
        <v>0</v>
      </c>
      <c r="I56" s="1">
        <f ca="1">IF(Results!I56="",AC56,Results!I56)</f>
        <v>1</v>
      </c>
      <c r="J56" s="305"/>
      <c r="K56" s="305"/>
      <c r="L56" s="305"/>
      <c r="M56" s="305"/>
      <c r="N56" s="66">
        <f t="shared" ca="1" si="17"/>
        <v>3</v>
      </c>
      <c r="O56" s="65">
        <f t="shared" ca="1" si="18"/>
        <v>0</v>
      </c>
      <c r="P56" s="89">
        <f t="shared" si="19"/>
        <v>1425.5317500000001</v>
      </c>
      <c r="Q56" s="89">
        <f t="shared" si="20"/>
        <v>1603.325</v>
      </c>
      <c r="R56" s="92">
        <f t="shared" si="15"/>
        <v>-177.79324999999994</v>
      </c>
      <c r="S56" s="50">
        <f t="shared" si="21"/>
        <v>0.26333000000000001</v>
      </c>
      <c r="T56" s="50">
        <f t="shared" si="22"/>
        <v>0.17414884445000001</v>
      </c>
      <c r="U56" s="50">
        <f t="shared" si="16"/>
        <v>0.1783623111</v>
      </c>
      <c r="V56" s="50">
        <f t="shared" si="23"/>
        <v>0.64748884444999999</v>
      </c>
      <c r="W56" s="55">
        <f t="shared" si="24"/>
        <v>0.1783623111</v>
      </c>
      <c r="X56" s="55">
        <f t="shared" si="25"/>
        <v>0.234375</v>
      </c>
      <c r="Y56" s="116">
        <f t="shared" ca="1" si="26"/>
        <v>0.38492585859352446</v>
      </c>
      <c r="Z56" s="66">
        <f t="shared" ca="1" si="27"/>
        <v>3</v>
      </c>
      <c r="AA56" s="116">
        <f t="shared" ca="1" si="28"/>
        <v>5.006217994544547E-2</v>
      </c>
      <c r="AB56" s="301">
        <f t="shared" ca="1" si="29"/>
        <v>0</v>
      </c>
      <c r="AC56" s="301">
        <f t="shared" ca="1" si="30"/>
        <v>1</v>
      </c>
      <c r="AD56" s="116"/>
      <c r="AE56" s="66"/>
      <c r="AF56" s="66"/>
      <c r="AG56" s="116"/>
      <c r="AH56" s="66"/>
      <c r="AI56" s="66"/>
    </row>
    <row r="57" spans="1:35" ht="15" customHeight="1" x14ac:dyDescent="0.25">
      <c r="A57" s="44" t="s">
        <v>1330</v>
      </c>
      <c r="B57" s="1">
        <f>Results!B57</f>
        <v>46</v>
      </c>
      <c r="C57" s="45">
        <f>COUNTIF(D$2:D57,D57)+COUNTIF(G$2:G57,D57)</f>
        <v>3</v>
      </c>
      <c r="D57" s="46" t="str">
        <f>Results!D57</f>
        <v>Curaçao</v>
      </c>
      <c r="E57" s="1">
        <f>Results!E57</f>
        <v>29</v>
      </c>
      <c r="F57" s="45">
        <f>COUNTIF(D$2:D57,G57)+COUNTIF(G$2:G57,G57)</f>
        <v>3</v>
      </c>
      <c r="G57" s="46" t="str">
        <f>Results!G57</f>
        <v>Cote d'Ivorie</v>
      </c>
      <c r="H57" s="1">
        <f ca="1">IF(Results!H57="",AB57,Results!H57)</f>
        <v>1</v>
      </c>
      <c r="I57" s="1">
        <f ca="1">IF(Results!I57="",AC57,Results!I57)</f>
        <v>2</v>
      </c>
      <c r="J57" s="305"/>
      <c r="K57" s="305"/>
      <c r="L57" s="305"/>
      <c r="M57" s="305"/>
      <c r="N57" s="66">
        <f t="shared" ca="1" si="17"/>
        <v>3</v>
      </c>
      <c r="O57" s="65">
        <f t="shared" ca="1" si="18"/>
        <v>0</v>
      </c>
      <c r="P57" s="89">
        <f t="shared" si="19"/>
        <v>1294.30864</v>
      </c>
      <c r="Q57" s="89">
        <f t="shared" si="20"/>
        <v>1481.6624999999999</v>
      </c>
      <c r="R57" s="92">
        <f t="shared" si="15"/>
        <v>-187.35385999999994</v>
      </c>
      <c r="S57" s="50">
        <f t="shared" si="21"/>
        <v>0.25222</v>
      </c>
      <c r="T57" s="50">
        <f t="shared" si="22"/>
        <v>0.1657299642</v>
      </c>
      <c r="U57" s="50">
        <f t="shared" si="16"/>
        <v>0.17298007159999992</v>
      </c>
      <c r="V57" s="50">
        <f t="shared" si="23"/>
        <v>0.66128996420000008</v>
      </c>
      <c r="W57" s="55">
        <f t="shared" si="24"/>
        <v>0.17298007160000001</v>
      </c>
      <c r="X57" s="55">
        <f t="shared" si="25"/>
        <v>0.234375</v>
      </c>
      <c r="Y57" s="116">
        <f t="shared" ca="1" si="26"/>
        <v>0.76764395645319572</v>
      </c>
      <c r="Z57" s="66">
        <f t="shared" ca="1" si="27"/>
        <v>3</v>
      </c>
      <c r="AA57" s="116">
        <f t="shared" ca="1" si="28"/>
        <v>0.64863213397182196</v>
      </c>
      <c r="AB57" s="301">
        <f t="shared" ca="1" si="29"/>
        <v>1</v>
      </c>
      <c r="AC57" s="301">
        <f t="shared" ca="1" si="30"/>
        <v>2</v>
      </c>
      <c r="AD57" s="116"/>
      <c r="AE57" s="66"/>
      <c r="AF57" s="66"/>
      <c r="AG57" s="116"/>
      <c r="AH57" s="66"/>
      <c r="AI57" s="66"/>
    </row>
    <row r="58" spans="1:35" ht="15" customHeight="1" x14ac:dyDescent="0.25">
      <c r="A58" s="44" t="s">
        <v>1331</v>
      </c>
      <c r="B58" s="1">
        <f>Results!B58</f>
        <v>21</v>
      </c>
      <c r="C58" s="45">
        <f>COUNTIF(D$2:D58,D58)+COUNTIF(G$2:G58,D58)</f>
        <v>3</v>
      </c>
      <c r="D58" s="46" t="str">
        <f>Results!D58</f>
        <v>Ecuador</v>
      </c>
      <c r="E58" s="1">
        <f>Results!E58</f>
        <v>10</v>
      </c>
      <c r="F58" s="45">
        <f>COUNTIF(D$2:D58,G58)+COUNTIF(G$2:G58,G58)</f>
        <v>3</v>
      </c>
      <c r="G58" s="46" t="str">
        <f>Results!G58</f>
        <v>Germany</v>
      </c>
      <c r="H58" s="1">
        <f ca="1">IF(Results!H58="",AB58,Results!H58)</f>
        <v>1</v>
      </c>
      <c r="I58" s="1">
        <f ca="1">IF(Results!I58="",AC58,Results!I58)</f>
        <v>0</v>
      </c>
      <c r="J58" s="305"/>
      <c r="K58" s="305"/>
      <c r="L58" s="305"/>
      <c r="M58" s="305"/>
      <c r="N58" s="66">
        <f t="shared" ca="1" si="17"/>
        <v>1</v>
      </c>
      <c r="O58" s="65">
        <f t="shared" ca="1" si="18"/>
        <v>0</v>
      </c>
      <c r="P58" s="89">
        <f t="shared" si="19"/>
        <v>1588.66875</v>
      </c>
      <c r="Q58" s="89">
        <f t="shared" si="20"/>
        <v>1772.3827200000001</v>
      </c>
      <c r="R58" s="92">
        <f t="shared" si="15"/>
        <v>-183.71397000000002</v>
      </c>
      <c r="S58" s="50">
        <f t="shared" si="21"/>
        <v>0.25667000000000001</v>
      </c>
      <c r="T58" s="50">
        <f t="shared" si="22"/>
        <v>0.16908724445000001</v>
      </c>
      <c r="U58" s="50">
        <f t="shared" si="16"/>
        <v>0.1751655111</v>
      </c>
      <c r="V58" s="50">
        <f t="shared" si="23"/>
        <v>0.65574724444999999</v>
      </c>
      <c r="W58" s="55">
        <f t="shared" si="24"/>
        <v>0.1751655111</v>
      </c>
      <c r="X58" s="55">
        <f t="shared" si="25"/>
        <v>0.234375</v>
      </c>
      <c r="Y58" s="116">
        <f t="shared" ca="1" si="26"/>
        <v>3.9814960347616335E-2</v>
      </c>
      <c r="Z58" s="66">
        <f t="shared" ca="1" si="27"/>
        <v>1</v>
      </c>
      <c r="AA58" s="116">
        <f t="shared" ca="1" si="28"/>
        <v>0.23546992250731147</v>
      </c>
      <c r="AB58" s="301">
        <f t="shared" ca="1" si="29"/>
        <v>1</v>
      </c>
      <c r="AC58" s="301">
        <f t="shared" ca="1" si="30"/>
        <v>0</v>
      </c>
      <c r="AD58" s="116"/>
      <c r="AE58" s="66"/>
      <c r="AF58" s="66"/>
      <c r="AG58" s="116"/>
      <c r="AH58" s="66"/>
      <c r="AI58" s="66"/>
    </row>
    <row r="59" spans="1:35" ht="15" customHeight="1" x14ac:dyDescent="0.25">
      <c r="A59" s="44" t="s">
        <v>1332</v>
      </c>
      <c r="B59" s="1">
        <f>Results!B59</f>
        <v>17</v>
      </c>
      <c r="C59" s="45">
        <f>COUNTIF(D$2:D59,D59)+COUNTIF(G$2:G59,D59)</f>
        <v>3</v>
      </c>
      <c r="D59" s="46" t="str">
        <f>Results!D59</f>
        <v>Japan</v>
      </c>
      <c r="E59" s="1">
        <f>Results!E59</f>
        <v>31</v>
      </c>
      <c r="F59" s="45">
        <f>COUNTIF(D$2:D59,G59)+COUNTIF(G$2:G59,G59)</f>
        <v>3</v>
      </c>
      <c r="G59" s="46" t="str">
        <f>Results!G59</f>
        <v>Sweden</v>
      </c>
      <c r="H59" s="1">
        <f ca="1">IF(Results!H59="",AB59,Results!H59)</f>
        <v>1</v>
      </c>
      <c r="I59" s="1">
        <f ca="1">IF(Results!I59="",AC59,Results!I59)</f>
        <v>0</v>
      </c>
      <c r="J59" s="305"/>
      <c r="K59" s="305"/>
      <c r="L59" s="305"/>
      <c r="M59" s="305"/>
      <c r="N59" s="66">
        <f t="shared" ca="1" si="17"/>
        <v>1</v>
      </c>
      <c r="O59" s="65">
        <f t="shared" ca="1" si="18"/>
        <v>0</v>
      </c>
      <c r="P59" s="89">
        <f t="shared" si="19"/>
        <v>1663.85625</v>
      </c>
      <c r="Q59" s="89">
        <f t="shared" si="20"/>
        <v>1573.44</v>
      </c>
      <c r="R59" s="92">
        <f t="shared" si="15"/>
        <v>90.416249999999991</v>
      </c>
      <c r="S59" s="50">
        <f t="shared" si="21"/>
        <v>0.62749999999999995</v>
      </c>
      <c r="T59" s="50">
        <f t="shared" si="22"/>
        <v>0.51844062499999999</v>
      </c>
      <c r="U59" s="50">
        <f t="shared" si="16"/>
        <v>0.21811875000000003</v>
      </c>
      <c r="V59" s="50">
        <f t="shared" si="23"/>
        <v>0.26344062499999998</v>
      </c>
      <c r="W59" s="55">
        <f t="shared" si="24"/>
        <v>0.21811875000000003</v>
      </c>
      <c r="X59" s="55">
        <f t="shared" si="25"/>
        <v>0.234375</v>
      </c>
      <c r="Y59" s="116">
        <f t="shared" ca="1" si="26"/>
        <v>7.0840370127193131E-2</v>
      </c>
      <c r="Z59" s="66">
        <f t="shared" ca="1" si="27"/>
        <v>1</v>
      </c>
      <c r="AA59" s="116">
        <f t="shared" ca="1" si="28"/>
        <v>0.13664124050308196</v>
      </c>
      <c r="AB59" s="301">
        <f t="shared" ca="1" si="29"/>
        <v>1</v>
      </c>
      <c r="AC59" s="301">
        <f t="shared" ca="1" si="30"/>
        <v>0</v>
      </c>
      <c r="AD59" s="116"/>
      <c r="AE59" s="66"/>
      <c r="AF59" s="66"/>
      <c r="AG59" s="116"/>
      <c r="AH59" s="66"/>
      <c r="AI59" s="66"/>
    </row>
    <row r="60" spans="1:35" ht="15" customHeight="1" x14ac:dyDescent="0.25">
      <c r="A60" s="44" t="s">
        <v>1333</v>
      </c>
      <c r="B60" s="1">
        <f>Results!B60</f>
        <v>35</v>
      </c>
      <c r="C60" s="45">
        <f>COUNTIF(D$2:D60,D60)+COUNTIF(G$2:G60,D60)</f>
        <v>3</v>
      </c>
      <c r="D60" s="46" t="str">
        <f>Results!D60</f>
        <v>Tunisia</v>
      </c>
      <c r="E60" s="1">
        <f>Results!E60</f>
        <v>8</v>
      </c>
      <c r="F60" s="45">
        <f>COUNTIF(D$2:D60,G60)+COUNTIF(G$2:G60,G60)</f>
        <v>3</v>
      </c>
      <c r="G60" s="46" t="str">
        <f>Results!G60</f>
        <v>Netherlands</v>
      </c>
      <c r="H60" s="1">
        <f ca="1">IF(Results!H60="",AB60,Results!H60)</f>
        <v>0</v>
      </c>
      <c r="I60" s="1">
        <f ca="1">IF(Results!I60="",AC60,Results!I60)</f>
        <v>3</v>
      </c>
      <c r="J60" s="305"/>
      <c r="K60" s="305"/>
      <c r="L60" s="305"/>
      <c r="M60" s="305"/>
      <c r="N60" s="66">
        <f t="shared" ca="1" si="17"/>
        <v>3</v>
      </c>
      <c r="O60" s="65">
        <f t="shared" ca="1" si="18"/>
        <v>2</v>
      </c>
      <c r="P60" s="89">
        <f t="shared" si="19"/>
        <v>1499.28</v>
      </c>
      <c r="Q60" s="89">
        <f t="shared" si="20"/>
        <v>1745.2874999999999</v>
      </c>
      <c r="R60" s="92">
        <f t="shared" si="15"/>
        <v>-246.00749999999994</v>
      </c>
      <c r="S60" s="50">
        <f t="shared" si="21"/>
        <v>0.19</v>
      </c>
      <c r="T60" s="50">
        <f t="shared" si="22"/>
        <v>0.12086250000000001</v>
      </c>
      <c r="U60" s="50">
        <f t="shared" si="16"/>
        <v>0.13827500000000001</v>
      </c>
      <c r="V60" s="50">
        <f t="shared" si="23"/>
        <v>0.74086249999999998</v>
      </c>
      <c r="W60" s="55">
        <f t="shared" si="24"/>
        <v>0.13827499999999998</v>
      </c>
      <c r="X60" s="55">
        <f t="shared" si="25"/>
        <v>0.234375</v>
      </c>
      <c r="Y60" s="116">
        <f t="shared" ca="1" si="26"/>
        <v>0.58681808454280493</v>
      </c>
      <c r="Z60" s="66">
        <f t="shared" ca="1" si="27"/>
        <v>3</v>
      </c>
      <c r="AA60" s="116">
        <f t="shared" ca="1" si="28"/>
        <v>0.4422960867135331</v>
      </c>
      <c r="AB60" s="301">
        <f t="shared" ca="1" si="29"/>
        <v>0</v>
      </c>
      <c r="AC60" s="301">
        <f t="shared" ca="1" si="30"/>
        <v>3</v>
      </c>
      <c r="AD60" s="116"/>
      <c r="AE60" s="66"/>
      <c r="AF60" s="66"/>
      <c r="AG60" s="116"/>
      <c r="AH60" s="66"/>
      <c r="AI60" s="66"/>
    </row>
    <row r="61" spans="1:35" ht="15" customHeight="1" x14ac:dyDescent="0.25">
      <c r="A61" s="44" t="s">
        <v>1334</v>
      </c>
      <c r="B61" s="1">
        <f>Results!B61</f>
        <v>20</v>
      </c>
      <c r="C61" s="45">
        <f>COUNTIF(D$2:D61,D61)+COUNTIF(G$2:G61,D61)</f>
        <v>3</v>
      </c>
      <c r="D61" s="46" t="str">
        <f>Results!D61</f>
        <v>Turkiye</v>
      </c>
      <c r="E61" s="1">
        <f>Results!E61</f>
        <v>16</v>
      </c>
      <c r="F61" s="45">
        <f>COUNTIF(D$2:D61,G61)+COUNTIF(G$2:G61,G61)</f>
        <v>3</v>
      </c>
      <c r="G61" s="46" t="str">
        <f>Results!G61</f>
        <v>USA</v>
      </c>
      <c r="H61" s="1">
        <f ca="1">IF(Results!H61="",AB61,Results!H61)</f>
        <v>2</v>
      </c>
      <c r="I61" s="1">
        <f ca="1">IF(Results!I61="",AC61,Results!I61)</f>
        <v>1</v>
      </c>
      <c r="J61" s="305"/>
      <c r="K61" s="305"/>
      <c r="L61" s="305"/>
      <c r="M61" s="305"/>
      <c r="N61" s="66">
        <f t="shared" ca="1" si="17"/>
        <v>1</v>
      </c>
      <c r="O61" s="65">
        <f t="shared" ca="1" si="18"/>
        <v>0</v>
      </c>
      <c r="P61" s="89">
        <f t="shared" si="19"/>
        <v>1597.2625</v>
      </c>
      <c r="Q61" s="89">
        <f t="shared" si="20"/>
        <v>1681.4</v>
      </c>
      <c r="R61" s="92">
        <f t="shared" si="15"/>
        <v>-84.137500000000045</v>
      </c>
      <c r="S61" s="50">
        <f t="shared" si="21"/>
        <v>0.38</v>
      </c>
      <c r="T61" s="50">
        <f t="shared" si="22"/>
        <v>0.27001249999999999</v>
      </c>
      <c r="U61" s="50">
        <f t="shared" si="16"/>
        <v>0.21997500000000003</v>
      </c>
      <c r="V61" s="50">
        <f t="shared" si="23"/>
        <v>0.51001249999999998</v>
      </c>
      <c r="W61" s="55">
        <f t="shared" si="24"/>
        <v>0.219975</v>
      </c>
      <c r="X61" s="55">
        <f t="shared" si="25"/>
        <v>0.234375</v>
      </c>
      <c r="Y61" s="116">
        <f t="shared" ca="1" si="26"/>
        <v>0.1945538166209908</v>
      </c>
      <c r="Z61" s="66">
        <f t="shared" ca="1" si="27"/>
        <v>1</v>
      </c>
      <c r="AA61" s="116">
        <f t="shared" ca="1" si="28"/>
        <v>0.72053633302528886</v>
      </c>
      <c r="AB61" s="301">
        <f t="shared" ca="1" si="29"/>
        <v>2</v>
      </c>
      <c r="AC61" s="301">
        <f t="shared" ca="1" si="30"/>
        <v>1</v>
      </c>
      <c r="AD61" s="116"/>
      <c r="AE61" s="66"/>
      <c r="AF61" s="66"/>
      <c r="AG61" s="116"/>
      <c r="AH61" s="66"/>
      <c r="AI61" s="66"/>
    </row>
    <row r="62" spans="1:35" ht="15" customHeight="1" x14ac:dyDescent="0.25">
      <c r="A62" s="44" t="s">
        <v>1335</v>
      </c>
      <c r="B62" s="1">
        <f>Results!B62</f>
        <v>33</v>
      </c>
      <c r="C62" s="45">
        <f>COUNTIF(D$2:D62,D62)+COUNTIF(G$2:G62,D62)</f>
        <v>3</v>
      </c>
      <c r="D62" s="46" t="str">
        <f>Results!D62</f>
        <v>Paraguay</v>
      </c>
      <c r="E62" s="1">
        <f>Results!E62</f>
        <v>24</v>
      </c>
      <c r="F62" s="45">
        <f>COUNTIF(D$2:D62,G62)+COUNTIF(G$2:G62,G62)</f>
        <v>3</v>
      </c>
      <c r="G62" s="46" t="str">
        <f>Results!G62</f>
        <v>Australia</v>
      </c>
      <c r="H62" s="1">
        <f ca="1">IF(Results!H62="",AB62,Results!H62)</f>
        <v>1</v>
      </c>
      <c r="I62" s="1">
        <f ca="1">IF(Results!I62="",AC62,Results!I62)</f>
        <v>2</v>
      </c>
      <c r="J62" s="305"/>
      <c r="K62" s="305"/>
      <c r="L62" s="305"/>
      <c r="M62" s="305"/>
      <c r="N62" s="66">
        <f t="shared" ca="1" si="17"/>
        <v>3</v>
      </c>
      <c r="O62" s="65">
        <f t="shared" ca="1" si="18"/>
        <v>0</v>
      </c>
      <c r="P62" s="89">
        <f t="shared" si="19"/>
        <v>1539.8</v>
      </c>
      <c r="Q62" s="89">
        <f t="shared" si="20"/>
        <v>1566.4749999999999</v>
      </c>
      <c r="R62" s="92">
        <f t="shared" si="15"/>
        <v>-26.674999999999955</v>
      </c>
      <c r="S62" s="50">
        <f t="shared" si="21"/>
        <v>0.46</v>
      </c>
      <c r="T62" s="50">
        <f t="shared" si="22"/>
        <v>0.34361249999999999</v>
      </c>
      <c r="U62" s="50">
        <f t="shared" si="16"/>
        <v>0.23277500000000007</v>
      </c>
      <c r="V62" s="50">
        <f t="shared" si="23"/>
        <v>0.4236125</v>
      </c>
      <c r="W62" s="55">
        <f t="shared" si="24"/>
        <v>0.23277500000000001</v>
      </c>
      <c r="X62" s="55">
        <f t="shared" si="25"/>
        <v>0.234375</v>
      </c>
      <c r="Y62" s="116">
        <f t="shared" ca="1" si="26"/>
        <v>0.81072134487244696</v>
      </c>
      <c r="Z62" s="66">
        <f t="shared" ca="1" si="27"/>
        <v>3</v>
      </c>
      <c r="AA62" s="116">
        <f t="shared" ca="1" si="28"/>
        <v>0.55317972173259033</v>
      </c>
      <c r="AB62" s="301">
        <f t="shared" ca="1" si="29"/>
        <v>1</v>
      </c>
      <c r="AC62" s="301">
        <f t="shared" ca="1" si="30"/>
        <v>2</v>
      </c>
      <c r="AD62" s="116"/>
      <c r="AE62" s="66"/>
      <c r="AF62" s="66"/>
      <c r="AG62" s="116"/>
      <c r="AH62" s="66"/>
      <c r="AI62" s="66"/>
    </row>
    <row r="63" spans="1:35" ht="15" customHeight="1" x14ac:dyDescent="0.25">
      <c r="A63" s="44" t="s">
        <v>1336</v>
      </c>
      <c r="B63" s="1">
        <f>Results!B63</f>
        <v>28</v>
      </c>
      <c r="C63" s="45">
        <f>COUNTIF(D$2:D63,D63)+COUNTIF(G$2:G63,D63)</f>
        <v>3</v>
      </c>
      <c r="D63" s="46" t="str">
        <f>Results!D63</f>
        <v>Norway</v>
      </c>
      <c r="E63" s="1">
        <f>Results!E63</f>
        <v>3</v>
      </c>
      <c r="F63" s="45">
        <f>COUNTIF(D$2:D63,G63)+COUNTIF(G$2:G63,G63)</f>
        <v>3</v>
      </c>
      <c r="G63" s="46" t="str">
        <f>Results!G63</f>
        <v>France</v>
      </c>
      <c r="H63" s="1">
        <f ca="1">IF(Results!H63="",AB63,Results!H63)</f>
        <v>1</v>
      </c>
      <c r="I63" s="1">
        <f ca="1">IF(Results!I63="",AC63,Results!I63)</f>
        <v>2</v>
      </c>
      <c r="J63" s="305"/>
      <c r="K63" s="305"/>
      <c r="L63" s="305"/>
      <c r="M63" s="305"/>
      <c r="N63" s="66">
        <f t="shared" ca="1" si="17"/>
        <v>3</v>
      </c>
      <c r="O63" s="65">
        <f t="shared" ca="1" si="18"/>
        <v>0</v>
      </c>
      <c r="P63" s="89">
        <f t="shared" si="19"/>
        <v>1637</v>
      </c>
      <c r="Q63" s="89">
        <f t="shared" si="20"/>
        <v>1819</v>
      </c>
      <c r="R63" s="92">
        <f t="shared" si="15"/>
        <v>-182</v>
      </c>
      <c r="S63" s="50">
        <f t="shared" si="21"/>
        <v>0.25889000000000001</v>
      </c>
      <c r="T63" s="50">
        <f t="shared" si="22"/>
        <v>0.17076951605000001</v>
      </c>
      <c r="U63" s="50">
        <f t="shared" si="16"/>
        <v>0.17624096789999999</v>
      </c>
      <c r="V63" s="50">
        <f t="shared" si="23"/>
        <v>0.65298951605</v>
      </c>
      <c r="W63" s="55">
        <f t="shared" si="24"/>
        <v>0.17624096789999999</v>
      </c>
      <c r="X63" s="55">
        <f t="shared" si="25"/>
        <v>0.234375</v>
      </c>
      <c r="Y63" s="116">
        <f t="shared" ca="1" si="26"/>
        <v>0.81882682230438952</v>
      </c>
      <c r="Z63" s="66">
        <f t="shared" ca="1" si="27"/>
        <v>3</v>
      </c>
      <c r="AA63" s="116">
        <f t="shared" ca="1" si="28"/>
        <v>0.72254810645116407</v>
      </c>
      <c r="AB63" s="301">
        <f t="shared" ca="1" si="29"/>
        <v>1</v>
      </c>
      <c r="AC63" s="301">
        <f t="shared" ca="1" si="30"/>
        <v>2</v>
      </c>
      <c r="AD63" s="116"/>
      <c r="AE63" s="66"/>
      <c r="AF63" s="66"/>
      <c r="AG63" s="116"/>
      <c r="AH63" s="66"/>
      <c r="AI63" s="66"/>
    </row>
    <row r="64" spans="1:35" ht="15" customHeight="1" x14ac:dyDescent="0.25">
      <c r="A64" s="44" t="s">
        <v>1337</v>
      </c>
      <c r="B64" s="1">
        <f>Results!B64</f>
        <v>14</v>
      </c>
      <c r="C64" s="45">
        <f>COUNTIF(D$2:D64,D64)+COUNTIF(G$2:G64,D64)</f>
        <v>3</v>
      </c>
      <c r="D64" s="46" t="str">
        <f>Results!D64</f>
        <v>Senegal</v>
      </c>
      <c r="E64" s="1">
        <f>Results!E64</f>
        <v>39</v>
      </c>
      <c r="F64" s="45">
        <f>COUNTIF(D$2:D64,G64)+COUNTIF(G$2:G64,G64)</f>
        <v>3</v>
      </c>
      <c r="G64" s="46" t="str">
        <f>Results!G64</f>
        <v>Iraq</v>
      </c>
      <c r="H64" s="1">
        <f ca="1">IF(Results!H64="",AB64,Results!H64)</f>
        <v>2</v>
      </c>
      <c r="I64" s="1">
        <f ca="1">IF(Results!I64="",AC64,Results!I64)</f>
        <v>0</v>
      </c>
      <c r="J64" s="305"/>
      <c r="K64" s="305"/>
      <c r="L64" s="305"/>
      <c r="M64" s="305"/>
      <c r="N64" s="66">
        <f t="shared" ca="1" si="17"/>
        <v>1</v>
      </c>
      <c r="O64" s="65">
        <f t="shared" ca="1" si="18"/>
        <v>0</v>
      </c>
      <c r="P64" s="89">
        <f t="shared" si="19"/>
        <v>1654</v>
      </c>
      <c r="Q64" s="89">
        <f t="shared" si="20"/>
        <v>1446</v>
      </c>
      <c r="R64" s="92">
        <f t="shared" si="15"/>
        <v>208</v>
      </c>
      <c r="S64" s="50">
        <f t="shared" si="21"/>
        <v>0.77110999999999996</v>
      </c>
      <c r="T64" s="50">
        <f t="shared" si="22"/>
        <v>0.69067281604999997</v>
      </c>
      <c r="U64" s="50">
        <f t="shared" si="16"/>
        <v>0.16087436789999998</v>
      </c>
      <c r="V64" s="50">
        <f t="shared" si="23"/>
        <v>0.14845281604999999</v>
      </c>
      <c r="W64" s="55">
        <f t="shared" si="24"/>
        <v>0.16087436790000004</v>
      </c>
      <c r="X64" s="55">
        <f t="shared" si="25"/>
        <v>0.234375</v>
      </c>
      <c r="Y64" s="116">
        <f t="shared" ca="1" si="26"/>
        <v>0.21837761558419622</v>
      </c>
      <c r="Z64" s="66">
        <f t="shared" ca="1" si="27"/>
        <v>1</v>
      </c>
      <c r="AA64" s="116">
        <f t="shared" ca="1" si="28"/>
        <v>0.31618099121536469</v>
      </c>
      <c r="AB64" s="301">
        <f t="shared" ca="1" si="29"/>
        <v>2</v>
      </c>
      <c r="AC64" s="301">
        <f t="shared" ca="1" si="30"/>
        <v>0</v>
      </c>
      <c r="AD64" s="116"/>
      <c r="AE64" s="66"/>
      <c r="AF64" s="66"/>
      <c r="AG64" s="116"/>
      <c r="AH64" s="66"/>
      <c r="AI64" s="66"/>
    </row>
    <row r="65" spans="1:35" ht="15" customHeight="1" x14ac:dyDescent="0.25">
      <c r="A65" s="44" t="s">
        <v>1338</v>
      </c>
      <c r="B65" s="1">
        <f>Results!B65</f>
        <v>44</v>
      </c>
      <c r="C65" s="45">
        <f>COUNTIF(D$2:D65,D65)+COUNTIF(G$2:G65,D65)</f>
        <v>3</v>
      </c>
      <c r="D65" s="46" t="str">
        <f>Results!D65</f>
        <v>Cabo Verde</v>
      </c>
      <c r="E65" s="1">
        <f>Results!E65</f>
        <v>41</v>
      </c>
      <c r="F65" s="45">
        <f>COUNTIF(D$2:D65,G65)+COUNTIF(G$2:G65,G65)</f>
        <v>3</v>
      </c>
      <c r="G65" s="46" t="str">
        <f>Results!G65</f>
        <v>Saudi Arabia</v>
      </c>
      <c r="H65" s="1">
        <f ca="1">IF(Results!H65="",AB65,Results!H65)</f>
        <v>1</v>
      </c>
      <c r="I65" s="1">
        <f ca="1">IF(Results!I65="",AC65,Results!I65)</f>
        <v>1</v>
      </c>
      <c r="J65" s="305"/>
      <c r="K65" s="305"/>
      <c r="L65" s="305"/>
      <c r="M65" s="305"/>
      <c r="N65" s="66">
        <f t="shared" ca="1" si="17"/>
        <v>2</v>
      </c>
      <c r="O65" s="65">
        <f t="shared" ca="1" si="18"/>
        <v>0</v>
      </c>
      <c r="P65" s="89">
        <f t="shared" si="19"/>
        <v>1377.7874999999999</v>
      </c>
      <c r="Q65" s="89">
        <f t="shared" si="20"/>
        <v>1433.3545999999999</v>
      </c>
      <c r="R65" s="92">
        <f t="shared" si="15"/>
        <v>-55.567099999999982</v>
      </c>
      <c r="S65" s="50">
        <f t="shared" si="21"/>
        <v>0.41875000000000001</v>
      </c>
      <c r="T65" s="50">
        <f t="shared" si="22"/>
        <v>0.30486328125000001</v>
      </c>
      <c r="U65" s="50">
        <f t="shared" si="16"/>
        <v>0.22777343750000006</v>
      </c>
      <c r="V65" s="50">
        <f t="shared" si="23"/>
        <v>0.46736328124999993</v>
      </c>
      <c r="W65" s="55">
        <f t="shared" si="24"/>
        <v>0.22777343750000001</v>
      </c>
      <c r="X65" s="55">
        <f t="shared" si="25"/>
        <v>0.234375</v>
      </c>
      <c r="Y65" s="116">
        <f t="shared" ca="1" si="26"/>
        <v>0.43153432866727015</v>
      </c>
      <c r="Z65" s="66">
        <f t="shared" ca="1" si="27"/>
        <v>2</v>
      </c>
      <c r="AA65" s="116">
        <f t="shared" ca="1" si="28"/>
        <v>0.55612739047883974</v>
      </c>
      <c r="AB65" s="301">
        <f t="shared" ca="1" si="29"/>
        <v>1</v>
      </c>
      <c r="AC65" s="301">
        <f t="shared" ca="1" si="30"/>
        <v>1</v>
      </c>
      <c r="AD65" s="116"/>
      <c r="AE65" s="66"/>
      <c r="AF65" s="66"/>
      <c r="AG65" s="116"/>
      <c r="AH65" s="66"/>
      <c r="AI65" s="66"/>
    </row>
    <row r="66" spans="1:35" ht="15" customHeight="1" x14ac:dyDescent="0.25">
      <c r="A66" s="44" t="s">
        <v>1339</v>
      </c>
      <c r="B66" s="1">
        <f>Results!B66</f>
        <v>15</v>
      </c>
      <c r="C66" s="45">
        <f>COUNTIF(D$2:D66,D66)+COUNTIF(G$2:G66,D66)</f>
        <v>3</v>
      </c>
      <c r="D66" s="46" t="str">
        <f>Results!D66</f>
        <v>Uruguay</v>
      </c>
      <c r="E66" s="1">
        <f>Results!E66</f>
        <v>2</v>
      </c>
      <c r="F66" s="45">
        <f>COUNTIF(D$2:D66,G66)+COUNTIF(G$2:G66,G66)</f>
        <v>3</v>
      </c>
      <c r="G66" s="46" t="str">
        <f>Results!G66</f>
        <v>Spain</v>
      </c>
      <c r="H66" s="1">
        <f ca="1">IF(Results!H66="",AB66,Results!H66)</f>
        <v>0</v>
      </c>
      <c r="I66" s="1">
        <f ca="1">IF(Results!I66="",AC66,Results!I66)</f>
        <v>2</v>
      </c>
      <c r="J66" s="305"/>
      <c r="K66" s="305"/>
      <c r="L66" s="305"/>
      <c r="M66" s="305"/>
      <c r="N66" s="293">
        <f t="shared" ca="1" si="17"/>
        <v>3</v>
      </c>
      <c r="O66" s="294">
        <f t="shared" ca="1" si="18"/>
        <v>0</v>
      </c>
      <c r="P66" s="295">
        <f t="shared" si="19"/>
        <v>1668.3226999999999</v>
      </c>
      <c r="Q66" s="295">
        <f t="shared" si="20"/>
        <v>1821.425</v>
      </c>
      <c r="R66" s="296">
        <f t="shared" si="15"/>
        <v>-153.10230000000001</v>
      </c>
      <c r="S66" s="297">
        <f t="shared" si="21"/>
        <v>0.29125000000000001</v>
      </c>
      <c r="T66" s="297">
        <f t="shared" ref="T66:T106" si="31">IFERROR(IF(S66-W66/2&lt;0.01,0.01,S66-W66/2),"")</f>
        <v>0.19585078124999999</v>
      </c>
      <c r="U66" s="297">
        <f t="shared" ref="U66:U106" si="32">IFERROR(1-V66-T66,"")</f>
        <v>0.19079843750000003</v>
      </c>
      <c r="V66" s="297">
        <f t="shared" ref="V66:V106" si="33">IFERROR(IF(1-T66-W66&lt;0.01,0.01,1-T66-W66),"")</f>
        <v>0.61335078124999998</v>
      </c>
      <c r="W66" s="298">
        <f t="shared" si="24"/>
        <v>0.1907984375</v>
      </c>
      <c r="X66" s="298">
        <f t="shared" si="25"/>
        <v>0.234375</v>
      </c>
      <c r="Y66" s="299">
        <f t="shared" ca="1" si="26"/>
        <v>0.62248692656334159</v>
      </c>
      <c r="Z66" s="293">
        <f t="shared" ca="1" si="27"/>
        <v>3</v>
      </c>
      <c r="AA66" s="299">
        <f t="shared" ca="1" si="28"/>
        <v>0.3845070635317489</v>
      </c>
      <c r="AB66" s="302">
        <f t="shared" ca="1" si="29"/>
        <v>0</v>
      </c>
      <c r="AC66" s="302">
        <f t="shared" ca="1" si="30"/>
        <v>2</v>
      </c>
      <c r="AD66" s="299"/>
      <c r="AE66" s="293"/>
      <c r="AF66" s="293"/>
      <c r="AG66" s="299"/>
      <c r="AH66" s="293"/>
      <c r="AI66" s="293"/>
    </row>
    <row r="67" spans="1:35" ht="15" customHeight="1" x14ac:dyDescent="0.25">
      <c r="A67" s="44" t="s">
        <v>1340</v>
      </c>
      <c r="B67" s="1">
        <f>Results!B67</f>
        <v>26</v>
      </c>
      <c r="C67" s="45">
        <f>COUNTIF(D$2:D67,D67)+COUNTIF(G$2:G67,D67)</f>
        <v>3</v>
      </c>
      <c r="D67" s="46" t="str">
        <f>Results!D67</f>
        <v>Egypt</v>
      </c>
      <c r="E67" s="1">
        <f>Results!E67</f>
        <v>19</v>
      </c>
      <c r="F67" s="45">
        <f>COUNTIF(D$2:D67,G67)+COUNTIF(G$2:G67,G67)</f>
        <v>3</v>
      </c>
      <c r="G67" s="46" t="str">
        <f>Results!G67</f>
        <v>IR Iran</v>
      </c>
      <c r="H67" s="1">
        <f ca="1">IF(Results!H67="",AB67,Results!H67)</f>
        <v>2</v>
      </c>
      <c r="I67" s="1">
        <f ca="1">IF(Results!I67="",AC67,Results!I67)</f>
        <v>2</v>
      </c>
      <c r="J67" s="305"/>
      <c r="K67" s="305"/>
      <c r="L67" s="305"/>
      <c r="M67" s="305"/>
      <c r="N67" s="293">
        <f t="shared" ref="N67:N98" ca="1" si="34">IF(OR(H67="",H67="P"),"",IF(H67&gt;I67,1,IF(H67=I67,2,3)))</f>
        <v>2</v>
      </c>
      <c r="O67" s="294">
        <f t="shared" ref="O67:O98" ca="1" si="35">IFERROR(IF(ABS(H67-I67)&gt;FGoalDiff,Bonus,0),0)</f>
        <v>0</v>
      </c>
      <c r="P67" s="295">
        <f t="shared" ref="P67:P98" si="36">VLOOKUP(B67,Team,3+C67,FALSE)</f>
        <v>1565.4833000000001</v>
      </c>
      <c r="Q67" s="295">
        <f t="shared" ref="Q67:Q98" si="37">VLOOKUP(E67,Team,3+F67,FALSE)</f>
        <v>1559.425</v>
      </c>
      <c r="R67" s="296">
        <f t="shared" si="15"/>
        <v>6.0583000000001448</v>
      </c>
      <c r="S67" s="297">
        <f t="shared" ref="S67:S98" si="38">IFERROR(VLOOKUP($R67,Ratings,2,TRUE),"")</f>
        <v>0.51285999999999998</v>
      </c>
      <c r="T67" s="297">
        <f t="shared" si="31"/>
        <v>0.39575518979999996</v>
      </c>
      <c r="U67" s="297">
        <f t="shared" si="32"/>
        <v>0.2342096204000001</v>
      </c>
      <c r="V67" s="297">
        <f t="shared" si="33"/>
        <v>0.37003518979999994</v>
      </c>
      <c r="W67" s="298">
        <f t="shared" ref="W67:W98" si="39">X67-(S67-0.5)*(S67-0.5)</f>
        <v>0.23420962040000001</v>
      </c>
      <c r="X67" s="298">
        <f t="shared" ref="X67:X98" si="40">DFactor</f>
        <v>0.234375</v>
      </c>
      <c r="Y67" s="299">
        <f t="shared" ca="1" si="26"/>
        <v>0.59102412996838949</v>
      </c>
      <c r="Z67" s="293">
        <f t="shared" ref="Z67:Z98" ca="1" si="41">IF(Y67&lt;T67,1,IF(Y67&lt;N(T67)+N(U67),2,3))</f>
        <v>2</v>
      </c>
      <c r="AA67" s="299">
        <f t="shared" ref="AA67:AA98" ca="1" si="42">IF(Z67=1,Y67/T67,IF(Z67=2,(Y67-T67)/U67,(Y67-T67-U67)/V67))</f>
        <v>0.83373577838047441</v>
      </c>
      <c r="AB67" s="302">
        <f t="shared" ref="AB67:AB98" ca="1" si="43">IF($Z67=1,VLOOKUP($AA67,Lookup04,2),IF($Z67=2,VLOOKUP($AA67,Lookup05,2),VLOOKUP($AA67,Lookup06,2)))</f>
        <v>2</v>
      </c>
      <c r="AC67" s="302">
        <f t="shared" ref="AC67:AC98" ca="1" si="44">IF($Z67=1,VLOOKUP($AA67,Lookup04,3),IF($Z67=2,VLOOKUP($AA67,Lookup05,3),VLOOKUP($AA67,Lookup06,3)))</f>
        <v>2</v>
      </c>
      <c r="AD67" s="299"/>
      <c r="AE67" s="293"/>
      <c r="AF67" s="293"/>
      <c r="AG67" s="299"/>
      <c r="AH67" s="293"/>
      <c r="AI67" s="293"/>
    </row>
    <row r="68" spans="1:35" ht="15" customHeight="1" x14ac:dyDescent="0.25">
      <c r="A68" s="44" t="s">
        <v>1341</v>
      </c>
      <c r="B68" s="1">
        <f>Results!B68</f>
        <v>48</v>
      </c>
      <c r="C68" s="45">
        <f>COUNTIF(D$2:D68,D68)+COUNTIF(G$2:G68,D68)</f>
        <v>3</v>
      </c>
      <c r="D68" s="46" t="str">
        <f>Results!D68</f>
        <v>New Zealand</v>
      </c>
      <c r="E68" s="1">
        <f>Results!E68</f>
        <v>9</v>
      </c>
      <c r="F68" s="45">
        <f>COUNTIF(D$2:D68,G68)+COUNTIF(G$2:G68,G68)</f>
        <v>3</v>
      </c>
      <c r="G68" s="46" t="str">
        <f>Results!G68</f>
        <v>Belgium</v>
      </c>
      <c r="H68" s="1">
        <f ca="1">IF(Results!H68="",AB68,Results!H68)</f>
        <v>0</v>
      </c>
      <c r="I68" s="1">
        <f ca="1">IF(Results!I68="",AC68,Results!I68)</f>
        <v>1</v>
      </c>
      <c r="J68" s="305"/>
      <c r="K68" s="305"/>
      <c r="L68" s="305"/>
      <c r="M68" s="305"/>
      <c r="N68" s="293">
        <f t="shared" ca="1" si="34"/>
        <v>3</v>
      </c>
      <c r="O68" s="294">
        <f t="shared" ca="1" si="35"/>
        <v>0</v>
      </c>
      <c r="P68" s="295">
        <f t="shared" si="36"/>
        <v>1281.2874999999999</v>
      </c>
      <c r="Q68" s="295">
        <f t="shared" si="37"/>
        <v>1728.0334</v>
      </c>
      <c r="R68" s="296">
        <f t="shared" ref="R68:R106" si="45">IFERROR(IF(P68-Q68&gt;735,735,IF(P68-Q68&lt;-735,-735,P68-Q68)),"")</f>
        <v>-446.74590000000012</v>
      </c>
      <c r="S68" s="297">
        <f t="shared" si="38"/>
        <v>5.4579999999999997E-2</v>
      </c>
      <c r="T68" s="297">
        <f t="shared" si="31"/>
        <v>3.6591988199999988E-2</v>
      </c>
      <c r="U68" s="297">
        <f t="shared" si="32"/>
        <v>3.5976023600000066E-2</v>
      </c>
      <c r="V68" s="297">
        <f t="shared" si="33"/>
        <v>0.92743198819999995</v>
      </c>
      <c r="W68" s="298">
        <f t="shared" si="39"/>
        <v>3.5976023600000018E-2</v>
      </c>
      <c r="X68" s="298">
        <f t="shared" si="40"/>
        <v>0.234375</v>
      </c>
      <c r="Y68" s="299">
        <f t="shared" ca="1" si="26"/>
        <v>0.29697403392287269</v>
      </c>
      <c r="Z68" s="293">
        <f t="shared" ca="1" si="41"/>
        <v>3</v>
      </c>
      <c r="AA68" s="299">
        <f t="shared" ca="1" si="42"/>
        <v>0.24196493648920772</v>
      </c>
      <c r="AB68" s="302">
        <f t="shared" ca="1" si="43"/>
        <v>0</v>
      </c>
      <c r="AC68" s="302">
        <f t="shared" ca="1" si="44"/>
        <v>1</v>
      </c>
      <c r="AD68" s="299"/>
      <c r="AE68" s="293"/>
      <c r="AF68" s="293"/>
      <c r="AG68" s="299"/>
      <c r="AH68" s="293"/>
      <c r="AI68" s="293"/>
    </row>
    <row r="69" spans="1:35" ht="15" customHeight="1" x14ac:dyDescent="0.25">
      <c r="A69" s="44" t="s">
        <v>1342</v>
      </c>
      <c r="B69" s="1">
        <f>Results!B69</f>
        <v>30</v>
      </c>
      <c r="C69" s="45">
        <f>COUNTIF(D$2:D69,D69)+COUNTIF(G$2:G69,D69)</f>
        <v>3</v>
      </c>
      <c r="D69" s="46" t="str">
        <f>Results!D69</f>
        <v>Panama</v>
      </c>
      <c r="E69" s="1">
        <f>Results!E69</f>
        <v>4</v>
      </c>
      <c r="F69" s="45">
        <f>COUNTIF(D$2:D69,G69)+COUNTIF(G$2:G69,G69)</f>
        <v>3</v>
      </c>
      <c r="G69" s="46" t="str">
        <f>Results!G69</f>
        <v>England</v>
      </c>
      <c r="H69" s="1">
        <f ca="1">IF(Results!H69="",AB69,Results!H69)</f>
        <v>2</v>
      </c>
      <c r="I69" s="1">
        <f ca="1">IF(Results!I69="",AC69,Results!I69)</f>
        <v>3</v>
      </c>
      <c r="J69" s="305"/>
      <c r="K69" s="305"/>
      <c r="L69" s="305"/>
      <c r="M69" s="305"/>
      <c r="N69" s="293">
        <f t="shared" ca="1" si="34"/>
        <v>3</v>
      </c>
      <c r="O69" s="294">
        <f t="shared" ca="1" si="35"/>
        <v>0</v>
      </c>
      <c r="P69" s="295">
        <f t="shared" si="36"/>
        <v>1569</v>
      </c>
      <c r="Q69" s="295">
        <f t="shared" si="37"/>
        <v>1803</v>
      </c>
      <c r="R69" s="296">
        <f t="shared" si="45"/>
        <v>-234</v>
      </c>
      <c r="S69" s="297">
        <f t="shared" si="38"/>
        <v>0.20300000000000001</v>
      </c>
      <c r="T69" s="297">
        <f t="shared" si="31"/>
        <v>0.129917</v>
      </c>
      <c r="U69" s="297">
        <f t="shared" si="32"/>
        <v>0.14616600000000007</v>
      </c>
      <c r="V69" s="297">
        <f t="shared" si="33"/>
        <v>0.72391699999999992</v>
      </c>
      <c r="W69" s="298">
        <f t="shared" si="39"/>
        <v>0.14616600000000002</v>
      </c>
      <c r="X69" s="298">
        <f t="shared" si="40"/>
        <v>0.234375</v>
      </c>
      <c r="Y69" s="299">
        <f t="shared" ca="1" si="26"/>
        <v>0.95992771619308115</v>
      </c>
      <c r="Z69" s="293">
        <f t="shared" ca="1" si="41"/>
        <v>3</v>
      </c>
      <c r="AA69" s="299">
        <f t="shared" ca="1" si="42"/>
        <v>0.9446451957794626</v>
      </c>
      <c r="AB69" s="302">
        <f t="shared" ca="1" si="43"/>
        <v>2</v>
      </c>
      <c r="AC69" s="302">
        <f t="shared" ca="1" si="44"/>
        <v>3</v>
      </c>
      <c r="AD69" s="299"/>
      <c r="AE69" s="293"/>
      <c r="AF69" s="293"/>
      <c r="AG69" s="299"/>
      <c r="AH69" s="293"/>
      <c r="AI69" s="293"/>
    </row>
    <row r="70" spans="1:35" ht="15" customHeight="1" x14ac:dyDescent="0.25">
      <c r="A70" s="44" t="s">
        <v>1343</v>
      </c>
      <c r="B70" s="1">
        <f>Results!B70</f>
        <v>11</v>
      </c>
      <c r="C70" s="45">
        <f>COUNTIF(D$2:D70,D70)+COUNTIF(G$2:G70,D70)</f>
        <v>3</v>
      </c>
      <c r="D70" s="46" t="str">
        <f>Results!D70</f>
        <v>Croatia</v>
      </c>
      <c r="E70" s="1">
        <f>Results!E70</f>
        <v>45</v>
      </c>
      <c r="F70" s="45">
        <f>COUNTIF(D$2:D70,G70)+COUNTIF(G$2:G70,G70)</f>
        <v>3</v>
      </c>
      <c r="G70" s="46" t="str">
        <f>Results!G70</f>
        <v>Ghana</v>
      </c>
      <c r="H70" s="1">
        <f ca="1">IF(Results!H70="",AB70,Results!H70)</f>
        <v>1</v>
      </c>
      <c r="I70" s="1">
        <f ca="1">IF(Results!I70="",AC70,Results!I70)</f>
        <v>0</v>
      </c>
      <c r="J70" s="305"/>
      <c r="K70" s="305"/>
      <c r="L70" s="305"/>
      <c r="M70" s="305"/>
      <c r="N70" s="293">
        <f t="shared" ca="1" si="34"/>
        <v>1</v>
      </c>
      <c r="O70" s="294">
        <f t="shared" ca="1" si="35"/>
        <v>0</v>
      </c>
      <c r="P70" s="295">
        <f t="shared" si="36"/>
        <v>1695</v>
      </c>
      <c r="Q70" s="295">
        <f t="shared" si="37"/>
        <v>1447</v>
      </c>
      <c r="R70" s="296">
        <f t="shared" si="45"/>
        <v>248</v>
      </c>
      <c r="S70" s="297">
        <f t="shared" si="38"/>
        <v>0.81181999999999999</v>
      </c>
      <c r="T70" s="297">
        <f t="shared" si="31"/>
        <v>0.74324835619999996</v>
      </c>
      <c r="U70" s="297">
        <f t="shared" si="32"/>
        <v>0.13714328759999994</v>
      </c>
      <c r="V70" s="297">
        <f t="shared" si="33"/>
        <v>0.11960835620000004</v>
      </c>
      <c r="W70" s="298">
        <f t="shared" si="39"/>
        <v>0.1371432876</v>
      </c>
      <c r="X70" s="298">
        <f t="shared" si="40"/>
        <v>0.234375</v>
      </c>
      <c r="Y70" s="299">
        <f t="shared" ca="1" si="26"/>
        <v>6.7360418160498758E-2</v>
      </c>
      <c r="Z70" s="293">
        <f t="shared" ca="1" si="41"/>
        <v>1</v>
      </c>
      <c r="AA70" s="299">
        <f t="shared" ca="1" si="42"/>
        <v>9.0629757332921446E-2</v>
      </c>
      <c r="AB70" s="302">
        <f t="shared" ca="1" si="43"/>
        <v>1</v>
      </c>
      <c r="AC70" s="302">
        <f t="shared" ca="1" si="44"/>
        <v>0</v>
      </c>
      <c r="AD70" s="299"/>
      <c r="AE70" s="293"/>
      <c r="AF70" s="293"/>
      <c r="AG70" s="299"/>
      <c r="AH70" s="293"/>
      <c r="AI70" s="293"/>
    </row>
    <row r="71" spans="1:35" ht="15" customHeight="1" x14ac:dyDescent="0.25">
      <c r="A71" s="44" t="s">
        <v>1344</v>
      </c>
      <c r="B71" s="1">
        <f>Results!B71</f>
        <v>12</v>
      </c>
      <c r="C71" s="45">
        <f>COUNTIF(D$2:D71,D71)+COUNTIF(G$2:G71,D71)</f>
        <v>3</v>
      </c>
      <c r="D71" s="46" t="str">
        <f>Results!D71</f>
        <v>Colombia</v>
      </c>
      <c r="E71" s="1">
        <f>Results!E71</f>
        <v>5</v>
      </c>
      <c r="F71" s="45">
        <f>COUNTIF(D$2:D71,G71)+COUNTIF(G$2:G71,G71)</f>
        <v>3</v>
      </c>
      <c r="G71" s="46" t="str">
        <f>Results!G71</f>
        <v>Portugal</v>
      </c>
      <c r="H71" s="1">
        <f ca="1">IF(Results!H71="",AB71,Results!H71)</f>
        <v>0</v>
      </c>
      <c r="I71" s="1">
        <f ca="1">IF(Results!I71="",AC71,Results!I71)</f>
        <v>0</v>
      </c>
      <c r="J71" s="305"/>
      <c r="K71" s="305"/>
      <c r="L71" s="305"/>
      <c r="M71" s="305"/>
      <c r="N71" s="293">
        <f t="shared" ca="1" si="34"/>
        <v>2</v>
      </c>
      <c r="O71" s="294">
        <f t="shared" ca="1" si="35"/>
        <v>0</v>
      </c>
      <c r="P71" s="295">
        <f t="shared" si="36"/>
        <v>1723</v>
      </c>
      <c r="Q71" s="295">
        <f t="shared" si="37"/>
        <v>1798</v>
      </c>
      <c r="R71" s="296">
        <f t="shared" si="45"/>
        <v>-75</v>
      </c>
      <c r="S71" s="297">
        <f t="shared" si="38"/>
        <v>0.39374999999999999</v>
      </c>
      <c r="T71" s="297">
        <f t="shared" si="31"/>
        <v>0.28220703125000002</v>
      </c>
      <c r="U71" s="297">
        <f t="shared" si="32"/>
        <v>0.22308593750000005</v>
      </c>
      <c r="V71" s="297">
        <f t="shared" si="33"/>
        <v>0.49470703124999998</v>
      </c>
      <c r="W71" s="298">
        <f t="shared" si="39"/>
        <v>0.2230859375</v>
      </c>
      <c r="X71" s="298">
        <f t="shared" si="40"/>
        <v>0.234375</v>
      </c>
      <c r="Y71" s="299">
        <f t="shared" ca="1" si="26"/>
        <v>0.28411137801859276</v>
      </c>
      <c r="Z71" s="293">
        <f t="shared" ca="1" si="41"/>
        <v>2</v>
      </c>
      <c r="AA71" s="299">
        <f t="shared" ca="1" si="42"/>
        <v>8.5363819429126759E-3</v>
      </c>
      <c r="AB71" s="302">
        <f t="shared" ca="1" si="43"/>
        <v>0</v>
      </c>
      <c r="AC71" s="302">
        <f t="shared" ca="1" si="44"/>
        <v>0</v>
      </c>
      <c r="AD71" s="299"/>
      <c r="AE71" s="293"/>
      <c r="AF71" s="293"/>
      <c r="AG71" s="299"/>
      <c r="AH71" s="293"/>
      <c r="AI71" s="293"/>
    </row>
    <row r="72" spans="1:35" ht="15" customHeight="1" x14ac:dyDescent="0.25">
      <c r="A72" s="44" t="s">
        <v>1345</v>
      </c>
      <c r="B72" s="1">
        <f>Results!B72</f>
        <v>36</v>
      </c>
      <c r="C72" s="45">
        <f>COUNTIF(D$2:D72,D72)+COUNTIF(G$2:G72,D72)</f>
        <v>3</v>
      </c>
      <c r="D72" s="46" t="str">
        <f>Results!D72</f>
        <v>Congo DR</v>
      </c>
      <c r="E72" s="1">
        <f>Results!E72</f>
        <v>37</v>
      </c>
      <c r="F72" s="45">
        <f>COUNTIF(D$2:D72,G72)+COUNTIF(G$2:G72,G72)</f>
        <v>3</v>
      </c>
      <c r="G72" s="46" t="str">
        <f>Results!G72</f>
        <v>Uzbekistan</v>
      </c>
      <c r="H72" s="1">
        <f ca="1">IF(Results!H72="",AB72,Results!H72)</f>
        <v>2</v>
      </c>
      <c r="I72" s="1">
        <f ca="1">IF(Results!I72="",AC72,Results!I72)</f>
        <v>1</v>
      </c>
      <c r="J72" s="305"/>
      <c r="K72" s="305"/>
      <c r="L72" s="305"/>
      <c r="M72" s="305"/>
      <c r="N72" s="293">
        <f t="shared" ca="1" si="34"/>
        <v>1</v>
      </c>
      <c r="O72" s="294">
        <f t="shared" ca="1" si="35"/>
        <v>0</v>
      </c>
      <c r="P72" s="295">
        <f t="shared" si="36"/>
        <v>1474</v>
      </c>
      <c r="Q72" s="295">
        <f t="shared" si="37"/>
        <v>1459</v>
      </c>
      <c r="R72" s="296">
        <f t="shared" si="45"/>
        <v>15</v>
      </c>
      <c r="S72" s="297">
        <f t="shared" si="38"/>
        <v>0.52571000000000001</v>
      </c>
      <c r="T72" s="297">
        <f t="shared" si="31"/>
        <v>0.40885300205000003</v>
      </c>
      <c r="U72" s="297">
        <f t="shared" si="32"/>
        <v>0.23371399590000003</v>
      </c>
      <c r="V72" s="297">
        <f t="shared" si="33"/>
        <v>0.35743300204999995</v>
      </c>
      <c r="W72" s="298">
        <f t="shared" si="39"/>
        <v>0.2337139959</v>
      </c>
      <c r="X72" s="298">
        <f t="shared" si="40"/>
        <v>0.234375</v>
      </c>
      <c r="Y72" s="299">
        <f t="shared" ca="1" si="26"/>
        <v>0.30044861721136662</v>
      </c>
      <c r="Z72" s="293">
        <f t="shared" ca="1" si="41"/>
        <v>1</v>
      </c>
      <c r="AA72" s="299">
        <f t="shared" ca="1" si="42"/>
        <v>0.73485730985197395</v>
      </c>
      <c r="AB72" s="302">
        <f t="shared" ca="1" si="43"/>
        <v>2</v>
      </c>
      <c r="AC72" s="302">
        <f t="shared" ca="1" si="44"/>
        <v>1</v>
      </c>
      <c r="AD72" s="299"/>
      <c r="AE72" s="293"/>
      <c r="AF72" s="293"/>
      <c r="AG72" s="299"/>
      <c r="AH72" s="293"/>
      <c r="AI72" s="293"/>
    </row>
    <row r="73" spans="1:35" ht="15" customHeight="1" x14ac:dyDescent="0.25">
      <c r="A73" s="44" t="s">
        <v>1346</v>
      </c>
      <c r="B73" s="1">
        <f>Results!B73</f>
        <v>25</v>
      </c>
      <c r="C73" s="45">
        <f>COUNTIF(D$2:D73,D73)+COUNTIF(G$2:G73,D73)</f>
        <v>3</v>
      </c>
      <c r="D73" s="46" t="str">
        <f>Results!D73</f>
        <v>Algeria</v>
      </c>
      <c r="E73" s="1">
        <f>Results!E73</f>
        <v>22</v>
      </c>
      <c r="F73" s="45">
        <f>COUNTIF(D$2:D73,G73)+COUNTIF(G$2:G73,G73)</f>
        <v>3</v>
      </c>
      <c r="G73" s="46" t="str">
        <f>Results!G73</f>
        <v>Austria</v>
      </c>
      <c r="H73" s="1">
        <f ca="1">IF(Results!H73="",AB73,Results!H73)</f>
        <v>1</v>
      </c>
      <c r="I73" s="1">
        <f ca="1">IF(Results!I73="",AC73,Results!I73)</f>
        <v>3</v>
      </c>
      <c r="J73" s="305"/>
      <c r="K73" s="305"/>
      <c r="L73" s="305"/>
      <c r="M73" s="305"/>
      <c r="N73" s="293">
        <f t="shared" ca="1" si="34"/>
        <v>3</v>
      </c>
      <c r="O73" s="294">
        <f t="shared" ca="1" si="35"/>
        <v>0</v>
      </c>
      <c r="P73" s="295">
        <f t="shared" si="36"/>
        <v>1591</v>
      </c>
      <c r="Q73" s="295">
        <f t="shared" si="37"/>
        <v>1607</v>
      </c>
      <c r="R73" s="296">
        <f t="shared" si="45"/>
        <v>-16</v>
      </c>
      <c r="S73" s="297">
        <f t="shared" si="38"/>
        <v>0.47428999999999999</v>
      </c>
      <c r="T73" s="297">
        <f t="shared" si="31"/>
        <v>0.35743300205</v>
      </c>
      <c r="U73" s="297">
        <f t="shared" si="32"/>
        <v>0.23371399590000003</v>
      </c>
      <c r="V73" s="297">
        <f t="shared" si="33"/>
        <v>0.40885300204999997</v>
      </c>
      <c r="W73" s="298">
        <f t="shared" si="39"/>
        <v>0.2337139959</v>
      </c>
      <c r="X73" s="298">
        <f t="shared" si="40"/>
        <v>0.234375</v>
      </c>
      <c r="Y73" s="299">
        <f t="shared" ca="1" si="26"/>
        <v>0.9396234911813417</v>
      </c>
      <c r="Z73" s="293">
        <f t="shared" ca="1" si="41"/>
        <v>3</v>
      </c>
      <c r="AA73" s="299">
        <f t="shared" ca="1" si="42"/>
        <v>0.85232709918741234</v>
      </c>
      <c r="AB73" s="302">
        <f t="shared" ca="1" si="43"/>
        <v>1</v>
      </c>
      <c r="AC73" s="302">
        <f t="shared" ca="1" si="44"/>
        <v>3</v>
      </c>
      <c r="AD73" s="299"/>
      <c r="AE73" s="293"/>
      <c r="AF73" s="293"/>
      <c r="AG73" s="299"/>
      <c r="AH73" s="293"/>
      <c r="AI73" s="293"/>
    </row>
    <row r="74" spans="1:35" ht="15" customHeight="1" x14ac:dyDescent="0.25">
      <c r="A74" s="44" t="s">
        <v>1347</v>
      </c>
      <c r="B74" s="1">
        <f>Results!B74</f>
        <v>42</v>
      </c>
      <c r="C74" s="45">
        <f>COUNTIF(D$2:D74,D74)+COUNTIF(G$2:G74,D74)</f>
        <v>3</v>
      </c>
      <c r="D74" s="46" t="str">
        <f>Results!D74</f>
        <v>Jordan</v>
      </c>
      <c r="E74" s="1">
        <f>Results!E74</f>
        <v>1</v>
      </c>
      <c r="F74" s="45">
        <f>COUNTIF(D$2:D74,G74)+COUNTIF(G$2:G74,G74)</f>
        <v>3</v>
      </c>
      <c r="G74" s="46" t="str">
        <f>Results!G74</f>
        <v>Argentina</v>
      </c>
      <c r="H74" s="1">
        <f ca="1">IF(Results!H74="",AB74,Results!H74)</f>
        <v>0</v>
      </c>
      <c r="I74" s="1">
        <f ca="1">IF(Results!I74="",AC74,Results!I74)</f>
        <v>2</v>
      </c>
      <c r="J74" s="305"/>
      <c r="K74" s="305"/>
      <c r="L74" s="305"/>
      <c r="M74" s="305"/>
      <c r="N74" s="293">
        <f t="shared" ca="1" si="34"/>
        <v>3</v>
      </c>
      <c r="O74" s="294">
        <f t="shared" ca="1" si="35"/>
        <v>0</v>
      </c>
      <c r="P74" s="295">
        <f t="shared" si="36"/>
        <v>1388</v>
      </c>
      <c r="Q74" s="295">
        <f t="shared" si="37"/>
        <v>1792</v>
      </c>
      <c r="R74" s="296">
        <f t="shared" si="45"/>
        <v>-404</v>
      </c>
      <c r="S74" s="297">
        <f t="shared" si="38"/>
        <v>7.4499999999999997E-2</v>
      </c>
      <c r="T74" s="297">
        <f t="shared" si="31"/>
        <v>4.7837624999999995E-2</v>
      </c>
      <c r="U74" s="297">
        <f t="shared" si="32"/>
        <v>5.3324750000000032E-2</v>
      </c>
      <c r="V74" s="297">
        <f t="shared" si="33"/>
        <v>0.89883762499999997</v>
      </c>
      <c r="W74" s="298">
        <f t="shared" si="39"/>
        <v>5.3324750000000004E-2</v>
      </c>
      <c r="X74" s="298">
        <f t="shared" si="40"/>
        <v>0.234375</v>
      </c>
      <c r="Y74" s="299">
        <f t="shared" ca="1" si="26"/>
        <v>0.43190481141477488</v>
      </c>
      <c r="Z74" s="293">
        <f t="shared" ca="1" si="41"/>
        <v>3</v>
      </c>
      <c r="AA74" s="299">
        <f t="shared" ca="1" si="42"/>
        <v>0.3679668354056439</v>
      </c>
      <c r="AB74" s="302">
        <f t="shared" ca="1" si="43"/>
        <v>0</v>
      </c>
      <c r="AC74" s="302">
        <f t="shared" ca="1" si="44"/>
        <v>2</v>
      </c>
      <c r="AD74" s="299"/>
      <c r="AE74" s="293"/>
      <c r="AF74" s="293"/>
      <c r="AG74" s="299"/>
      <c r="AH74" s="293"/>
      <c r="AI74" s="293"/>
    </row>
    <row r="75" spans="1:35" ht="15" customHeight="1" x14ac:dyDescent="0.25">
      <c r="A75" s="44" t="s">
        <v>1229</v>
      </c>
      <c r="B75" s="1">
        <f t="shared" ref="B75:B106" ca="1" si="46">VLOOKUP(D75,Lookup16,2,FALSE)</f>
        <v>13</v>
      </c>
      <c r="C75" s="45">
        <f ca="1">COUNTIF(D$2:D75,D75)+COUNTIF(G$2:G75,D75)</f>
        <v>4</v>
      </c>
      <c r="D75" s="46" t="str">
        <f t="shared" ref="D75:D106" ca="1" si="47">VLOOKUP(A75,Lookup17,2,FALSE)</f>
        <v>Mexico</v>
      </c>
      <c r="E75" s="1">
        <f t="shared" ref="E75:E106" ca="1" si="48">VLOOKUP(G75,Lookup16,2,FALSE)</f>
        <v>27</v>
      </c>
      <c r="F75" s="45">
        <f ca="1">COUNTIF(D$2:D75,G75)+COUNTIF(G$2:G75,G75)</f>
        <v>4</v>
      </c>
      <c r="G75" s="46" t="str">
        <f t="shared" ref="G75:G106" ca="1" si="49">VLOOKUP(A75,Lookup17,6,FALSE)</f>
        <v>Canada</v>
      </c>
      <c r="H75" s="1">
        <f ca="1">IF(Results!H75="",AB75,Results!H75)</f>
        <v>0</v>
      </c>
      <c r="I75" s="1">
        <f ca="1">IF(Results!I75="",AC75,Results!I75)</f>
        <v>1</v>
      </c>
      <c r="J75" s="306">
        <f ca="1">IF(Results!J75="",AB75+AE75,Results!J75)</f>
        <v>0</v>
      </c>
      <c r="K75" s="306">
        <f ca="1">IF(Results!K75="",AC75+AF75,Results!K75)</f>
        <v>2</v>
      </c>
      <c r="L75" s="307">
        <f ca="1">IF(Results!L75="",AH75,Results!L75)</f>
        <v>4</v>
      </c>
      <c r="M75" s="307">
        <f ca="1">IF(Results!M75="",AI75,Results!M75)</f>
        <v>5</v>
      </c>
      <c r="N75" s="293">
        <f t="shared" ca="1" si="34"/>
        <v>3</v>
      </c>
      <c r="O75" s="294">
        <f t="shared" ca="1" si="35"/>
        <v>0</v>
      </c>
      <c r="P75" s="295">
        <f t="shared" ca="1" si="36"/>
        <v>1706.9365</v>
      </c>
      <c r="Q75" s="295">
        <f t="shared" ca="1" si="37"/>
        <v>1581.7334000000001</v>
      </c>
      <c r="R75" s="296">
        <f t="shared" ca="1" si="45"/>
        <v>125.20309999999995</v>
      </c>
      <c r="S75" s="297">
        <f t="shared" ca="1" si="38"/>
        <v>0.67374999999999996</v>
      </c>
      <c r="T75" s="297">
        <f t="shared" ca="1" si="31"/>
        <v>0.57165703125</v>
      </c>
      <c r="U75" s="297">
        <f t="shared" ca="1" si="32"/>
        <v>0.20418593750000003</v>
      </c>
      <c r="V75" s="297">
        <f t="shared" ca="1" si="33"/>
        <v>0.22415703124999997</v>
      </c>
      <c r="W75" s="298">
        <f t="shared" ca="1" si="39"/>
        <v>0.20418593750000003</v>
      </c>
      <c r="X75" s="298">
        <f t="shared" si="40"/>
        <v>0.234375</v>
      </c>
      <c r="Y75" s="299">
        <f t="shared" ca="1" si="26"/>
        <v>0.83232277122919163</v>
      </c>
      <c r="Z75" s="293">
        <f t="shared" ca="1" si="41"/>
        <v>3</v>
      </c>
      <c r="AA75" s="299">
        <f t="shared" ca="1" si="42"/>
        <v>0.25196533949541949</v>
      </c>
      <c r="AB75" s="302">
        <f t="shared" ca="1" si="43"/>
        <v>0</v>
      </c>
      <c r="AC75" s="302">
        <f t="shared" ca="1" si="44"/>
        <v>1</v>
      </c>
      <c r="AD75" s="299">
        <f t="shared" ref="AD75:AD106" ca="1" si="50">VLOOKUP($A75,RNDAET,RandomAET+2,FALSE)</f>
        <v>0.95940755221374607</v>
      </c>
      <c r="AE75" s="302">
        <f t="shared" ref="AE75:AE106" ca="1" si="51">IF(AD75&lt;T75/2,1,0)</f>
        <v>0</v>
      </c>
      <c r="AF75" s="302">
        <f t="shared" ref="AF75:AF106" ca="1" si="52">IF(AD75&gt;(T75+U75+V75/2),1,0)</f>
        <v>1</v>
      </c>
      <c r="AG75" s="299">
        <f t="shared" ref="AG75:AG106" ca="1" si="53">VLOOKUP($A75,RNDPEN,RandomPen+2,FALSE)</f>
        <v>0.89776230531577195</v>
      </c>
      <c r="AH75" s="302">
        <f t="shared" ref="AH75:AH90" ca="1" si="54">IF(AG75&lt;0.5,5,4)</f>
        <v>4</v>
      </c>
      <c r="AI75" s="302">
        <f t="shared" ref="AI75:AI90" ca="1" si="55">IF(AH75=5,4,5)</f>
        <v>5</v>
      </c>
    </row>
    <row r="76" spans="1:35" ht="15" customHeight="1" x14ac:dyDescent="0.25">
      <c r="A76" s="44" t="s">
        <v>1231</v>
      </c>
      <c r="B76" s="1">
        <f t="shared" ca="1" si="46"/>
        <v>7</v>
      </c>
      <c r="C76" s="45">
        <f ca="1">COUNTIF(D$2:D76,D76)+COUNTIF(G$2:G76,D76)</f>
        <v>4</v>
      </c>
      <c r="D76" s="46" t="str">
        <f t="shared" ca="1" si="47"/>
        <v>Morocco</v>
      </c>
      <c r="E76" s="1">
        <f t="shared" ca="1" si="48"/>
        <v>17</v>
      </c>
      <c r="F76" s="45">
        <f ca="1">COUNTIF(D$2:D76,G76)+COUNTIF(G$2:G76,G76)</f>
        <v>4</v>
      </c>
      <c r="G76" s="46" t="str">
        <f t="shared" ca="1" si="49"/>
        <v>Japan</v>
      </c>
      <c r="H76" s="1">
        <f ca="1">IF(Results!H76="",AB76,Results!H76)</f>
        <v>3</v>
      </c>
      <c r="I76" s="1">
        <f ca="1">IF(Results!I76="",AC76,Results!I76)</f>
        <v>0</v>
      </c>
      <c r="J76" s="306">
        <f ca="1">IF(Results!J76="",AB76+AE76,Results!J76)</f>
        <v>3</v>
      </c>
      <c r="K76" s="306">
        <f ca="1">IF(Results!K76="",AC76+AF76,Results!K76)</f>
        <v>0</v>
      </c>
      <c r="L76" s="307">
        <f ca="1">IF(Results!L76="",AH76,Results!L76)</f>
        <v>5</v>
      </c>
      <c r="M76" s="307">
        <f ca="1">IF(Results!M76="",AI76,Results!M76)</f>
        <v>4</v>
      </c>
      <c r="N76" s="293">
        <f t="shared" ca="1" si="34"/>
        <v>1</v>
      </c>
      <c r="O76" s="294">
        <f t="shared" ca="1" si="35"/>
        <v>2</v>
      </c>
      <c r="P76" s="295">
        <f t="shared" ca="1" si="36"/>
        <v>1696.97145</v>
      </c>
      <c r="Q76" s="295">
        <f t="shared" ca="1" si="37"/>
        <v>1663.85625</v>
      </c>
      <c r="R76" s="296">
        <f t="shared" ca="1" si="45"/>
        <v>33.115199999999959</v>
      </c>
      <c r="S76" s="297">
        <f t="shared" ca="1" si="38"/>
        <v>0.55000000000000004</v>
      </c>
      <c r="T76" s="297">
        <f t="shared" ca="1" si="31"/>
        <v>0.43406250000000002</v>
      </c>
      <c r="U76" s="297">
        <f t="shared" ca="1" si="32"/>
        <v>0.23187500000000005</v>
      </c>
      <c r="V76" s="297">
        <f t="shared" ca="1" si="33"/>
        <v>0.33406249999999998</v>
      </c>
      <c r="W76" s="298">
        <f t="shared" ca="1" si="39"/>
        <v>0.231875</v>
      </c>
      <c r="X76" s="298">
        <f t="shared" si="40"/>
        <v>0.234375</v>
      </c>
      <c r="Y76" s="299">
        <f t="shared" ca="1" si="26"/>
        <v>0.18834918271575385</v>
      </c>
      <c r="Z76" s="293">
        <f t="shared" ca="1" si="41"/>
        <v>1</v>
      </c>
      <c r="AA76" s="299">
        <f t="shared" ca="1" si="42"/>
        <v>0.43392180323283824</v>
      </c>
      <c r="AB76" s="302">
        <f t="shared" ca="1" si="43"/>
        <v>3</v>
      </c>
      <c r="AC76" s="302">
        <f t="shared" ca="1" si="44"/>
        <v>0</v>
      </c>
      <c r="AD76" s="299">
        <f t="shared" ca="1" si="50"/>
        <v>0.43008543634191898</v>
      </c>
      <c r="AE76" s="302">
        <f t="shared" ca="1" si="51"/>
        <v>0</v>
      </c>
      <c r="AF76" s="302">
        <f t="shared" ca="1" si="52"/>
        <v>0</v>
      </c>
      <c r="AG76" s="299">
        <f t="shared" ca="1" si="53"/>
        <v>0.34745195897066039</v>
      </c>
      <c r="AH76" s="302">
        <f t="shared" ca="1" si="54"/>
        <v>5</v>
      </c>
      <c r="AI76" s="302">
        <f t="shared" ca="1" si="55"/>
        <v>4</v>
      </c>
    </row>
    <row r="77" spans="1:35" ht="15" customHeight="1" x14ac:dyDescent="0.25">
      <c r="A77" s="44" t="s">
        <v>1232</v>
      </c>
      <c r="B77" s="1">
        <f t="shared" ca="1" si="46"/>
        <v>29</v>
      </c>
      <c r="C77" s="45">
        <f ca="1">COUNTIF(D$2:D77,D77)+COUNTIF(G$2:G77,D77)</f>
        <v>4</v>
      </c>
      <c r="D77" s="46" t="str">
        <f t="shared" ca="1" si="47"/>
        <v>Cote d'Ivorie</v>
      </c>
      <c r="E77" s="1">
        <f t="shared" ca="1" si="48"/>
        <v>33</v>
      </c>
      <c r="F77" s="45">
        <f ca="1">COUNTIF(D$2:D77,G77)+COUNTIF(G$2:G77,G77)</f>
        <v>4</v>
      </c>
      <c r="G77" s="46" t="str">
        <f t="shared" ca="1" si="49"/>
        <v>Paraguay</v>
      </c>
      <c r="H77" s="1">
        <f ca="1">IF(Results!H77="",AB77,Results!H77)</f>
        <v>1</v>
      </c>
      <c r="I77" s="1">
        <f ca="1">IF(Results!I77="",AC77,Results!I77)</f>
        <v>0</v>
      </c>
      <c r="J77" s="306">
        <f ca="1">IF(Results!J77="",AB77+AE77,Results!J77)</f>
        <v>1</v>
      </c>
      <c r="K77" s="306">
        <f ca="1">IF(Results!K77="",AC77+AF77,Results!K77)</f>
        <v>0</v>
      </c>
      <c r="L77" s="307">
        <f ca="1">IF(Results!L77="",AH77,Results!L77)</f>
        <v>5</v>
      </c>
      <c r="M77" s="307">
        <f ca="1">IF(Results!M77="",AI77,Results!M77)</f>
        <v>4</v>
      </c>
      <c r="N77" s="293">
        <f t="shared" ca="1" si="34"/>
        <v>1</v>
      </c>
      <c r="O77" s="294">
        <f t="shared" ca="1" si="35"/>
        <v>0</v>
      </c>
      <c r="P77" s="295">
        <f t="shared" ca="1" si="36"/>
        <v>1481.6624999999999</v>
      </c>
      <c r="Q77" s="295">
        <f t="shared" ca="1" si="37"/>
        <v>1539.8</v>
      </c>
      <c r="R77" s="296">
        <f t="shared" ca="1" si="45"/>
        <v>-58.137500000000045</v>
      </c>
      <c r="S77" s="297">
        <f t="shared" ca="1" si="38"/>
        <v>0.41499999999999998</v>
      </c>
      <c r="T77" s="297">
        <f t="shared" ca="1" si="31"/>
        <v>0.301425</v>
      </c>
      <c r="U77" s="297">
        <f t="shared" ca="1" si="32"/>
        <v>0.22715000000000002</v>
      </c>
      <c r="V77" s="297">
        <f t="shared" ca="1" si="33"/>
        <v>0.47142499999999998</v>
      </c>
      <c r="W77" s="298">
        <f t="shared" ca="1" si="39"/>
        <v>0.22714999999999999</v>
      </c>
      <c r="X77" s="298">
        <f t="shared" si="40"/>
        <v>0.234375</v>
      </c>
      <c r="Y77" s="299">
        <f t="shared" ca="1" si="26"/>
        <v>6.7378841720308058E-3</v>
      </c>
      <c r="Z77" s="293">
        <f t="shared" ca="1" si="41"/>
        <v>1</v>
      </c>
      <c r="AA77" s="299">
        <f t="shared" ca="1" si="42"/>
        <v>2.2353435090091418E-2</v>
      </c>
      <c r="AB77" s="302">
        <f t="shared" ca="1" si="43"/>
        <v>1</v>
      </c>
      <c r="AC77" s="302">
        <f t="shared" ca="1" si="44"/>
        <v>0</v>
      </c>
      <c r="AD77" s="299">
        <f t="shared" ca="1" si="50"/>
        <v>0.60682150091939413</v>
      </c>
      <c r="AE77" s="302">
        <f t="shared" ca="1" si="51"/>
        <v>0</v>
      </c>
      <c r="AF77" s="302">
        <f t="shared" ca="1" si="52"/>
        <v>0</v>
      </c>
      <c r="AG77" s="299">
        <f t="shared" ca="1" si="53"/>
        <v>0.36261056218891219</v>
      </c>
      <c r="AH77" s="302">
        <f t="shared" ca="1" si="54"/>
        <v>5</v>
      </c>
      <c r="AI77" s="302">
        <f t="shared" ca="1" si="55"/>
        <v>4</v>
      </c>
    </row>
    <row r="78" spans="1:35" ht="15" customHeight="1" x14ac:dyDescent="0.25">
      <c r="A78" s="44" t="s">
        <v>1230</v>
      </c>
      <c r="B78" s="1">
        <f t="shared" ca="1" si="46"/>
        <v>8</v>
      </c>
      <c r="C78" s="45">
        <f ca="1">COUNTIF(D$2:D78,D78)+COUNTIF(G$2:G78,D78)</f>
        <v>4</v>
      </c>
      <c r="D78" s="46" t="str">
        <f t="shared" ca="1" si="47"/>
        <v>Netherlands</v>
      </c>
      <c r="E78" s="1">
        <f t="shared" ca="1" si="48"/>
        <v>6</v>
      </c>
      <c r="F78" s="45">
        <f ca="1">COUNTIF(D$2:D78,G78)+COUNTIF(G$2:G78,G78)</f>
        <v>4</v>
      </c>
      <c r="G78" s="46" t="str">
        <f t="shared" ca="1" si="49"/>
        <v>Brazil</v>
      </c>
      <c r="H78" s="1">
        <f ca="1">IF(Results!H78="",AB78,Results!H78)</f>
        <v>1</v>
      </c>
      <c r="I78" s="1">
        <f ca="1">IF(Results!I78="",AC78,Results!I78)</f>
        <v>4</v>
      </c>
      <c r="J78" s="306">
        <f ca="1">IF(Results!J78="",AB78+AE78,Results!J78)</f>
        <v>1</v>
      </c>
      <c r="K78" s="306">
        <f ca="1">IF(Results!K78="",AC78+AF78,Results!K78)</f>
        <v>5</v>
      </c>
      <c r="L78" s="307">
        <f ca="1">IF(Results!L78="",AH78,Results!L78)</f>
        <v>5</v>
      </c>
      <c r="M78" s="307">
        <f ca="1">IF(Results!M78="",AI78,Results!M78)</f>
        <v>4</v>
      </c>
      <c r="N78" s="293">
        <f t="shared" ca="1" si="34"/>
        <v>3</v>
      </c>
      <c r="O78" s="294">
        <f t="shared" ca="1" si="35"/>
        <v>2</v>
      </c>
      <c r="P78" s="295">
        <f t="shared" ca="1" si="36"/>
        <v>1745.2874999999999</v>
      </c>
      <c r="Q78" s="295">
        <f t="shared" ca="1" si="37"/>
        <v>1784.0571</v>
      </c>
      <c r="R78" s="296">
        <f t="shared" ca="1" si="45"/>
        <v>-38.769600000000082</v>
      </c>
      <c r="S78" s="297">
        <f t="shared" ca="1" si="38"/>
        <v>0.44285999999999998</v>
      </c>
      <c r="T78" s="297">
        <f t="shared" ca="1" si="31"/>
        <v>0.3273049898</v>
      </c>
      <c r="U78" s="297">
        <f t="shared" ca="1" si="32"/>
        <v>0.23111002040000006</v>
      </c>
      <c r="V78" s="297">
        <f t="shared" ca="1" si="33"/>
        <v>0.44158498979999999</v>
      </c>
      <c r="W78" s="298">
        <f t="shared" ca="1" si="39"/>
        <v>0.2311100204</v>
      </c>
      <c r="X78" s="298">
        <f t="shared" si="40"/>
        <v>0.234375</v>
      </c>
      <c r="Y78" s="299">
        <f t="shared" ca="1" si="26"/>
        <v>0.962209256664177</v>
      </c>
      <c r="Z78" s="293">
        <f t="shared" ca="1" si="41"/>
        <v>3</v>
      </c>
      <c r="AA78" s="299">
        <f t="shared" ca="1" si="42"/>
        <v>0.91442022666363953</v>
      </c>
      <c r="AB78" s="302">
        <f t="shared" ca="1" si="43"/>
        <v>1</v>
      </c>
      <c r="AC78" s="302">
        <f t="shared" ca="1" si="44"/>
        <v>4</v>
      </c>
      <c r="AD78" s="299">
        <f t="shared" ca="1" si="50"/>
        <v>0.77957789309340209</v>
      </c>
      <c r="AE78" s="302">
        <f t="shared" ca="1" si="51"/>
        <v>0</v>
      </c>
      <c r="AF78" s="302">
        <f t="shared" ca="1" si="52"/>
        <v>1</v>
      </c>
      <c r="AG78" s="299">
        <f t="shared" ca="1" si="53"/>
        <v>3.6722571484378075E-2</v>
      </c>
      <c r="AH78" s="302">
        <f t="shared" ca="1" si="54"/>
        <v>5</v>
      </c>
      <c r="AI78" s="302">
        <f t="shared" ca="1" si="55"/>
        <v>4</v>
      </c>
    </row>
    <row r="79" spans="1:35" ht="15" customHeight="1" x14ac:dyDescent="0.25">
      <c r="A79" s="44" t="s">
        <v>1233</v>
      </c>
      <c r="B79" s="1">
        <f t="shared" ca="1" si="46"/>
        <v>10</v>
      </c>
      <c r="C79" s="45">
        <f ca="1">COUNTIF(D$2:D79,D79)+COUNTIF(G$2:G79,D79)</f>
        <v>4</v>
      </c>
      <c r="D79" s="46" t="str">
        <f t="shared" ca="1" si="47"/>
        <v>Germany</v>
      </c>
      <c r="E79" s="1">
        <f t="shared" ca="1" si="48"/>
        <v>3</v>
      </c>
      <c r="F79" s="45">
        <f ca="1">COUNTIF(D$2:D79,G79)+COUNTIF(G$2:G79,G79)</f>
        <v>4</v>
      </c>
      <c r="G79" s="46" t="str">
        <f t="shared" ca="1" si="49"/>
        <v>France</v>
      </c>
      <c r="H79" s="1">
        <f ca="1">IF(Results!H79="",AB79,Results!H79)</f>
        <v>0</v>
      </c>
      <c r="I79" s="1">
        <f ca="1">IF(Results!I79="",AC79,Results!I79)</f>
        <v>0</v>
      </c>
      <c r="J79" s="306">
        <f ca="1">IF(Results!J79="",AB79+AE79,Results!J79)</f>
        <v>0</v>
      </c>
      <c r="K79" s="306">
        <f ca="1">IF(Results!K79="",AC79+AF79,Results!K79)</f>
        <v>1</v>
      </c>
      <c r="L79" s="307">
        <f ca="1">IF(Results!L79="",AH79,Results!L79)</f>
        <v>4</v>
      </c>
      <c r="M79" s="307">
        <f ca="1">IF(Results!M79="",AI79,Results!M79)</f>
        <v>5</v>
      </c>
      <c r="N79" s="293">
        <f t="shared" ca="1" si="34"/>
        <v>2</v>
      </c>
      <c r="O79" s="294">
        <f t="shared" ca="1" si="35"/>
        <v>0</v>
      </c>
      <c r="P79" s="295">
        <f t="shared" ca="1" si="36"/>
        <v>1772.3827200000001</v>
      </c>
      <c r="Q79" s="295">
        <f t="shared" ca="1" si="37"/>
        <v>1819</v>
      </c>
      <c r="R79" s="296">
        <f t="shared" ca="1" si="45"/>
        <v>-46.617279999999937</v>
      </c>
      <c r="S79" s="297">
        <f t="shared" ca="1" si="38"/>
        <v>0.43142999999999998</v>
      </c>
      <c r="T79" s="297">
        <f t="shared" ca="1" si="31"/>
        <v>0.31659342244999999</v>
      </c>
      <c r="U79" s="297">
        <f t="shared" ca="1" si="32"/>
        <v>0.22967315509999997</v>
      </c>
      <c r="V79" s="297">
        <f t="shared" ca="1" si="33"/>
        <v>0.45373342245000003</v>
      </c>
      <c r="W79" s="298">
        <f t="shared" ca="1" si="39"/>
        <v>0.2296731551</v>
      </c>
      <c r="X79" s="298">
        <f t="shared" si="40"/>
        <v>0.234375</v>
      </c>
      <c r="Y79" s="299">
        <f t="shared" ca="1" si="26"/>
        <v>0.32710670376697126</v>
      </c>
      <c r="Z79" s="293">
        <f t="shared" ca="1" si="41"/>
        <v>2</v>
      </c>
      <c r="AA79" s="299">
        <f t="shared" ca="1" si="42"/>
        <v>4.5774967964339462E-2</v>
      </c>
      <c r="AB79" s="302">
        <f t="shared" ca="1" si="43"/>
        <v>0</v>
      </c>
      <c r="AC79" s="302">
        <f t="shared" ca="1" si="44"/>
        <v>0</v>
      </c>
      <c r="AD79" s="299">
        <f t="shared" ca="1" si="50"/>
        <v>0.82914619148951818</v>
      </c>
      <c r="AE79" s="302">
        <f t="shared" ca="1" si="51"/>
        <v>0</v>
      </c>
      <c r="AF79" s="302">
        <f t="shared" ca="1" si="52"/>
        <v>1</v>
      </c>
      <c r="AG79" s="299">
        <f t="shared" ca="1" si="53"/>
        <v>0.79598100624474277</v>
      </c>
      <c r="AH79" s="302">
        <f t="shared" ca="1" si="54"/>
        <v>4</v>
      </c>
      <c r="AI79" s="302">
        <f t="shared" ca="1" si="55"/>
        <v>5</v>
      </c>
    </row>
    <row r="80" spans="1:35" ht="15" customHeight="1" x14ac:dyDescent="0.25">
      <c r="A80" s="44" t="s">
        <v>1234</v>
      </c>
      <c r="B80" s="1">
        <f t="shared" ca="1" si="46"/>
        <v>14</v>
      </c>
      <c r="C80" s="45">
        <f ca="1">COUNTIF(D$2:D80,D80)+COUNTIF(G$2:G80,D80)</f>
        <v>4</v>
      </c>
      <c r="D80" s="46" t="str">
        <f t="shared" ca="1" si="47"/>
        <v>Senegal</v>
      </c>
      <c r="E80" s="1">
        <f t="shared" ca="1" si="48"/>
        <v>31</v>
      </c>
      <c r="F80" s="45">
        <f ca="1">COUNTIF(D$2:D80,G80)+COUNTIF(G$2:G80,G80)</f>
        <v>4</v>
      </c>
      <c r="G80" s="46" t="str">
        <f t="shared" ca="1" si="49"/>
        <v>Sweden</v>
      </c>
      <c r="H80" s="1">
        <f ca="1">IF(Results!H80="",AB80,Results!H80)</f>
        <v>1</v>
      </c>
      <c r="I80" s="1">
        <f ca="1">IF(Results!I80="",AC80,Results!I80)</f>
        <v>2</v>
      </c>
      <c r="J80" s="306">
        <f ca="1">IF(Results!J80="",AB80+AE80,Results!J80)</f>
        <v>1</v>
      </c>
      <c r="K80" s="306">
        <f ca="1">IF(Results!K80="",AC80+AF80,Results!K80)</f>
        <v>3</v>
      </c>
      <c r="L80" s="307">
        <f ca="1">IF(Results!L80="",AH80,Results!L80)</f>
        <v>5</v>
      </c>
      <c r="M80" s="307">
        <f ca="1">IF(Results!M80="",AI80,Results!M80)</f>
        <v>4</v>
      </c>
      <c r="N80" s="293">
        <f t="shared" ca="1" si="34"/>
        <v>3</v>
      </c>
      <c r="O80" s="294">
        <f t="shared" ca="1" si="35"/>
        <v>0</v>
      </c>
      <c r="P80" s="295">
        <f t="shared" ca="1" si="36"/>
        <v>1654</v>
      </c>
      <c r="Q80" s="295">
        <f t="shared" ca="1" si="37"/>
        <v>1573.44</v>
      </c>
      <c r="R80" s="296">
        <f t="shared" ca="1" si="45"/>
        <v>80.559999999999945</v>
      </c>
      <c r="S80" s="297">
        <f t="shared" ca="1" si="38"/>
        <v>0.61429</v>
      </c>
      <c r="T80" s="297">
        <f t="shared" ca="1" si="31"/>
        <v>0.50363360204999996</v>
      </c>
      <c r="U80" s="297">
        <f t="shared" ca="1" si="32"/>
        <v>0.22131279589999997</v>
      </c>
      <c r="V80" s="297">
        <f t="shared" ca="1" si="33"/>
        <v>0.27505360205000007</v>
      </c>
      <c r="W80" s="298">
        <f t="shared" ca="1" si="39"/>
        <v>0.2213127959</v>
      </c>
      <c r="X80" s="298">
        <f t="shared" si="40"/>
        <v>0.234375</v>
      </c>
      <c r="Y80" s="299">
        <f t="shared" ca="1" si="26"/>
        <v>0.88031638387990141</v>
      </c>
      <c r="Z80" s="293">
        <f t="shared" ca="1" si="41"/>
        <v>3</v>
      </c>
      <c r="AA80" s="299">
        <f t="shared" ca="1" si="42"/>
        <v>0.56487166418441548</v>
      </c>
      <c r="AB80" s="302">
        <f t="shared" ca="1" si="43"/>
        <v>1</v>
      </c>
      <c r="AC80" s="302">
        <f t="shared" ca="1" si="44"/>
        <v>2</v>
      </c>
      <c r="AD80" s="299">
        <f t="shared" ca="1" si="50"/>
        <v>0.96362833625332822</v>
      </c>
      <c r="AE80" s="302">
        <f t="shared" ca="1" si="51"/>
        <v>0</v>
      </c>
      <c r="AF80" s="302">
        <f t="shared" ca="1" si="52"/>
        <v>1</v>
      </c>
      <c r="AG80" s="299">
        <f t="shared" ca="1" si="53"/>
        <v>1.2063423400377471E-2</v>
      </c>
      <c r="AH80" s="302">
        <f t="shared" ca="1" si="54"/>
        <v>5</v>
      </c>
      <c r="AI80" s="302">
        <f t="shared" ca="1" si="55"/>
        <v>4</v>
      </c>
    </row>
    <row r="81" spans="1:35" ht="15" customHeight="1" x14ac:dyDescent="0.25">
      <c r="A81" s="44" t="s">
        <v>1235</v>
      </c>
      <c r="B81" s="1">
        <f t="shared" ca="1" si="46"/>
        <v>23</v>
      </c>
      <c r="C81" s="45">
        <f ca="1">COUNTIF(D$2:D81,D81)+COUNTIF(G$2:G81,D81)</f>
        <v>4</v>
      </c>
      <c r="D81" s="46" t="str">
        <f t="shared" ca="1" si="47"/>
        <v>Korea Republic</v>
      </c>
      <c r="E81" s="1">
        <f t="shared" ca="1" si="48"/>
        <v>34</v>
      </c>
      <c r="F81" s="45">
        <f ca="1">COUNTIF(D$2:D81,G81)+COUNTIF(G$2:G81,G81)</f>
        <v>4</v>
      </c>
      <c r="G81" s="46" t="str">
        <f t="shared" ca="1" si="49"/>
        <v>Scotland</v>
      </c>
      <c r="H81" s="1">
        <f ca="1">IF(Results!H81="",AB81,Results!H81)</f>
        <v>1</v>
      </c>
      <c r="I81" s="1">
        <f ca="1">IF(Results!I81="",AC81,Results!I81)</f>
        <v>3</v>
      </c>
      <c r="J81" s="306">
        <f ca="1">IF(Results!J81="",AB81+AE81,Results!J81)</f>
        <v>1</v>
      </c>
      <c r="K81" s="306">
        <f ca="1">IF(Results!K81="",AC81+AF81,Results!K81)</f>
        <v>3</v>
      </c>
      <c r="L81" s="307">
        <f ca="1">IF(Results!L81="",AH81,Results!L81)</f>
        <v>4</v>
      </c>
      <c r="M81" s="307">
        <f ca="1">IF(Results!M81="",AI81,Results!M81)</f>
        <v>5</v>
      </c>
      <c r="N81" s="293">
        <f t="shared" ca="1" si="34"/>
        <v>3</v>
      </c>
      <c r="O81" s="294">
        <f t="shared" ca="1" si="35"/>
        <v>0</v>
      </c>
      <c r="P81" s="295">
        <f t="shared" ca="1" si="36"/>
        <v>1603.325</v>
      </c>
      <c r="Q81" s="295">
        <f t="shared" ca="1" si="37"/>
        <v>1535.9549999999999</v>
      </c>
      <c r="R81" s="296">
        <f t="shared" ca="1" si="45"/>
        <v>67.370000000000118</v>
      </c>
      <c r="S81" s="297">
        <f t="shared" ca="1" si="38"/>
        <v>0.59714</v>
      </c>
      <c r="T81" s="297">
        <f t="shared" ca="1" si="31"/>
        <v>0.4846705898</v>
      </c>
      <c r="U81" s="297">
        <f t="shared" ca="1" si="32"/>
        <v>0.22493882040000002</v>
      </c>
      <c r="V81" s="297">
        <f t="shared" ca="1" si="33"/>
        <v>0.29039058979999999</v>
      </c>
      <c r="W81" s="298">
        <f t="shared" ca="1" si="39"/>
        <v>0.22493882039999999</v>
      </c>
      <c r="X81" s="298">
        <f t="shared" si="40"/>
        <v>0.234375</v>
      </c>
      <c r="Y81" s="299">
        <f t="shared" ca="1" si="26"/>
        <v>0.95742611459166005</v>
      </c>
      <c r="Z81" s="293">
        <f t="shared" ca="1" si="41"/>
        <v>3</v>
      </c>
      <c r="AA81" s="299">
        <f t="shared" ca="1" si="42"/>
        <v>0.85339096064489639</v>
      </c>
      <c r="AB81" s="302">
        <f t="shared" ca="1" si="43"/>
        <v>1</v>
      </c>
      <c r="AC81" s="302">
        <f t="shared" ca="1" si="44"/>
        <v>3</v>
      </c>
      <c r="AD81" s="299">
        <f t="shared" ca="1" si="50"/>
        <v>0.35296199287272256</v>
      </c>
      <c r="AE81" s="302">
        <f t="shared" ca="1" si="51"/>
        <v>0</v>
      </c>
      <c r="AF81" s="302">
        <f t="shared" ca="1" si="52"/>
        <v>0</v>
      </c>
      <c r="AG81" s="299">
        <f t="shared" ca="1" si="53"/>
        <v>0.98588962833847882</v>
      </c>
      <c r="AH81" s="302">
        <f t="shared" ca="1" si="54"/>
        <v>4</v>
      </c>
      <c r="AI81" s="302">
        <f t="shared" ca="1" si="55"/>
        <v>5</v>
      </c>
    </row>
    <row r="82" spans="1:35" ht="15" customHeight="1" x14ac:dyDescent="0.25">
      <c r="A82" s="44" t="s">
        <v>1236</v>
      </c>
      <c r="B82" s="1">
        <f t="shared" ca="1" si="46"/>
        <v>4</v>
      </c>
      <c r="C82" s="45">
        <f ca="1">COUNTIF(D$2:D82,D82)+COUNTIF(G$2:G82,D82)</f>
        <v>4</v>
      </c>
      <c r="D82" s="46" t="str">
        <f t="shared" ca="1" si="47"/>
        <v>England</v>
      </c>
      <c r="E82" s="1">
        <f t="shared" ca="1" si="48"/>
        <v>36</v>
      </c>
      <c r="F82" s="45">
        <f ca="1">COUNTIF(D$2:D82,G82)+COUNTIF(G$2:G82,G82)</f>
        <v>4</v>
      </c>
      <c r="G82" s="46" t="str">
        <f t="shared" ca="1" si="49"/>
        <v>Congo DR</v>
      </c>
      <c r="H82" s="1">
        <f ca="1">IF(Results!H82="",AB82,Results!H82)</f>
        <v>2</v>
      </c>
      <c r="I82" s="1">
        <f ca="1">IF(Results!I82="",AC82,Results!I82)</f>
        <v>1</v>
      </c>
      <c r="J82" s="306">
        <f ca="1">IF(Results!J82="",AB82+AE82,Results!J82)</f>
        <v>2</v>
      </c>
      <c r="K82" s="306">
        <f ca="1">IF(Results!K82="",AC82+AF82,Results!K82)</f>
        <v>1</v>
      </c>
      <c r="L82" s="307">
        <f ca="1">IF(Results!L82="",AH82,Results!L82)</f>
        <v>4</v>
      </c>
      <c r="M82" s="307">
        <f ca="1">IF(Results!M82="",AI82,Results!M82)</f>
        <v>5</v>
      </c>
      <c r="N82" s="293">
        <f t="shared" ca="1" si="34"/>
        <v>1</v>
      </c>
      <c r="O82" s="294">
        <f t="shared" ca="1" si="35"/>
        <v>0</v>
      </c>
      <c r="P82" s="295">
        <f t="shared" ca="1" si="36"/>
        <v>1803</v>
      </c>
      <c r="Q82" s="295">
        <f t="shared" ca="1" si="37"/>
        <v>1474</v>
      </c>
      <c r="R82" s="296">
        <f t="shared" ca="1" si="45"/>
        <v>329</v>
      </c>
      <c r="S82" s="297">
        <f t="shared" ca="1" si="38"/>
        <v>0.88</v>
      </c>
      <c r="T82" s="297">
        <f t="shared" ca="1" si="31"/>
        <v>0.83501250000000005</v>
      </c>
      <c r="U82" s="297">
        <f t="shared" ca="1" si="32"/>
        <v>8.9975000000000027E-2</v>
      </c>
      <c r="V82" s="297">
        <f t="shared" ca="1" si="33"/>
        <v>7.5012499999999954E-2</v>
      </c>
      <c r="W82" s="298">
        <f t="shared" ca="1" si="39"/>
        <v>8.9974999999999999E-2</v>
      </c>
      <c r="X82" s="298">
        <f t="shared" si="40"/>
        <v>0.234375</v>
      </c>
      <c r="Y82" s="299">
        <f t="shared" ca="1" si="26"/>
        <v>0.53627884252831437</v>
      </c>
      <c r="Z82" s="293">
        <f t="shared" ca="1" si="41"/>
        <v>1</v>
      </c>
      <c r="AA82" s="299">
        <f t="shared" ca="1" si="42"/>
        <v>0.64224049643366332</v>
      </c>
      <c r="AB82" s="302">
        <f t="shared" ca="1" si="43"/>
        <v>2</v>
      </c>
      <c r="AC82" s="302">
        <f t="shared" ca="1" si="44"/>
        <v>1</v>
      </c>
      <c r="AD82" s="299">
        <f t="shared" ca="1" si="50"/>
        <v>0.44963222852930795</v>
      </c>
      <c r="AE82" s="302">
        <f t="shared" ca="1" si="51"/>
        <v>0</v>
      </c>
      <c r="AF82" s="302">
        <f t="shared" ca="1" si="52"/>
        <v>0</v>
      </c>
      <c r="AG82" s="299">
        <f t="shared" ca="1" si="53"/>
        <v>0.78650309417824138</v>
      </c>
      <c r="AH82" s="302">
        <f t="shared" ca="1" si="54"/>
        <v>4</v>
      </c>
      <c r="AI82" s="302">
        <f t="shared" ca="1" si="55"/>
        <v>5</v>
      </c>
    </row>
    <row r="83" spans="1:35" ht="15" customHeight="1" x14ac:dyDescent="0.25">
      <c r="A83" s="44" t="s">
        <v>1237</v>
      </c>
      <c r="B83" s="1">
        <f t="shared" ca="1" si="46"/>
        <v>26</v>
      </c>
      <c r="C83" s="45">
        <f ca="1">COUNTIF(D$2:D83,D83)+COUNTIF(G$2:G83,D83)</f>
        <v>4</v>
      </c>
      <c r="D83" s="46" t="str">
        <f t="shared" ca="1" si="47"/>
        <v>Egypt</v>
      </c>
      <c r="E83" s="1">
        <f t="shared" ca="1" si="48"/>
        <v>40</v>
      </c>
      <c r="F83" s="45">
        <f ca="1">COUNTIF(D$2:D83,G83)+COUNTIF(G$2:G83,G83)</f>
        <v>4</v>
      </c>
      <c r="G83" s="46" t="str">
        <f t="shared" ca="1" si="49"/>
        <v>South Africa</v>
      </c>
      <c r="H83" s="1">
        <f ca="1">IF(Results!H83="",AB83,Results!H83)</f>
        <v>0</v>
      </c>
      <c r="I83" s="1">
        <f ca="1">IF(Results!I83="",AC83,Results!I83)</f>
        <v>1</v>
      </c>
      <c r="J83" s="306">
        <f ca="1">IF(Results!J83="",AB83+AE83,Results!J83)</f>
        <v>1</v>
      </c>
      <c r="K83" s="306">
        <f ca="1">IF(Results!K83="",AC83+AF83,Results!K83)</f>
        <v>1</v>
      </c>
      <c r="L83" s="307">
        <f ca="1">IF(Results!L83="",AH83,Results!L83)</f>
        <v>4</v>
      </c>
      <c r="M83" s="307">
        <f ca="1">IF(Results!M83="",AI83,Results!M83)</f>
        <v>5</v>
      </c>
      <c r="N83" s="293">
        <f t="shared" ca="1" si="34"/>
        <v>3</v>
      </c>
      <c r="O83" s="294">
        <f t="shared" ca="1" si="35"/>
        <v>0</v>
      </c>
      <c r="P83" s="295">
        <f t="shared" ca="1" si="36"/>
        <v>1565.4833000000001</v>
      </c>
      <c r="Q83" s="295">
        <f t="shared" ca="1" si="37"/>
        <v>1425.5317500000001</v>
      </c>
      <c r="R83" s="296">
        <f t="shared" ca="1" si="45"/>
        <v>139.95155</v>
      </c>
      <c r="S83" s="297">
        <f t="shared" ca="1" si="38"/>
        <v>0.69125000000000003</v>
      </c>
      <c r="T83" s="297">
        <f t="shared" ca="1" si="31"/>
        <v>0.59235078125000007</v>
      </c>
      <c r="U83" s="297">
        <f t="shared" ca="1" si="32"/>
        <v>0.19779843750000003</v>
      </c>
      <c r="V83" s="297">
        <f t="shared" ca="1" si="33"/>
        <v>0.20985078124999995</v>
      </c>
      <c r="W83" s="298">
        <f t="shared" ca="1" si="39"/>
        <v>0.19779843749999998</v>
      </c>
      <c r="X83" s="298">
        <f t="shared" si="40"/>
        <v>0.234375</v>
      </c>
      <c r="Y83" s="299">
        <f t="shared" ca="1" si="26"/>
        <v>0.826982486694674</v>
      </c>
      <c r="Z83" s="293">
        <f t="shared" ca="1" si="41"/>
        <v>3</v>
      </c>
      <c r="AA83" s="299">
        <f t="shared" ca="1" si="42"/>
        <v>0.1755212333510143</v>
      </c>
      <c r="AB83" s="302">
        <f t="shared" ca="1" si="43"/>
        <v>0</v>
      </c>
      <c r="AC83" s="302">
        <f t="shared" ca="1" si="44"/>
        <v>1</v>
      </c>
      <c r="AD83" s="299">
        <f t="shared" ca="1" si="50"/>
        <v>0.12444866749722183</v>
      </c>
      <c r="AE83" s="302">
        <f t="shared" ca="1" si="51"/>
        <v>1</v>
      </c>
      <c r="AF83" s="302">
        <f t="shared" ca="1" si="52"/>
        <v>0</v>
      </c>
      <c r="AG83" s="299">
        <f t="shared" ca="1" si="53"/>
        <v>0.65061666695366616</v>
      </c>
      <c r="AH83" s="302">
        <f t="shared" ca="1" si="54"/>
        <v>4</v>
      </c>
      <c r="AI83" s="302">
        <f t="shared" ca="1" si="55"/>
        <v>5</v>
      </c>
    </row>
    <row r="84" spans="1:35" ht="15" customHeight="1" x14ac:dyDescent="0.25">
      <c r="A84" s="44" t="s">
        <v>1238</v>
      </c>
      <c r="B84" s="1">
        <f t="shared" ca="1" si="46"/>
        <v>16</v>
      </c>
      <c r="C84" s="45">
        <f ca="1">COUNTIF(D$2:D84,D84)+COUNTIF(G$2:G84,D84)</f>
        <v>4</v>
      </c>
      <c r="D84" s="46" t="str">
        <f t="shared" ca="1" si="47"/>
        <v>USA</v>
      </c>
      <c r="E84" s="1">
        <f t="shared" ca="1" si="48"/>
        <v>21</v>
      </c>
      <c r="F84" s="45">
        <f ca="1">COUNTIF(D$2:D84,G84)+COUNTIF(G$2:G84,G84)</f>
        <v>4</v>
      </c>
      <c r="G84" s="46" t="str">
        <f t="shared" ca="1" si="49"/>
        <v>Ecuador</v>
      </c>
      <c r="H84" s="1">
        <f ca="1">IF(Results!H84="",AB84,Results!H84)</f>
        <v>2</v>
      </c>
      <c r="I84" s="1">
        <f ca="1">IF(Results!I84="",AC84,Results!I84)</f>
        <v>1</v>
      </c>
      <c r="J84" s="306">
        <f ca="1">IF(Results!J84="",AB84+AE84,Results!J84)</f>
        <v>2</v>
      </c>
      <c r="K84" s="306">
        <f ca="1">IF(Results!K84="",AC84+AF84,Results!K84)</f>
        <v>1</v>
      </c>
      <c r="L84" s="307">
        <f ca="1">IF(Results!L84="",AH84,Results!L84)</f>
        <v>4</v>
      </c>
      <c r="M84" s="307">
        <f ca="1">IF(Results!M84="",AI84,Results!M84)</f>
        <v>5</v>
      </c>
      <c r="N84" s="293">
        <f t="shared" ca="1" si="34"/>
        <v>1</v>
      </c>
      <c r="O84" s="294">
        <f t="shared" ca="1" si="35"/>
        <v>0</v>
      </c>
      <c r="P84" s="295">
        <f t="shared" ca="1" si="36"/>
        <v>1681.4</v>
      </c>
      <c r="Q84" s="295">
        <f t="shared" ca="1" si="37"/>
        <v>1588.66875</v>
      </c>
      <c r="R84" s="296">
        <f t="shared" ca="1" si="45"/>
        <v>92.731250000000045</v>
      </c>
      <c r="S84" s="297">
        <f t="shared" ca="1" si="38"/>
        <v>0.63</v>
      </c>
      <c r="T84" s="297">
        <f t="shared" ca="1" si="31"/>
        <v>0.52126249999999996</v>
      </c>
      <c r="U84" s="297">
        <f t="shared" ca="1" si="32"/>
        <v>0.21747499999999997</v>
      </c>
      <c r="V84" s="297">
        <f t="shared" ca="1" si="33"/>
        <v>0.26126250000000006</v>
      </c>
      <c r="W84" s="298">
        <f t="shared" ca="1" si="39"/>
        <v>0.217475</v>
      </c>
      <c r="X84" s="298">
        <f t="shared" si="40"/>
        <v>0.234375</v>
      </c>
      <c r="Y84" s="299">
        <f t="shared" ca="1" si="26"/>
        <v>0.2930100425615596</v>
      </c>
      <c r="Z84" s="293">
        <f t="shared" ca="1" si="41"/>
        <v>1</v>
      </c>
      <c r="AA84" s="299">
        <f t="shared" ca="1" si="42"/>
        <v>0.56211609805339846</v>
      </c>
      <c r="AB84" s="302">
        <f t="shared" ca="1" si="43"/>
        <v>2</v>
      </c>
      <c r="AC84" s="302">
        <f t="shared" ca="1" si="44"/>
        <v>1</v>
      </c>
      <c r="AD84" s="299">
        <f t="shared" ca="1" si="50"/>
        <v>0.59729099180011214</v>
      </c>
      <c r="AE84" s="302">
        <f t="shared" ca="1" si="51"/>
        <v>0</v>
      </c>
      <c r="AF84" s="302">
        <f t="shared" ca="1" si="52"/>
        <v>0</v>
      </c>
      <c r="AG84" s="299">
        <f t="shared" ca="1" si="53"/>
        <v>0.79343658475739931</v>
      </c>
      <c r="AH84" s="302">
        <f t="shared" ca="1" si="54"/>
        <v>4</v>
      </c>
      <c r="AI84" s="302">
        <f t="shared" ca="1" si="55"/>
        <v>5</v>
      </c>
    </row>
    <row r="85" spans="1:35" ht="15" customHeight="1" x14ac:dyDescent="0.25">
      <c r="A85" s="44" t="s">
        <v>1239</v>
      </c>
      <c r="B85" s="1">
        <f t="shared" ca="1" si="46"/>
        <v>2</v>
      </c>
      <c r="C85" s="45">
        <f ca="1">COUNTIF(D$2:D85,D85)+COUNTIF(G$2:G85,D85)</f>
        <v>4</v>
      </c>
      <c r="D85" s="46" t="str">
        <f t="shared" ca="1" si="47"/>
        <v>Spain</v>
      </c>
      <c r="E85" s="1">
        <f t="shared" ca="1" si="48"/>
        <v>22</v>
      </c>
      <c r="F85" s="45">
        <f ca="1">COUNTIF(D$2:D85,G85)+COUNTIF(G$2:G85,G85)</f>
        <v>4</v>
      </c>
      <c r="G85" s="46" t="str">
        <f t="shared" ca="1" si="49"/>
        <v>Austria</v>
      </c>
      <c r="H85" s="1">
        <f ca="1">IF(Results!H85="",AB85,Results!H85)</f>
        <v>3</v>
      </c>
      <c r="I85" s="1">
        <f ca="1">IF(Results!I85="",AC85,Results!I85)</f>
        <v>0</v>
      </c>
      <c r="J85" s="306">
        <f ca="1">IF(Results!J85="",AB85+AE85,Results!J85)</f>
        <v>3</v>
      </c>
      <c r="K85" s="306">
        <f ca="1">IF(Results!K85="",AC85+AF85,Results!K85)</f>
        <v>0</v>
      </c>
      <c r="L85" s="307">
        <f ca="1">IF(Results!L85="",AH85,Results!L85)</f>
        <v>5</v>
      </c>
      <c r="M85" s="307">
        <f ca="1">IF(Results!M85="",AI85,Results!M85)</f>
        <v>4</v>
      </c>
      <c r="N85" s="293">
        <f t="shared" ca="1" si="34"/>
        <v>1</v>
      </c>
      <c r="O85" s="294">
        <f t="shared" ca="1" si="35"/>
        <v>2</v>
      </c>
      <c r="P85" s="295">
        <f t="shared" ca="1" si="36"/>
        <v>1821.425</v>
      </c>
      <c r="Q85" s="295">
        <f t="shared" ca="1" si="37"/>
        <v>1607</v>
      </c>
      <c r="R85" s="296">
        <f t="shared" ca="1" si="45"/>
        <v>214.42499999999995</v>
      </c>
      <c r="S85" s="297">
        <f t="shared" ca="1" si="38"/>
        <v>0.77778000000000003</v>
      </c>
      <c r="T85" s="297">
        <f t="shared" ca="1" si="31"/>
        <v>0.69917336419999998</v>
      </c>
      <c r="U85" s="297">
        <f t="shared" ca="1" si="32"/>
        <v>0.15721327159999998</v>
      </c>
      <c r="V85" s="297">
        <f t="shared" ca="1" si="33"/>
        <v>0.14361336420000004</v>
      </c>
      <c r="W85" s="298">
        <f t="shared" ca="1" si="39"/>
        <v>0.15721327159999998</v>
      </c>
      <c r="X85" s="298">
        <f t="shared" si="40"/>
        <v>0.234375</v>
      </c>
      <c r="Y85" s="299">
        <f t="shared" ca="1" si="26"/>
        <v>0.32059074508603591</v>
      </c>
      <c r="Z85" s="293">
        <f t="shared" ca="1" si="41"/>
        <v>1</v>
      </c>
      <c r="AA85" s="299">
        <f t="shared" ca="1" si="42"/>
        <v>0.45852825851405044</v>
      </c>
      <c r="AB85" s="302">
        <f t="shared" ca="1" si="43"/>
        <v>3</v>
      </c>
      <c r="AC85" s="302">
        <f t="shared" ca="1" si="44"/>
        <v>0</v>
      </c>
      <c r="AD85" s="299">
        <f t="shared" ca="1" si="50"/>
        <v>0.66816981490172767</v>
      </c>
      <c r="AE85" s="302">
        <f t="shared" ca="1" si="51"/>
        <v>0</v>
      </c>
      <c r="AF85" s="302">
        <f t="shared" ca="1" si="52"/>
        <v>0</v>
      </c>
      <c r="AG85" s="299">
        <f t="shared" ca="1" si="53"/>
        <v>0.38435614000484397</v>
      </c>
      <c r="AH85" s="302">
        <f t="shared" ca="1" si="54"/>
        <v>5</v>
      </c>
      <c r="AI85" s="302">
        <f t="shared" ca="1" si="55"/>
        <v>4</v>
      </c>
    </row>
    <row r="86" spans="1:35" ht="15" customHeight="1" x14ac:dyDescent="0.25">
      <c r="A86" s="44" t="s">
        <v>1240</v>
      </c>
      <c r="B86" s="1">
        <f t="shared" ca="1" si="46"/>
        <v>5</v>
      </c>
      <c r="C86" s="45">
        <f ca="1">COUNTIF(D$2:D86,D86)+COUNTIF(G$2:G86,D86)</f>
        <v>4</v>
      </c>
      <c r="D86" s="46" t="str">
        <f t="shared" ca="1" si="47"/>
        <v>Portugal</v>
      </c>
      <c r="E86" s="1">
        <f t="shared" ca="1" si="48"/>
        <v>11</v>
      </c>
      <c r="F86" s="45">
        <f ca="1">COUNTIF(D$2:D86,G86)+COUNTIF(G$2:G86,G86)</f>
        <v>4</v>
      </c>
      <c r="G86" s="46" t="str">
        <f t="shared" ca="1" si="49"/>
        <v>Croatia</v>
      </c>
      <c r="H86" s="1">
        <f ca="1">IF(Results!H86="",AB86,Results!H86)</f>
        <v>3</v>
      </c>
      <c r="I86" s="1">
        <f ca="1">IF(Results!I86="",AC86,Results!I86)</f>
        <v>0</v>
      </c>
      <c r="J86" s="306">
        <f ca="1">IF(Results!J86="",AB86+AE86,Results!J86)</f>
        <v>3</v>
      </c>
      <c r="K86" s="306">
        <f ca="1">IF(Results!K86="",AC86+AF86,Results!K86)</f>
        <v>0</v>
      </c>
      <c r="L86" s="307">
        <f ca="1">IF(Results!L86="",AH86,Results!L86)</f>
        <v>4</v>
      </c>
      <c r="M86" s="307">
        <f ca="1">IF(Results!M86="",AI86,Results!M86)</f>
        <v>5</v>
      </c>
      <c r="N86" s="293">
        <f t="shared" ca="1" si="34"/>
        <v>1</v>
      </c>
      <c r="O86" s="294">
        <f t="shared" ca="1" si="35"/>
        <v>2</v>
      </c>
      <c r="P86" s="295">
        <f t="shared" ca="1" si="36"/>
        <v>1798</v>
      </c>
      <c r="Q86" s="295">
        <f t="shared" ca="1" si="37"/>
        <v>1695</v>
      </c>
      <c r="R86" s="296">
        <f t="shared" ca="1" si="45"/>
        <v>103</v>
      </c>
      <c r="S86" s="297">
        <f t="shared" ca="1" si="38"/>
        <v>0.64500000000000002</v>
      </c>
      <c r="T86" s="297">
        <f t="shared" ca="1" si="31"/>
        <v>0.53832500000000005</v>
      </c>
      <c r="U86" s="297">
        <f t="shared" ca="1" si="32"/>
        <v>0.21335000000000004</v>
      </c>
      <c r="V86" s="297">
        <f t="shared" ca="1" si="33"/>
        <v>0.24832499999999996</v>
      </c>
      <c r="W86" s="298">
        <f t="shared" ca="1" si="39"/>
        <v>0.21334999999999998</v>
      </c>
      <c r="X86" s="298">
        <f t="shared" si="40"/>
        <v>0.234375</v>
      </c>
      <c r="Y86" s="299">
        <f t="shared" ca="1" si="26"/>
        <v>0.21157452779597696</v>
      </c>
      <c r="Z86" s="293">
        <f t="shared" ca="1" si="41"/>
        <v>1</v>
      </c>
      <c r="AA86" s="299">
        <f t="shared" ca="1" si="42"/>
        <v>0.39302378265170101</v>
      </c>
      <c r="AB86" s="302">
        <f t="shared" ca="1" si="43"/>
        <v>3</v>
      </c>
      <c r="AC86" s="302">
        <f t="shared" ca="1" si="44"/>
        <v>0</v>
      </c>
      <c r="AD86" s="299">
        <f t="shared" ca="1" si="50"/>
        <v>0.37828486175810694</v>
      </c>
      <c r="AE86" s="302">
        <f t="shared" ca="1" si="51"/>
        <v>0</v>
      </c>
      <c r="AF86" s="302">
        <f t="shared" ca="1" si="52"/>
        <v>0</v>
      </c>
      <c r="AG86" s="299">
        <f t="shared" ca="1" si="53"/>
        <v>0.79350339223880773</v>
      </c>
      <c r="AH86" s="302">
        <f t="shared" ca="1" si="54"/>
        <v>4</v>
      </c>
      <c r="AI86" s="302">
        <f t="shared" ca="1" si="55"/>
        <v>5</v>
      </c>
    </row>
    <row r="87" spans="1:35" ht="15" customHeight="1" x14ac:dyDescent="0.25">
      <c r="A87" s="44" t="s">
        <v>1241</v>
      </c>
      <c r="B87" s="1">
        <f t="shared" ca="1" si="46"/>
        <v>18</v>
      </c>
      <c r="C87" s="45">
        <f ca="1">COUNTIF(D$2:D87,D87)+COUNTIF(G$2:G87,D87)</f>
        <v>4</v>
      </c>
      <c r="D87" s="46" t="str">
        <f t="shared" ca="1" si="47"/>
        <v>Switzerland</v>
      </c>
      <c r="E87" s="1">
        <f t="shared" ca="1" si="48"/>
        <v>9</v>
      </c>
      <c r="F87" s="45">
        <f ca="1">COUNTIF(D$2:D87,G87)+COUNTIF(G$2:G87,G87)</f>
        <v>4</v>
      </c>
      <c r="G87" s="46" t="str">
        <f t="shared" ca="1" si="49"/>
        <v>Belgium</v>
      </c>
      <c r="H87" s="1">
        <f ca="1">IF(Results!H87="",AB87,Results!H87)</f>
        <v>1</v>
      </c>
      <c r="I87" s="1">
        <f ca="1">IF(Results!I87="",AC87,Results!I87)</f>
        <v>1</v>
      </c>
      <c r="J87" s="306">
        <f ca="1">IF(Results!J87="",AB87+AE87,Results!J87)</f>
        <v>1</v>
      </c>
      <c r="K87" s="306">
        <f ca="1">IF(Results!K87="",AC87+AF87,Results!K87)</f>
        <v>2</v>
      </c>
      <c r="L87" s="307">
        <f ca="1">IF(Results!L87="",AH87,Results!L87)</f>
        <v>5</v>
      </c>
      <c r="M87" s="307">
        <f ca="1">IF(Results!M87="",AI87,Results!M87)</f>
        <v>4</v>
      </c>
      <c r="N87" s="293">
        <f t="shared" ca="1" si="34"/>
        <v>2</v>
      </c>
      <c r="O87" s="294">
        <f t="shared" ca="1" si="35"/>
        <v>0</v>
      </c>
      <c r="P87" s="295">
        <f t="shared" ca="1" si="36"/>
        <v>1646.0833500000001</v>
      </c>
      <c r="Q87" s="295">
        <f t="shared" ca="1" si="37"/>
        <v>1728.0334</v>
      </c>
      <c r="R87" s="296">
        <f t="shared" ca="1" si="45"/>
        <v>-81.950049999999919</v>
      </c>
      <c r="S87" s="297">
        <f t="shared" ca="1" si="38"/>
        <v>0.38429000000000002</v>
      </c>
      <c r="T87" s="297">
        <f t="shared" ca="1" si="31"/>
        <v>0.27379690205000001</v>
      </c>
      <c r="U87" s="297">
        <f t="shared" ca="1" si="32"/>
        <v>0.22098619589999996</v>
      </c>
      <c r="V87" s="297">
        <f t="shared" ca="1" si="33"/>
        <v>0.50521690205000003</v>
      </c>
      <c r="W87" s="298">
        <f t="shared" ca="1" si="39"/>
        <v>0.22098619590000002</v>
      </c>
      <c r="X87" s="298">
        <f t="shared" si="40"/>
        <v>0.234375</v>
      </c>
      <c r="Y87" s="299">
        <f t="shared" ca="1" si="26"/>
        <v>0.43254644373043294</v>
      </c>
      <c r="Z87" s="293">
        <f t="shared" ca="1" si="41"/>
        <v>2</v>
      </c>
      <c r="AA87" s="299">
        <f t="shared" ca="1" si="42"/>
        <v>0.7183685887432979</v>
      </c>
      <c r="AB87" s="302">
        <f t="shared" ca="1" si="43"/>
        <v>1</v>
      </c>
      <c r="AC87" s="302">
        <f t="shared" ca="1" si="44"/>
        <v>1</v>
      </c>
      <c r="AD87" s="299">
        <f t="shared" ca="1" si="50"/>
        <v>0.98620348540631164</v>
      </c>
      <c r="AE87" s="302">
        <f t="shared" ca="1" si="51"/>
        <v>0</v>
      </c>
      <c r="AF87" s="302">
        <f t="shared" ca="1" si="52"/>
        <v>1</v>
      </c>
      <c r="AG87" s="299">
        <f t="shared" ca="1" si="53"/>
        <v>1.0682450478772254E-2</v>
      </c>
      <c r="AH87" s="302">
        <f t="shared" ca="1" si="54"/>
        <v>5</v>
      </c>
      <c r="AI87" s="302">
        <f t="shared" ca="1" si="55"/>
        <v>4</v>
      </c>
    </row>
    <row r="88" spans="1:35" ht="15" customHeight="1" x14ac:dyDescent="0.25">
      <c r="A88" s="44" t="s">
        <v>1242</v>
      </c>
      <c r="B88" s="1">
        <f t="shared" ca="1" si="46"/>
        <v>24</v>
      </c>
      <c r="C88" s="45">
        <f ca="1">COUNTIF(D$2:D88,D88)+COUNTIF(G$2:G88,D88)</f>
        <v>4</v>
      </c>
      <c r="D88" s="46" t="str">
        <f t="shared" ca="1" si="47"/>
        <v>Australia</v>
      </c>
      <c r="E88" s="1">
        <f t="shared" ca="1" si="48"/>
        <v>19</v>
      </c>
      <c r="F88" s="45">
        <f ca="1">COUNTIF(D$2:D88,G88)+COUNTIF(G$2:G88,G88)</f>
        <v>4</v>
      </c>
      <c r="G88" s="46" t="str">
        <f t="shared" ca="1" si="49"/>
        <v>IR Iran</v>
      </c>
      <c r="H88" s="1">
        <f ca="1">IF(Results!H88="",AB88,Results!H88)</f>
        <v>1</v>
      </c>
      <c r="I88" s="1">
        <f ca="1">IF(Results!I88="",AC88,Results!I88)</f>
        <v>2</v>
      </c>
      <c r="J88" s="306">
        <f ca="1">IF(Results!J88="",AB88+AE88,Results!J88)</f>
        <v>2</v>
      </c>
      <c r="K88" s="306">
        <f ca="1">IF(Results!K88="",AC88+AF88,Results!K88)</f>
        <v>2</v>
      </c>
      <c r="L88" s="307">
        <f ca="1">IF(Results!L88="",AH88,Results!L88)</f>
        <v>5</v>
      </c>
      <c r="M88" s="307">
        <f ca="1">IF(Results!M88="",AI88,Results!M88)</f>
        <v>4</v>
      </c>
      <c r="N88" s="293">
        <f t="shared" ca="1" si="34"/>
        <v>3</v>
      </c>
      <c r="O88" s="294">
        <f t="shared" ca="1" si="35"/>
        <v>0</v>
      </c>
      <c r="P88" s="295">
        <f t="shared" ca="1" si="36"/>
        <v>1566.4749999999999</v>
      </c>
      <c r="Q88" s="295">
        <f t="shared" ca="1" si="37"/>
        <v>1559.425</v>
      </c>
      <c r="R88" s="296">
        <f t="shared" ca="1" si="45"/>
        <v>7.0499999999999545</v>
      </c>
      <c r="S88" s="297">
        <f t="shared" ca="1" si="38"/>
        <v>0.51429000000000002</v>
      </c>
      <c r="T88" s="297">
        <f t="shared" ca="1" si="31"/>
        <v>0.39720460205000002</v>
      </c>
      <c r="U88" s="297">
        <f t="shared" ca="1" si="32"/>
        <v>0.23417079589999995</v>
      </c>
      <c r="V88" s="297">
        <f t="shared" ca="1" si="33"/>
        <v>0.36862460205000003</v>
      </c>
      <c r="W88" s="298">
        <f t="shared" ca="1" si="39"/>
        <v>0.23417079590000001</v>
      </c>
      <c r="X88" s="298">
        <f t="shared" si="40"/>
        <v>0.234375</v>
      </c>
      <c r="Y88" s="299">
        <f t="shared" ca="1" si="26"/>
        <v>0.91887026967344998</v>
      </c>
      <c r="Z88" s="293">
        <f t="shared" ca="1" si="41"/>
        <v>3</v>
      </c>
      <c r="AA88" s="299">
        <f t="shared" ca="1" si="42"/>
        <v>0.77991232848982317</v>
      </c>
      <c r="AB88" s="302">
        <f t="shared" ca="1" si="43"/>
        <v>1</v>
      </c>
      <c r="AC88" s="302">
        <f t="shared" ca="1" si="44"/>
        <v>2</v>
      </c>
      <c r="AD88" s="299">
        <f t="shared" ca="1" si="50"/>
        <v>7.5751660044655056E-3</v>
      </c>
      <c r="AE88" s="302">
        <f t="shared" ca="1" si="51"/>
        <v>1</v>
      </c>
      <c r="AF88" s="302">
        <f t="shared" ca="1" si="52"/>
        <v>0</v>
      </c>
      <c r="AG88" s="299">
        <f t="shared" ca="1" si="53"/>
        <v>0.30928156936026752</v>
      </c>
      <c r="AH88" s="302">
        <f t="shared" ca="1" si="54"/>
        <v>5</v>
      </c>
      <c r="AI88" s="302">
        <f t="shared" ca="1" si="55"/>
        <v>4</v>
      </c>
    </row>
    <row r="89" spans="1:35" ht="15" customHeight="1" x14ac:dyDescent="0.25">
      <c r="A89" s="44" t="s">
        <v>1243</v>
      </c>
      <c r="B89" s="1">
        <f t="shared" ca="1" si="46"/>
        <v>1</v>
      </c>
      <c r="C89" s="45">
        <f ca="1">COUNTIF(D$2:D89,D89)+COUNTIF(G$2:G89,D89)</f>
        <v>4</v>
      </c>
      <c r="D89" s="46" t="str">
        <f t="shared" ca="1" si="47"/>
        <v>Argentina</v>
      </c>
      <c r="E89" s="1">
        <f t="shared" ca="1" si="48"/>
        <v>44</v>
      </c>
      <c r="F89" s="45">
        <f ca="1">COUNTIF(D$2:D89,G89)+COUNTIF(G$2:G89,G89)</f>
        <v>4</v>
      </c>
      <c r="G89" s="46" t="str">
        <f t="shared" ca="1" si="49"/>
        <v>Cabo Verde</v>
      </c>
      <c r="H89" s="1">
        <f ca="1">IF(Results!H89="",AB89,Results!H89)</f>
        <v>1</v>
      </c>
      <c r="I89" s="1">
        <f ca="1">IF(Results!I89="",AC89,Results!I89)</f>
        <v>0</v>
      </c>
      <c r="J89" s="306">
        <f ca="1">IF(Results!J89="",AB89+AE89,Results!J89)</f>
        <v>2</v>
      </c>
      <c r="K89" s="306">
        <f ca="1">IF(Results!K89="",AC89+AF89,Results!K89)</f>
        <v>0</v>
      </c>
      <c r="L89" s="307">
        <f ca="1">IF(Results!L89="",AH89,Results!L89)</f>
        <v>5</v>
      </c>
      <c r="M89" s="307">
        <f ca="1">IF(Results!M89="",AI89,Results!M89)</f>
        <v>4</v>
      </c>
      <c r="N89" s="293">
        <f t="shared" ca="1" si="34"/>
        <v>1</v>
      </c>
      <c r="O89" s="294">
        <f t="shared" ca="1" si="35"/>
        <v>0</v>
      </c>
      <c r="P89" s="295">
        <f t="shared" ca="1" si="36"/>
        <v>1792</v>
      </c>
      <c r="Q89" s="295">
        <f t="shared" ca="1" si="37"/>
        <v>1377.7874999999999</v>
      </c>
      <c r="R89" s="296">
        <f t="shared" ca="1" si="45"/>
        <v>414.21250000000009</v>
      </c>
      <c r="S89" s="297">
        <f t="shared" ca="1" si="38"/>
        <v>0.93095000000000006</v>
      </c>
      <c r="T89" s="297">
        <f t="shared" ca="1" si="31"/>
        <v>0.90662145125000004</v>
      </c>
      <c r="U89" s="297">
        <f t="shared" ca="1" si="32"/>
        <v>4.8657097499999913E-2</v>
      </c>
      <c r="V89" s="297">
        <f t="shared" ca="1" si="33"/>
        <v>4.4721451250000016E-2</v>
      </c>
      <c r="W89" s="298">
        <f t="shared" ca="1" si="39"/>
        <v>4.8657097499999941E-2</v>
      </c>
      <c r="X89" s="298">
        <f t="shared" si="40"/>
        <v>0.234375</v>
      </c>
      <c r="Y89" s="299">
        <f t="shared" ca="1" si="26"/>
        <v>0.21660926628663801</v>
      </c>
      <c r="Z89" s="293">
        <f t="shared" ca="1" si="41"/>
        <v>1</v>
      </c>
      <c r="AA89" s="299">
        <f t="shared" ca="1" si="42"/>
        <v>0.23891919387963853</v>
      </c>
      <c r="AB89" s="302">
        <f t="shared" ca="1" si="43"/>
        <v>1</v>
      </c>
      <c r="AC89" s="302">
        <f t="shared" ca="1" si="44"/>
        <v>0</v>
      </c>
      <c r="AD89" s="299">
        <f t="shared" ca="1" si="50"/>
        <v>0.37106684853450234</v>
      </c>
      <c r="AE89" s="302">
        <f t="shared" ca="1" si="51"/>
        <v>1</v>
      </c>
      <c r="AF89" s="302">
        <f t="shared" ca="1" si="52"/>
        <v>0</v>
      </c>
      <c r="AG89" s="299">
        <f t="shared" ca="1" si="53"/>
        <v>9.5737880673340769E-2</v>
      </c>
      <c r="AH89" s="302">
        <f t="shared" ca="1" si="54"/>
        <v>5</v>
      </c>
      <c r="AI89" s="302">
        <f t="shared" ca="1" si="55"/>
        <v>4</v>
      </c>
    </row>
    <row r="90" spans="1:35" ht="15" customHeight="1" x14ac:dyDescent="0.25">
      <c r="A90" s="44" t="s">
        <v>1244</v>
      </c>
      <c r="B90" s="1">
        <f t="shared" ca="1" si="46"/>
        <v>12</v>
      </c>
      <c r="C90" s="45">
        <f ca="1">COUNTIF(D$2:D90,D90)+COUNTIF(G$2:G90,D90)</f>
        <v>4</v>
      </c>
      <c r="D90" s="46" t="str">
        <f t="shared" ca="1" si="47"/>
        <v>Colombia</v>
      </c>
      <c r="E90" s="1">
        <f t="shared" ca="1" si="48"/>
        <v>30</v>
      </c>
      <c r="F90" s="45">
        <f ca="1">COUNTIF(D$2:D90,G90)+COUNTIF(G$2:G90,G90)</f>
        <v>4</v>
      </c>
      <c r="G90" s="46" t="str">
        <f t="shared" ca="1" si="49"/>
        <v>Panama</v>
      </c>
      <c r="H90" s="1">
        <f ca="1">IF(Results!H90="",AB90,Results!H90)</f>
        <v>2</v>
      </c>
      <c r="I90" s="1">
        <f ca="1">IF(Results!I90="",AC90,Results!I90)</f>
        <v>0</v>
      </c>
      <c r="J90" s="306">
        <f ca="1">IF(Results!J90="",AB90+AE90,Results!J90)</f>
        <v>3</v>
      </c>
      <c r="K90" s="306">
        <f ca="1">IF(Results!K90="",AC90+AF90,Results!K90)</f>
        <v>0</v>
      </c>
      <c r="L90" s="307">
        <f ca="1">IF(Results!L90="",AH90,Results!L90)</f>
        <v>5</v>
      </c>
      <c r="M90" s="307">
        <f ca="1">IF(Results!M90="",AI90,Results!M90)</f>
        <v>4</v>
      </c>
      <c r="N90" s="293">
        <f t="shared" ca="1" si="34"/>
        <v>1</v>
      </c>
      <c r="O90" s="294">
        <f t="shared" ca="1" si="35"/>
        <v>0</v>
      </c>
      <c r="P90" s="295">
        <f t="shared" ca="1" si="36"/>
        <v>1723</v>
      </c>
      <c r="Q90" s="295">
        <f t="shared" ca="1" si="37"/>
        <v>1569</v>
      </c>
      <c r="R90" s="296">
        <f t="shared" ca="1" si="45"/>
        <v>154</v>
      </c>
      <c r="S90" s="297">
        <f t="shared" ca="1" si="38"/>
        <v>0.71</v>
      </c>
      <c r="T90" s="297">
        <f t="shared" ca="1" si="31"/>
        <v>0.61486249999999998</v>
      </c>
      <c r="U90" s="297">
        <f t="shared" ca="1" si="32"/>
        <v>0.19027500000000008</v>
      </c>
      <c r="V90" s="297">
        <f t="shared" ca="1" si="33"/>
        <v>0.19486249999999999</v>
      </c>
      <c r="W90" s="298">
        <f t="shared" ca="1" si="39"/>
        <v>0.19027500000000003</v>
      </c>
      <c r="X90" s="298">
        <f t="shared" si="40"/>
        <v>0.234375</v>
      </c>
      <c r="Y90" s="299">
        <f t="shared" ca="1" si="26"/>
        <v>0.18929430295994543</v>
      </c>
      <c r="Z90" s="293">
        <f t="shared" ca="1" si="41"/>
        <v>1</v>
      </c>
      <c r="AA90" s="299">
        <f t="shared" ca="1" si="42"/>
        <v>0.30786444605085761</v>
      </c>
      <c r="AB90" s="302">
        <f t="shared" ca="1" si="43"/>
        <v>2</v>
      </c>
      <c r="AC90" s="302">
        <f t="shared" ca="1" si="44"/>
        <v>0</v>
      </c>
      <c r="AD90" s="299">
        <f t="shared" ca="1" si="50"/>
        <v>0.24016804088190946</v>
      </c>
      <c r="AE90" s="302">
        <f t="shared" ca="1" si="51"/>
        <v>1</v>
      </c>
      <c r="AF90" s="302">
        <f t="shared" ca="1" si="52"/>
        <v>0</v>
      </c>
      <c r="AG90" s="299">
        <f t="shared" ca="1" si="53"/>
        <v>0.48798196268311034</v>
      </c>
      <c r="AH90" s="302">
        <f t="shared" ca="1" si="54"/>
        <v>5</v>
      </c>
      <c r="AI90" s="302">
        <f t="shared" ca="1" si="55"/>
        <v>4</v>
      </c>
    </row>
    <row r="91" spans="1:35" ht="15" customHeight="1" x14ac:dyDescent="0.25">
      <c r="A91" s="44" t="s">
        <v>1246</v>
      </c>
      <c r="B91" s="1">
        <f t="shared" ca="1" si="46"/>
        <v>27</v>
      </c>
      <c r="C91" s="45">
        <f ca="1">COUNTIF(D$2:D91,D91)+COUNTIF(G$2:G91,D91)</f>
        <v>5</v>
      </c>
      <c r="D91" s="46" t="str">
        <f t="shared" ca="1" si="47"/>
        <v>Canada</v>
      </c>
      <c r="E91" s="1">
        <f t="shared" ca="1" si="48"/>
        <v>6</v>
      </c>
      <c r="F91" s="45">
        <f ca="1">COUNTIF(D$2:D91,G91)+COUNTIF(G$2:G91,G91)</f>
        <v>5</v>
      </c>
      <c r="G91" s="46" t="str">
        <f t="shared" ca="1" si="49"/>
        <v>Brazil</v>
      </c>
      <c r="H91" s="1">
        <f ca="1">IF(Results!H91="",AB91,Results!H91)</f>
        <v>1</v>
      </c>
      <c r="I91" s="1">
        <f ca="1">IF(Results!I91="",AC91,Results!I91)</f>
        <v>0</v>
      </c>
      <c r="J91" s="306">
        <f ca="1">IF(Results!J91="",AB91+AE91,Results!J91)</f>
        <v>1</v>
      </c>
      <c r="K91" s="306">
        <f ca="1">IF(Results!K91="",AC91+AF91,Results!K91)</f>
        <v>0</v>
      </c>
      <c r="L91" s="307">
        <f ca="1">IF(Results!L91="",AH91,Results!L91)</f>
        <v>4</v>
      </c>
      <c r="M91" s="307">
        <f ca="1">IF(Results!M91="",AI91,Results!M91)</f>
        <v>5</v>
      </c>
      <c r="N91" s="293">
        <f t="shared" ca="1" si="34"/>
        <v>1</v>
      </c>
      <c r="O91" s="294">
        <f t="shared" ca="1" si="35"/>
        <v>0</v>
      </c>
      <c r="P91" s="295">
        <f t="shared" ca="1" si="36"/>
        <v>1581.7334000000001</v>
      </c>
      <c r="Q91" s="295">
        <f t="shared" ca="1" si="37"/>
        <v>1784.0571</v>
      </c>
      <c r="R91" s="296">
        <f t="shared" ca="1" si="45"/>
        <v>-202.32369999999992</v>
      </c>
      <c r="S91" s="297">
        <f t="shared" ca="1" si="38"/>
        <v>0.23555999999999999</v>
      </c>
      <c r="T91" s="297">
        <f t="shared" ca="1" si="31"/>
        <v>0.1533367568</v>
      </c>
      <c r="U91" s="297">
        <f t="shared" ca="1" si="32"/>
        <v>0.16444648640000006</v>
      </c>
      <c r="V91" s="297">
        <f t="shared" ca="1" si="33"/>
        <v>0.68221675679999993</v>
      </c>
      <c r="W91" s="298">
        <f t="shared" ca="1" si="39"/>
        <v>0.16444648639999998</v>
      </c>
      <c r="X91" s="298">
        <f t="shared" si="40"/>
        <v>0.234375</v>
      </c>
      <c r="Y91" s="299">
        <f t="shared" ca="1" si="26"/>
        <v>3.5931971214803293E-2</v>
      </c>
      <c r="Z91" s="293">
        <f t="shared" ca="1" si="41"/>
        <v>1</v>
      </c>
      <c r="AA91" s="299">
        <f t="shared" ca="1" si="42"/>
        <v>0.23433371074666745</v>
      </c>
      <c r="AB91" s="302">
        <f t="shared" ca="1" si="43"/>
        <v>1</v>
      </c>
      <c r="AC91" s="302">
        <f t="shared" ca="1" si="44"/>
        <v>0</v>
      </c>
      <c r="AD91" s="299">
        <f t="shared" ca="1" si="50"/>
        <v>0.6303057553333955</v>
      </c>
      <c r="AE91" s="302">
        <f t="shared" ca="1" si="51"/>
        <v>0</v>
      </c>
      <c r="AF91" s="302">
        <f t="shared" ca="1" si="52"/>
        <v>0</v>
      </c>
      <c r="AG91" s="299">
        <f t="shared" ca="1" si="53"/>
        <v>0.98820951293416137</v>
      </c>
      <c r="AH91" s="302">
        <f t="shared" ref="AH91:AH106" ca="1" si="56">IF(AG91&lt;0.5,5,4)</f>
        <v>4</v>
      </c>
      <c r="AI91" s="302">
        <f t="shared" ref="AI91:AI106" ca="1" si="57">IF(AH91=5,4,5)</f>
        <v>5</v>
      </c>
    </row>
    <row r="92" spans="1:35" ht="15" customHeight="1" x14ac:dyDescent="0.25">
      <c r="A92" s="44" t="s">
        <v>1245</v>
      </c>
      <c r="B92" s="1">
        <f t="shared" ca="1" si="46"/>
        <v>29</v>
      </c>
      <c r="C92" s="45">
        <f ca="1">COUNTIF(D$2:D92,D92)+COUNTIF(G$2:G92,D92)</f>
        <v>5</v>
      </c>
      <c r="D92" s="46" t="str">
        <f t="shared" ca="1" si="47"/>
        <v>Cote d'Ivorie</v>
      </c>
      <c r="E92" s="1">
        <f t="shared" ca="1" si="48"/>
        <v>31</v>
      </c>
      <c r="F92" s="45">
        <f ca="1">COUNTIF(D$2:D92,G92)+COUNTIF(G$2:G92,G92)</f>
        <v>5</v>
      </c>
      <c r="G92" s="46" t="str">
        <f t="shared" ca="1" si="49"/>
        <v>Sweden</v>
      </c>
      <c r="H92" s="1">
        <f ca="1">IF(Results!H92="",AB92,Results!H92)</f>
        <v>1</v>
      </c>
      <c r="I92" s="1">
        <f ca="1">IF(Results!I92="",AC92,Results!I92)</f>
        <v>0</v>
      </c>
      <c r="J92" s="306">
        <f ca="1">IF(Results!J92="",AB92+AE92,Results!J92)</f>
        <v>1</v>
      </c>
      <c r="K92" s="306">
        <f ca="1">IF(Results!K92="",AC92+AF92,Results!K92)</f>
        <v>1</v>
      </c>
      <c r="L92" s="307">
        <f ca="1">IF(Results!L92="",AH92,Results!L92)</f>
        <v>4</v>
      </c>
      <c r="M92" s="307">
        <f ca="1">IF(Results!M92="",AI92,Results!M92)</f>
        <v>5</v>
      </c>
      <c r="N92" s="293">
        <f t="shared" ca="1" si="34"/>
        <v>1</v>
      </c>
      <c r="O92" s="294">
        <f t="shared" ca="1" si="35"/>
        <v>0</v>
      </c>
      <c r="P92" s="295">
        <f t="shared" ca="1" si="36"/>
        <v>1481.6624999999999</v>
      </c>
      <c r="Q92" s="295">
        <f t="shared" ca="1" si="37"/>
        <v>1573.44</v>
      </c>
      <c r="R92" s="296">
        <f t="shared" ca="1" si="45"/>
        <v>-91.777500000000146</v>
      </c>
      <c r="S92" s="297">
        <f t="shared" ca="1" si="38"/>
        <v>0.37125000000000002</v>
      </c>
      <c r="T92" s="297">
        <f t="shared" ca="1" si="31"/>
        <v>0.26235078125</v>
      </c>
      <c r="U92" s="297">
        <f t="shared" ca="1" si="32"/>
        <v>0.21779843750000005</v>
      </c>
      <c r="V92" s="297">
        <f t="shared" ca="1" si="33"/>
        <v>0.51985078124999995</v>
      </c>
      <c r="W92" s="298">
        <f t="shared" ca="1" si="39"/>
        <v>0.2177984375</v>
      </c>
      <c r="X92" s="298">
        <f t="shared" si="40"/>
        <v>0.234375</v>
      </c>
      <c r="Y92" s="299">
        <f t="shared" ca="1" si="26"/>
        <v>9.8752812674347545E-3</v>
      </c>
      <c r="Z92" s="293">
        <f t="shared" ca="1" si="41"/>
        <v>1</v>
      </c>
      <c r="AA92" s="299">
        <f t="shared" ca="1" si="42"/>
        <v>3.7641516523727735E-2</v>
      </c>
      <c r="AB92" s="302">
        <f t="shared" ca="1" si="43"/>
        <v>1</v>
      </c>
      <c r="AC92" s="302">
        <f t="shared" ca="1" si="44"/>
        <v>0</v>
      </c>
      <c r="AD92" s="299">
        <f t="shared" ca="1" si="50"/>
        <v>0.74955532121642532</v>
      </c>
      <c r="AE92" s="302">
        <f t="shared" ca="1" si="51"/>
        <v>0</v>
      </c>
      <c r="AF92" s="302">
        <f t="shared" ca="1" si="52"/>
        <v>1</v>
      </c>
      <c r="AG92" s="299">
        <f t="shared" ca="1" si="53"/>
        <v>0.77628512610992129</v>
      </c>
      <c r="AH92" s="302">
        <f t="shared" ca="1" si="56"/>
        <v>4</v>
      </c>
      <c r="AI92" s="302">
        <f t="shared" ca="1" si="57"/>
        <v>5</v>
      </c>
    </row>
    <row r="93" spans="1:35" ht="15" customHeight="1" x14ac:dyDescent="0.25">
      <c r="A93" s="44" t="s">
        <v>1251</v>
      </c>
      <c r="B93" s="1">
        <f t="shared" ca="1" si="46"/>
        <v>7</v>
      </c>
      <c r="C93" s="45">
        <f ca="1">COUNTIF(D$2:D93,D93)+COUNTIF(G$2:G93,D93)</f>
        <v>5</v>
      </c>
      <c r="D93" s="46" t="str">
        <f t="shared" ca="1" si="47"/>
        <v>Morocco</v>
      </c>
      <c r="E93" s="1">
        <f t="shared" ca="1" si="48"/>
        <v>3</v>
      </c>
      <c r="F93" s="45">
        <f ca="1">COUNTIF(D$2:D93,G93)+COUNTIF(G$2:G93,G93)</f>
        <v>5</v>
      </c>
      <c r="G93" s="46" t="str">
        <f t="shared" ca="1" si="49"/>
        <v>France</v>
      </c>
      <c r="H93" s="1">
        <f ca="1">IF(Results!H93="",AB93,Results!H93)</f>
        <v>2</v>
      </c>
      <c r="I93" s="1">
        <f ca="1">IF(Results!I93="",AC93,Results!I93)</f>
        <v>1</v>
      </c>
      <c r="J93" s="306">
        <f ca="1">IF(Results!J93="",AB93+AE93,Results!J93)</f>
        <v>2</v>
      </c>
      <c r="K93" s="306">
        <f ca="1">IF(Results!K93="",AC93+AF93,Results!K93)</f>
        <v>2</v>
      </c>
      <c r="L93" s="307">
        <f ca="1">IF(Results!L93="",AH93,Results!L93)</f>
        <v>4</v>
      </c>
      <c r="M93" s="307">
        <f ca="1">IF(Results!M93="",AI93,Results!M93)</f>
        <v>5</v>
      </c>
      <c r="N93" s="293">
        <f t="shared" ca="1" si="34"/>
        <v>1</v>
      </c>
      <c r="O93" s="294">
        <f t="shared" ca="1" si="35"/>
        <v>0</v>
      </c>
      <c r="P93" s="295">
        <f t="shared" ca="1" si="36"/>
        <v>1696.97145</v>
      </c>
      <c r="Q93" s="295">
        <f t="shared" ca="1" si="37"/>
        <v>1819</v>
      </c>
      <c r="R93" s="296">
        <f t="shared" ca="1" si="45"/>
        <v>-122.02855</v>
      </c>
      <c r="S93" s="297">
        <f t="shared" ca="1" si="38"/>
        <v>0.33</v>
      </c>
      <c r="T93" s="297">
        <f t="shared" ca="1" si="31"/>
        <v>0.22726250000000001</v>
      </c>
      <c r="U93" s="297">
        <f t="shared" ca="1" si="32"/>
        <v>0.20547499999999999</v>
      </c>
      <c r="V93" s="297">
        <f t="shared" ca="1" si="33"/>
        <v>0.5672625</v>
      </c>
      <c r="W93" s="298">
        <f t="shared" ca="1" si="39"/>
        <v>0.20547500000000002</v>
      </c>
      <c r="X93" s="298">
        <f t="shared" si="40"/>
        <v>0.234375</v>
      </c>
      <c r="Y93" s="299">
        <f t="shared" ca="1" si="26"/>
        <v>0.17738957686705892</v>
      </c>
      <c r="Z93" s="293">
        <f t="shared" ca="1" si="41"/>
        <v>1</v>
      </c>
      <c r="AA93" s="299">
        <f t="shared" ca="1" si="42"/>
        <v>0.7805492629318912</v>
      </c>
      <c r="AB93" s="302">
        <f t="shared" ca="1" si="43"/>
        <v>2</v>
      </c>
      <c r="AC93" s="302">
        <f t="shared" ca="1" si="44"/>
        <v>1</v>
      </c>
      <c r="AD93" s="299">
        <f t="shared" ca="1" si="50"/>
        <v>0.83144868135985961</v>
      </c>
      <c r="AE93" s="302">
        <f t="shared" ca="1" si="51"/>
        <v>0</v>
      </c>
      <c r="AF93" s="302">
        <f t="shared" ca="1" si="52"/>
        <v>1</v>
      </c>
      <c r="AG93" s="299">
        <f t="shared" ca="1" si="53"/>
        <v>0.92481403432898734</v>
      </c>
      <c r="AH93" s="302">
        <f t="shared" ca="1" si="56"/>
        <v>4</v>
      </c>
      <c r="AI93" s="302">
        <f t="shared" ca="1" si="57"/>
        <v>5</v>
      </c>
    </row>
    <row r="94" spans="1:35" ht="15" customHeight="1" x14ac:dyDescent="0.25">
      <c r="A94" s="44" t="s">
        <v>1252</v>
      </c>
      <c r="B94" s="1">
        <f t="shared" ca="1" si="46"/>
        <v>34</v>
      </c>
      <c r="C94" s="45">
        <f ca="1">COUNTIF(D$2:D94,D94)+COUNTIF(G$2:G94,D94)</f>
        <v>5</v>
      </c>
      <c r="D94" s="46" t="str">
        <f t="shared" ca="1" si="47"/>
        <v>Scotland</v>
      </c>
      <c r="E94" s="1">
        <f t="shared" ca="1" si="48"/>
        <v>4</v>
      </c>
      <c r="F94" s="45">
        <f ca="1">COUNTIF(D$2:D94,G94)+COUNTIF(G$2:G94,G94)</f>
        <v>5</v>
      </c>
      <c r="G94" s="46" t="str">
        <f t="shared" ca="1" si="49"/>
        <v>England</v>
      </c>
      <c r="H94" s="1">
        <f ca="1">IF(Results!H94="",AB94,Results!H94)</f>
        <v>0</v>
      </c>
      <c r="I94" s="1">
        <f ca="1">IF(Results!I94="",AC94,Results!I94)</f>
        <v>2</v>
      </c>
      <c r="J94" s="306">
        <f ca="1">IF(Results!J94="",AB94+AE94,Results!J94)</f>
        <v>0</v>
      </c>
      <c r="K94" s="306">
        <f ca="1">IF(Results!K94="",AC94+AF94,Results!K94)</f>
        <v>2</v>
      </c>
      <c r="L94" s="307">
        <f ca="1">IF(Results!L94="",AH94,Results!L94)</f>
        <v>5</v>
      </c>
      <c r="M94" s="307">
        <f ca="1">IF(Results!M94="",AI94,Results!M94)</f>
        <v>4</v>
      </c>
      <c r="N94" s="293">
        <f t="shared" ca="1" si="34"/>
        <v>3</v>
      </c>
      <c r="O94" s="294">
        <f t="shared" ca="1" si="35"/>
        <v>0</v>
      </c>
      <c r="P94" s="295">
        <f t="shared" ca="1" si="36"/>
        <v>1535.9549999999999</v>
      </c>
      <c r="Q94" s="295">
        <f t="shared" ca="1" si="37"/>
        <v>1803</v>
      </c>
      <c r="R94" s="296">
        <f t="shared" ca="1" si="45"/>
        <v>-267.04500000000007</v>
      </c>
      <c r="S94" s="297">
        <f t="shared" ca="1" si="38"/>
        <v>0.17091000000000001</v>
      </c>
      <c r="T94" s="297">
        <f t="shared" ca="1" si="31"/>
        <v>0.10787261405000001</v>
      </c>
      <c r="U94" s="297">
        <f t="shared" ca="1" si="32"/>
        <v>0.12607477190000008</v>
      </c>
      <c r="V94" s="297">
        <f t="shared" ca="1" si="33"/>
        <v>0.76605261404999991</v>
      </c>
      <c r="W94" s="298">
        <f t="shared" ca="1" si="39"/>
        <v>0.12607477189999999</v>
      </c>
      <c r="X94" s="298">
        <f t="shared" si="40"/>
        <v>0.234375</v>
      </c>
      <c r="Y94" s="299">
        <f t="shared" ca="1" si="26"/>
        <v>0.52026689921080271</v>
      </c>
      <c r="Z94" s="293">
        <f t="shared" ca="1" si="41"/>
        <v>3</v>
      </c>
      <c r="AA94" s="299">
        <f t="shared" ca="1" si="42"/>
        <v>0.37375959302204625</v>
      </c>
      <c r="AB94" s="302">
        <f t="shared" ca="1" si="43"/>
        <v>0</v>
      </c>
      <c r="AC94" s="302">
        <f t="shared" ca="1" si="44"/>
        <v>2</v>
      </c>
      <c r="AD94" s="299">
        <f t="shared" ca="1" si="50"/>
        <v>0.59431599604394625</v>
      </c>
      <c r="AE94" s="302">
        <f t="shared" ca="1" si="51"/>
        <v>0</v>
      </c>
      <c r="AF94" s="302">
        <f t="shared" ca="1" si="52"/>
        <v>0</v>
      </c>
      <c r="AG94" s="299">
        <f t="shared" ca="1" si="53"/>
        <v>4.1349463036238765E-2</v>
      </c>
      <c r="AH94" s="302">
        <f t="shared" ca="1" si="56"/>
        <v>5</v>
      </c>
      <c r="AI94" s="302">
        <f t="shared" ca="1" si="57"/>
        <v>4</v>
      </c>
    </row>
    <row r="95" spans="1:35" ht="15" customHeight="1" x14ac:dyDescent="0.25">
      <c r="A95" s="44" t="s">
        <v>1253</v>
      </c>
      <c r="B95" s="1">
        <f t="shared" ca="1" si="46"/>
        <v>5</v>
      </c>
      <c r="C95" s="45">
        <f ca="1">COUNTIF(D$2:D95,D95)+COUNTIF(G$2:G95,D95)</f>
        <v>5</v>
      </c>
      <c r="D95" s="46" t="str">
        <f t="shared" ca="1" si="47"/>
        <v>Portugal</v>
      </c>
      <c r="E95" s="1">
        <f t="shared" ca="1" si="48"/>
        <v>2</v>
      </c>
      <c r="F95" s="45">
        <f ca="1">COUNTIF(D$2:D95,G95)+COUNTIF(G$2:G95,G95)</f>
        <v>5</v>
      </c>
      <c r="G95" s="46" t="str">
        <f t="shared" ca="1" si="49"/>
        <v>Spain</v>
      </c>
      <c r="H95" s="1">
        <f ca="1">IF(Results!H95="",AB95,Results!H95)</f>
        <v>0</v>
      </c>
      <c r="I95" s="1">
        <f ca="1">IF(Results!I95="",AC95,Results!I95)</f>
        <v>2</v>
      </c>
      <c r="J95" s="306">
        <f ca="1">IF(Results!J95="",AB95+AE95,Results!J95)</f>
        <v>0</v>
      </c>
      <c r="K95" s="306">
        <f ca="1">IF(Results!K95="",AC95+AF95,Results!K95)</f>
        <v>2</v>
      </c>
      <c r="L95" s="307">
        <f ca="1">IF(Results!L95="",AH95,Results!L95)</f>
        <v>5</v>
      </c>
      <c r="M95" s="307">
        <f ca="1">IF(Results!M95="",AI95,Results!M95)</f>
        <v>4</v>
      </c>
      <c r="N95" s="293">
        <f t="shared" ca="1" si="34"/>
        <v>3</v>
      </c>
      <c r="O95" s="294">
        <f t="shared" ca="1" si="35"/>
        <v>0</v>
      </c>
      <c r="P95" s="295">
        <f t="shared" ca="1" si="36"/>
        <v>1798</v>
      </c>
      <c r="Q95" s="295">
        <f t="shared" ca="1" si="37"/>
        <v>1821.425</v>
      </c>
      <c r="R95" s="296">
        <f t="shared" ca="1" si="45"/>
        <v>-23.424999999999955</v>
      </c>
      <c r="S95" s="297">
        <f t="shared" ca="1" si="38"/>
        <v>0.46375</v>
      </c>
      <c r="T95" s="297">
        <f t="shared" ca="1" si="31"/>
        <v>0.34721953124999999</v>
      </c>
      <c r="U95" s="297">
        <f t="shared" ca="1" si="32"/>
        <v>0.23306093749999995</v>
      </c>
      <c r="V95" s="297">
        <f t="shared" ca="1" si="33"/>
        <v>0.41971953125000006</v>
      </c>
      <c r="W95" s="298">
        <f t="shared" ca="1" si="39"/>
        <v>0.23306093750000001</v>
      </c>
      <c r="X95" s="298">
        <f t="shared" si="40"/>
        <v>0.234375</v>
      </c>
      <c r="Y95" s="299">
        <f t="shared" ca="1" si="26"/>
        <v>0.71417640637555679</v>
      </c>
      <c r="Z95" s="293">
        <f t="shared" ca="1" si="41"/>
        <v>3</v>
      </c>
      <c r="AA95" s="299">
        <f t="shared" ca="1" si="42"/>
        <v>0.31901288278577539</v>
      </c>
      <c r="AB95" s="302">
        <f t="shared" ca="1" si="43"/>
        <v>0</v>
      </c>
      <c r="AC95" s="302">
        <f t="shared" ca="1" si="44"/>
        <v>2</v>
      </c>
      <c r="AD95" s="299">
        <f t="shared" ca="1" si="50"/>
        <v>0.58632658690260697</v>
      </c>
      <c r="AE95" s="302">
        <f t="shared" ca="1" si="51"/>
        <v>0</v>
      </c>
      <c r="AF95" s="302">
        <f t="shared" ca="1" si="52"/>
        <v>0</v>
      </c>
      <c r="AG95" s="299">
        <f t="shared" ca="1" si="53"/>
        <v>0.39975535624527969</v>
      </c>
      <c r="AH95" s="302">
        <f t="shared" ca="1" si="56"/>
        <v>5</v>
      </c>
      <c r="AI95" s="302">
        <f t="shared" ca="1" si="57"/>
        <v>4</v>
      </c>
    </row>
    <row r="96" spans="1:35" ht="15" customHeight="1" x14ac:dyDescent="0.25">
      <c r="A96" s="44" t="s">
        <v>1254</v>
      </c>
      <c r="B96" s="1">
        <f t="shared" ca="1" si="46"/>
        <v>16</v>
      </c>
      <c r="C96" s="45">
        <f ca="1">COUNTIF(D$2:D96,D96)+COUNTIF(G$2:G96,D96)</f>
        <v>5</v>
      </c>
      <c r="D96" s="46" t="str">
        <f t="shared" ca="1" si="47"/>
        <v>USA</v>
      </c>
      <c r="E96" s="1">
        <f t="shared" ca="1" si="48"/>
        <v>40</v>
      </c>
      <c r="F96" s="45">
        <f ca="1">COUNTIF(D$2:D96,G96)+COUNTIF(G$2:G96,G96)</f>
        <v>5</v>
      </c>
      <c r="G96" s="46" t="str">
        <f t="shared" ca="1" si="49"/>
        <v>South Africa</v>
      </c>
      <c r="H96" s="1">
        <f ca="1">IF(Results!H96="",AB96,Results!H96)</f>
        <v>2</v>
      </c>
      <c r="I96" s="1">
        <f ca="1">IF(Results!I96="",AC96,Results!I96)</f>
        <v>1</v>
      </c>
      <c r="J96" s="306">
        <f ca="1">IF(Results!J96="",AB96+AE96,Results!J96)</f>
        <v>3</v>
      </c>
      <c r="K96" s="306">
        <f ca="1">IF(Results!K96="",AC96+AF96,Results!K96)</f>
        <v>1</v>
      </c>
      <c r="L96" s="307">
        <f ca="1">IF(Results!L96="",AH96,Results!L96)</f>
        <v>5</v>
      </c>
      <c r="M96" s="307">
        <f ca="1">IF(Results!M96="",AI96,Results!M96)</f>
        <v>4</v>
      </c>
      <c r="N96" s="293">
        <f t="shared" ca="1" si="34"/>
        <v>1</v>
      </c>
      <c r="O96" s="294">
        <f t="shared" ca="1" si="35"/>
        <v>0</v>
      </c>
      <c r="P96" s="295">
        <f t="shared" ca="1" si="36"/>
        <v>1681.4</v>
      </c>
      <c r="Q96" s="295">
        <f t="shared" ca="1" si="37"/>
        <v>1425.5317500000001</v>
      </c>
      <c r="R96" s="296">
        <f t="shared" ca="1" si="45"/>
        <v>255.86824999999999</v>
      </c>
      <c r="S96" s="297">
        <f t="shared" ca="1" si="38"/>
        <v>0.81818000000000002</v>
      </c>
      <c r="T96" s="297">
        <f t="shared" ca="1" si="31"/>
        <v>0.75161175619999998</v>
      </c>
      <c r="U96" s="297">
        <f t="shared" ca="1" si="32"/>
        <v>0.13313648759999996</v>
      </c>
      <c r="V96" s="297">
        <f t="shared" ca="1" si="33"/>
        <v>0.11525175620000003</v>
      </c>
      <c r="W96" s="298">
        <f t="shared" ca="1" si="39"/>
        <v>0.13313648759999999</v>
      </c>
      <c r="X96" s="298">
        <f t="shared" si="40"/>
        <v>0.234375</v>
      </c>
      <c r="Y96" s="299">
        <f t="shared" ca="1" si="26"/>
        <v>0.40259192534452892</v>
      </c>
      <c r="Z96" s="293">
        <f t="shared" ca="1" si="41"/>
        <v>1</v>
      </c>
      <c r="AA96" s="299">
        <f t="shared" ca="1" si="42"/>
        <v>0.53563814299546597</v>
      </c>
      <c r="AB96" s="302">
        <f t="shared" ca="1" si="43"/>
        <v>2</v>
      </c>
      <c r="AC96" s="302">
        <f t="shared" ca="1" si="44"/>
        <v>1</v>
      </c>
      <c r="AD96" s="299">
        <f t="shared" ca="1" si="50"/>
        <v>0.16659173366296565</v>
      </c>
      <c r="AE96" s="302">
        <f t="shared" ca="1" si="51"/>
        <v>1</v>
      </c>
      <c r="AF96" s="302">
        <f t="shared" ca="1" si="52"/>
        <v>0</v>
      </c>
      <c r="AG96" s="299">
        <f t="shared" ca="1" si="53"/>
        <v>0.26404053701257368</v>
      </c>
      <c r="AH96" s="302">
        <f t="shared" ca="1" si="56"/>
        <v>5</v>
      </c>
      <c r="AI96" s="302">
        <f t="shared" ca="1" si="57"/>
        <v>4</v>
      </c>
    </row>
    <row r="97" spans="1:35" ht="15" customHeight="1" x14ac:dyDescent="0.25">
      <c r="A97" s="44" t="s">
        <v>1255</v>
      </c>
      <c r="B97" s="1">
        <f t="shared" ca="1" si="46"/>
        <v>1</v>
      </c>
      <c r="C97" s="45">
        <f ca="1">COUNTIF(D$2:D97,D97)+COUNTIF(G$2:G97,D97)</f>
        <v>5</v>
      </c>
      <c r="D97" s="46" t="str">
        <f t="shared" ca="1" si="47"/>
        <v>Argentina</v>
      </c>
      <c r="E97" s="1">
        <f t="shared" ca="1" si="48"/>
        <v>19</v>
      </c>
      <c r="F97" s="45">
        <f ca="1">COUNTIF(D$2:D97,G97)+COUNTIF(G$2:G97,G97)</f>
        <v>5</v>
      </c>
      <c r="G97" s="46" t="str">
        <f t="shared" ca="1" si="49"/>
        <v>IR Iran</v>
      </c>
      <c r="H97" s="1">
        <f ca="1">IF(Results!H97="",AB97,Results!H97)</f>
        <v>2</v>
      </c>
      <c r="I97" s="1">
        <f ca="1">IF(Results!I97="",AC97,Results!I97)</f>
        <v>1</v>
      </c>
      <c r="J97" s="306">
        <f ca="1">IF(Results!J97="",AB97+AE97,Results!J97)</f>
        <v>2</v>
      </c>
      <c r="K97" s="306">
        <f ca="1">IF(Results!K97="",AC97+AF97,Results!K97)</f>
        <v>1</v>
      </c>
      <c r="L97" s="307">
        <f ca="1">IF(Results!L97="",AH97,Results!L97)</f>
        <v>4</v>
      </c>
      <c r="M97" s="307">
        <f ca="1">IF(Results!M97="",AI97,Results!M97)</f>
        <v>5</v>
      </c>
      <c r="N97" s="293">
        <f t="shared" ca="1" si="34"/>
        <v>1</v>
      </c>
      <c r="O97" s="294">
        <f t="shared" ca="1" si="35"/>
        <v>0</v>
      </c>
      <c r="P97" s="295">
        <f t="shared" ca="1" si="36"/>
        <v>1792</v>
      </c>
      <c r="Q97" s="295">
        <f t="shared" ca="1" si="37"/>
        <v>1559.425</v>
      </c>
      <c r="R97" s="296">
        <f t="shared" ca="1" si="45"/>
        <v>232.57500000000005</v>
      </c>
      <c r="S97" s="297">
        <f t="shared" ca="1" si="38"/>
        <v>0.79600000000000004</v>
      </c>
      <c r="T97" s="297">
        <f t="shared" ca="1" si="31"/>
        <v>0.72262050000000011</v>
      </c>
      <c r="U97" s="297">
        <f t="shared" ca="1" si="32"/>
        <v>0.14675899999999997</v>
      </c>
      <c r="V97" s="297">
        <f t="shared" ca="1" si="33"/>
        <v>0.13062049999999992</v>
      </c>
      <c r="W97" s="298">
        <f t="shared" ca="1" si="39"/>
        <v>0.14675899999999997</v>
      </c>
      <c r="X97" s="298">
        <f t="shared" si="40"/>
        <v>0.234375</v>
      </c>
      <c r="Y97" s="299">
        <f t="shared" ca="1" si="26"/>
        <v>0.52819605333555664</v>
      </c>
      <c r="Z97" s="293">
        <f t="shared" ca="1" si="41"/>
        <v>1</v>
      </c>
      <c r="AA97" s="299">
        <f t="shared" ca="1" si="42"/>
        <v>0.73094529332555136</v>
      </c>
      <c r="AB97" s="302">
        <f t="shared" ca="1" si="43"/>
        <v>2</v>
      </c>
      <c r="AC97" s="302">
        <f t="shared" ca="1" si="44"/>
        <v>1</v>
      </c>
      <c r="AD97" s="299">
        <f t="shared" ca="1" si="50"/>
        <v>0.54935338527722521</v>
      </c>
      <c r="AE97" s="302">
        <f t="shared" ca="1" si="51"/>
        <v>0</v>
      </c>
      <c r="AF97" s="302">
        <f t="shared" ca="1" si="52"/>
        <v>0</v>
      </c>
      <c r="AG97" s="299">
        <f t="shared" ca="1" si="53"/>
        <v>0.78218328784367452</v>
      </c>
      <c r="AH97" s="302">
        <f t="shared" ca="1" si="56"/>
        <v>4</v>
      </c>
      <c r="AI97" s="302">
        <f t="shared" ca="1" si="57"/>
        <v>5</v>
      </c>
    </row>
    <row r="98" spans="1:35" ht="15" customHeight="1" x14ac:dyDescent="0.25">
      <c r="A98" s="44" t="s">
        <v>1256</v>
      </c>
      <c r="B98" s="1">
        <f t="shared" ca="1" si="46"/>
        <v>9</v>
      </c>
      <c r="C98" s="45">
        <f ca="1">COUNTIF(D$2:D98,D98)+COUNTIF(G$2:G98,D98)</f>
        <v>5</v>
      </c>
      <c r="D98" s="46" t="str">
        <f t="shared" ca="1" si="47"/>
        <v>Belgium</v>
      </c>
      <c r="E98" s="1">
        <f t="shared" ca="1" si="48"/>
        <v>12</v>
      </c>
      <c r="F98" s="45">
        <f ca="1">COUNTIF(D$2:D98,G98)+COUNTIF(G$2:G98,G98)</f>
        <v>5</v>
      </c>
      <c r="G98" s="46" t="str">
        <f t="shared" ca="1" si="49"/>
        <v>Colombia</v>
      </c>
      <c r="H98" s="1">
        <f ca="1">IF(Results!H98="",AB98,Results!H98)</f>
        <v>1</v>
      </c>
      <c r="I98" s="1">
        <f ca="1">IF(Results!I98="",AC98,Results!I98)</f>
        <v>3</v>
      </c>
      <c r="J98" s="306">
        <f ca="1">IF(Results!J98="",AB98+AE98,Results!J98)</f>
        <v>2</v>
      </c>
      <c r="K98" s="306">
        <f ca="1">IF(Results!K98="",AC98+AF98,Results!K98)</f>
        <v>3</v>
      </c>
      <c r="L98" s="307">
        <f ca="1">IF(Results!L98="",AH98,Results!L98)</f>
        <v>5</v>
      </c>
      <c r="M98" s="307">
        <f ca="1">IF(Results!M98="",AI98,Results!M98)</f>
        <v>4</v>
      </c>
      <c r="N98" s="293">
        <f t="shared" ca="1" si="34"/>
        <v>3</v>
      </c>
      <c r="O98" s="294">
        <f t="shared" ca="1" si="35"/>
        <v>0</v>
      </c>
      <c r="P98" s="295">
        <f t="shared" ca="1" si="36"/>
        <v>1728.0334</v>
      </c>
      <c r="Q98" s="295">
        <f t="shared" ca="1" si="37"/>
        <v>1723</v>
      </c>
      <c r="R98" s="296">
        <f t="shared" ca="1" si="45"/>
        <v>5.0334000000000287</v>
      </c>
      <c r="S98" s="297">
        <f t="shared" ca="1" si="38"/>
        <v>0.51143000000000005</v>
      </c>
      <c r="T98" s="297">
        <f t="shared" ca="1" si="31"/>
        <v>0.39430782245000007</v>
      </c>
      <c r="U98" s="297">
        <f t="shared" ca="1" si="32"/>
        <v>0.23424435509999997</v>
      </c>
      <c r="V98" s="297">
        <f t="shared" ca="1" si="33"/>
        <v>0.37144782244999996</v>
      </c>
      <c r="W98" s="298">
        <f t="shared" ca="1" si="39"/>
        <v>0.2342443551</v>
      </c>
      <c r="X98" s="298">
        <f t="shared" si="40"/>
        <v>0.234375</v>
      </c>
      <c r="Y98" s="299">
        <f t="shared" ca="1" si="26"/>
        <v>0.94645141444872682</v>
      </c>
      <c r="Z98" s="293">
        <f t="shared" ca="1" si="41"/>
        <v>3</v>
      </c>
      <c r="AA98" s="299">
        <f t="shared" ca="1" si="42"/>
        <v>0.85583820306691594</v>
      </c>
      <c r="AB98" s="302">
        <f t="shared" ca="1" si="43"/>
        <v>1</v>
      </c>
      <c r="AC98" s="302">
        <f t="shared" ca="1" si="44"/>
        <v>3</v>
      </c>
      <c r="AD98" s="299">
        <f t="shared" ca="1" si="50"/>
        <v>0.10474130867889242</v>
      </c>
      <c r="AE98" s="302">
        <f t="shared" ca="1" si="51"/>
        <v>1</v>
      </c>
      <c r="AF98" s="302">
        <f t="shared" ca="1" si="52"/>
        <v>0</v>
      </c>
      <c r="AG98" s="299">
        <f t="shared" ca="1" si="53"/>
        <v>0.19461279429381129</v>
      </c>
      <c r="AH98" s="302">
        <f t="shared" ca="1" si="56"/>
        <v>5</v>
      </c>
      <c r="AI98" s="302">
        <f t="shared" ca="1" si="57"/>
        <v>4</v>
      </c>
    </row>
    <row r="99" spans="1:35" ht="15" customHeight="1" x14ac:dyDescent="0.25">
      <c r="A99" s="44" t="s">
        <v>1262</v>
      </c>
      <c r="B99" s="1">
        <f t="shared" ca="1" si="46"/>
        <v>29</v>
      </c>
      <c r="C99" s="45">
        <f ca="1">COUNTIF(D$2:D99,D99)+COUNTIF(G$2:G99,D99)</f>
        <v>6</v>
      </c>
      <c r="D99" s="46" t="str">
        <f t="shared" ca="1" si="47"/>
        <v>Cote d'Ivorie</v>
      </c>
      <c r="E99" s="1">
        <f t="shared" ca="1" si="48"/>
        <v>27</v>
      </c>
      <c r="F99" s="45">
        <f ca="1">COUNTIF(D$2:D99,G99)+COUNTIF(G$2:G99,G99)</f>
        <v>6</v>
      </c>
      <c r="G99" s="46" t="str">
        <f t="shared" ca="1" si="49"/>
        <v>Canada</v>
      </c>
      <c r="H99" s="1">
        <f ca="1">IF(Results!H99="",AB99,Results!H99)</f>
        <v>0</v>
      </c>
      <c r="I99" s="1">
        <f ca="1">IF(Results!I99="",AC99,Results!I99)</f>
        <v>1</v>
      </c>
      <c r="J99" s="306">
        <f ca="1">IF(Results!J99="",AB99+AE99,Results!J99)</f>
        <v>0</v>
      </c>
      <c r="K99" s="306">
        <f ca="1">IF(Results!K99="",AC99+AF99,Results!K99)</f>
        <v>1</v>
      </c>
      <c r="L99" s="307">
        <f ca="1">IF(Results!L99="",AH99,Results!L99)</f>
        <v>5</v>
      </c>
      <c r="M99" s="307">
        <f ca="1">IF(Results!M99="",AI99,Results!M99)</f>
        <v>4</v>
      </c>
      <c r="N99" s="293">
        <f t="shared" ref="N99:N106" ca="1" si="58">IF(OR(H99="",H99="P"),"",IF(H99&gt;I99,1,IF(H99=I99,2,3)))</f>
        <v>3</v>
      </c>
      <c r="O99" s="294">
        <f t="shared" ref="O99:O106" ca="1" si="59">IFERROR(IF(ABS(H99-I99)&gt;FGoalDiff,Bonus,0),0)</f>
        <v>0</v>
      </c>
      <c r="P99" s="295">
        <f t="shared" ref="P99:P106" ca="1" si="60">VLOOKUP(B99,Team,3+C99,FALSE)</f>
        <v>1481.6624999999999</v>
      </c>
      <c r="Q99" s="295">
        <f t="shared" ref="Q99:Q106" ca="1" si="61">VLOOKUP(E99,Team,3+F99,FALSE)</f>
        <v>1581.7334000000001</v>
      </c>
      <c r="R99" s="296">
        <f t="shared" ca="1" si="45"/>
        <v>-100.07090000000017</v>
      </c>
      <c r="S99" s="297">
        <f t="shared" ref="S99:S106" ca="1" si="62">IFERROR(VLOOKUP($R99,Ratings,2,TRUE),"")</f>
        <v>0.35875000000000001</v>
      </c>
      <c r="T99" s="297">
        <f t="shared" ca="1" si="31"/>
        <v>0.25153828125</v>
      </c>
      <c r="U99" s="297">
        <f t="shared" ca="1" si="32"/>
        <v>0.21442343750000004</v>
      </c>
      <c r="V99" s="297">
        <f t="shared" ca="1" si="33"/>
        <v>0.53403828124999997</v>
      </c>
      <c r="W99" s="298">
        <f t="shared" ref="W99:W106" ca="1" si="63">X99-(S99-0.5)*(S99-0.5)</f>
        <v>0.21442343750000001</v>
      </c>
      <c r="X99" s="298">
        <f t="shared" ref="X99:X106" si="64">DFactor</f>
        <v>0.234375</v>
      </c>
      <c r="Y99" s="299">
        <f t="shared" ca="1" si="26"/>
        <v>0.55222646467275016</v>
      </c>
      <c r="Z99" s="293">
        <f t="shared" ref="Z99:Z106" ca="1" si="65">IF(Y99&lt;T99,1,IF(Y99&lt;N(T99)+N(U99),2,3))</f>
        <v>3</v>
      </c>
      <c r="AA99" s="299">
        <f t="shared" ref="AA99:AA106" ca="1" si="66">IF(Z99=1,Y99/T99,IF(Z99=2,(Y99-T99)/U99,(Y99-T99-U99)/V99))</f>
        <v>0.16153288809340413</v>
      </c>
      <c r="AB99" s="302">
        <f t="shared" ref="AB99:AB106" ca="1" si="67">IF($Z99=1,VLOOKUP($AA99,Lookup04,2),IF($Z99=2,VLOOKUP($AA99,Lookup05,2),VLOOKUP($AA99,Lookup06,2)))</f>
        <v>0</v>
      </c>
      <c r="AC99" s="302">
        <f t="shared" ref="AC99:AC106" ca="1" si="68">IF($Z99=1,VLOOKUP($AA99,Lookup04,3),IF($Z99=2,VLOOKUP($AA99,Lookup05,3),VLOOKUP($AA99,Lookup06,3)))</f>
        <v>1</v>
      </c>
      <c r="AD99" s="299">
        <f t="shared" ca="1" si="50"/>
        <v>0.62216567795353317</v>
      </c>
      <c r="AE99" s="302">
        <f t="shared" ca="1" si="51"/>
        <v>0</v>
      </c>
      <c r="AF99" s="302">
        <f t="shared" ca="1" si="52"/>
        <v>0</v>
      </c>
      <c r="AG99" s="299">
        <f t="shared" ca="1" si="53"/>
        <v>0.31473129256872756</v>
      </c>
      <c r="AH99" s="302">
        <f t="shared" ca="1" si="56"/>
        <v>5</v>
      </c>
      <c r="AI99" s="302">
        <f t="shared" ca="1" si="57"/>
        <v>4</v>
      </c>
    </row>
    <row r="100" spans="1:35" ht="15" customHeight="1" x14ac:dyDescent="0.25">
      <c r="A100" s="44" t="s">
        <v>1263</v>
      </c>
      <c r="B100" s="1">
        <f t="shared" ca="1" si="46"/>
        <v>2</v>
      </c>
      <c r="C100" s="45">
        <f ca="1">COUNTIF(D$2:D100,D100)+COUNTIF(G$2:G100,D100)</f>
        <v>6</v>
      </c>
      <c r="D100" s="46" t="str">
        <f t="shared" ca="1" si="47"/>
        <v>Spain</v>
      </c>
      <c r="E100" s="1">
        <f t="shared" ca="1" si="48"/>
        <v>16</v>
      </c>
      <c r="F100" s="45">
        <f ca="1">COUNTIF(D$2:D100,G100)+COUNTIF(G$2:G100,G100)</f>
        <v>6</v>
      </c>
      <c r="G100" s="46" t="str">
        <f t="shared" ca="1" si="49"/>
        <v>USA</v>
      </c>
      <c r="H100" s="1">
        <f ca="1">IF(Results!H100="",AB100,Results!H100)</f>
        <v>1</v>
      </c>
      <c r="I100" s="1">
        <f ca="1">IF(Results!I100="",AC100,Results!I100)</f>
        <v>0</v>
      </c>
      <c r="J100" s="306">
        <f ca="1">IF(Results!J100="",AB100+AE100,Results!J100)</f>
        <v>1</v>
      </c>
      <c r="K100" s="306">
        <f ca="1">IF(Results!K100="",AC100+AF100,Results!K100)</f>
        <v>0</v>
      </c>
      <c r="L100" s="307">
        <f ca="1">IF(Results!L100="",AH100,Results!L100)</f>
        <v>4</v>
      </c>
      <c r="M100" s="307">
        <f ca="1">IF(Results!M100="",AI100,Results!M100)</f>
        <v>5</v>
      </c>
      <c r="N100" s="293">
        <f t="shared" ca="1" si="58"/>
        <v>1</v>
      </c>
      <c r="O100" s="294">
        <f t="shared" ca="1" si="59"/>
        <v>0</v>
      </c>
      <c r="P100" s="295">
        <f t="shared" ca="1" si="60"/>
        <v>1821.425</v>
      </c>
      <c r="Q100" s="295">
        <f t="shared" ca="1" si="61"/>
        <v>1681.4</v>
      </c>
      <c r="R100" s="296">
        <f t="shared" ca="1" si="45"/>
        <v>140.02499999999986</v>
      </c>
      <c r="S100" s="297">
        <f t="shared" ca="1" si="62"/>
        <v>0.6925</v>
      </c>
      <c r="T100" s="297">
        <f t="shared" ca="1" si="31"/>
        <v>0.59384062500000001</v>
      </c>
      <c r="U100" s="297">
        <f t="shared" ca="1" si="32"/>
        <v>0.19731874999999999</v>
      </c>
      <c r="V100" s="297">
        <f t="shared" ca="1" si="33"/>
        <v>0.208840625</v>
      </c>
      <c r="W100" s="298">
        <f t="shared" ca="1" si="63"/>
        <v>0.19731874999999999</v>
      </c>
      <c r="X100" s="298">
        <f t="shared" si="64"/>
        <v>0.234375</v>
      </c>
      <c r="Y100" s="299">
        <f t="shared" ca="1" si="26"/>
        <v>0.15845428985515275</v>
      </c>
      <c r="Z100" s="293">
        <f t="shared" ca="1" si="65"/>
        <v>1</v>
      </c>
      <c r="AA100" s="299">
        <f t="shared" ca="1" si="66"/>
        <v>0.26682965628219313</v>
      </c>
      <c r="AB100" s="302">
        <f t="shared" ca="1" si="67"/>
        <v>1</v>
      </c>
      <c r="AC100" s="302">
        <f t="shared" ca="1" si="68"/>
        <v>0</v>
      </c>
      <c r="AD100" s="299">
        <f t="shared" ca="1" si="50"/>
        <v>0.777150611908489</v>
      </c>
      <c r="AE100" s="302">
        <f t="shared" ca="1" si="51"/>
        <v>0</v>
      </c>
      <c r="AF100" s="302">
        <f t="shared" ca="1" si="52"/>
        <v>0</v>
      </c>
      <c r="AG100" s="299">
        <f t="shared" ca="1" si="53"/>
        <v>0.52812974515214384</v>
      </c>
      <c r="AH100" s="302">
        <f t="shared" ca="1" si="56"/>
        <v>4</v>
      </c>
      <c r="AI100" s="302">
        <f t="shared" ca="1" si="57"/>
        <v>5</v>
      </c>
    </row>
    <row r="101" spans="1:35" ht="15" customHeight="1" x14ac:dyDescent="0.25">
      <c r="A101" s="44" t="s">
        <v>1264</v>
      </c>
      <c r="B101" s="1">
        <f t="shared" ca="1" si="46"/>
        <v>7</v>
      </c>
      <c r="C101" s="45">
        <f ca="1">COUNTIF(D$2:D101,D101)+COUNTIF(G$2:G101,D101)</f>
        <v>6</v>
      </c>
      <c r="D101" s="46" t="str">
        <f t="shared" ca="1" si="47"/>
        <v>Morocco</v>
      </c>
      <c r="E101" s="1">
        <f t="shared" ca="1" si="48"/>
        <v>4</v>
      </c>
      <c r="F101" s="45">
        <f ca="1">COUNTIF(D$2:D101,G101)+COUNTIF(G$2:G101,G101)</f>
        <v>6</v>
      </c>
      <c r="G101" s="46" t="str">
        <f t="shared" ca="1" si="49"/>
        <v>England</v>
      </c>
      <c r="H101" s="1">
        <f ca="1">IF(Results!H101="",AB101,Results!H101)</f>
        <v>2</v>
      </c>
      <c r="I101" s="1">
        <f ca="1">IF(Results!I101="",AC101,Results!I101)</f>
        <v>1</v>
      </c>
      <c r="J101" s="306">
        <f ca="1">IF(Results!J101="",AB101+AE101,Results!J101)</f>
        <v>2</v>
      </c>
      <c r="K101" s="306">
        <f ca="1">IF(Results!K101="",AC101+AF101,Results!K101)</f>
        <v>1</v>
      </c>
      <c r="L101" s="307">
        <f ca="1">IF(Results!L101="",AH101,Results!L101)</f>
        <v>5</v>
      </c>
      <c r="M101" s="307">
        <f ca="1">IF(Results!M101="",AI101,Results!M101)</f>
        <v>4</v>
      </c>
      <c r="N101" s="293">
        <f t="shared" ca="1" si="58"/>
        <v>1</v>
      </c>
      <c r="O101" s="294">
        <f t="shared" ca="1" si="59"/>
        <v>0</v>
      </c>
      <c r="P101" s="295">
        <f t="shared" ca="1" si="60"/>
        <v>1696.97145</v>
      </c>
      <c r="Q101" s="295">
        <f t="shared" ca="1" si="61"/>
        <v>1803</v>
      </c>
      <c r="R101" s="296">
        <f t="shared" ca="1" si="45"/>
        <v>-106.02855</v>
      </c>
      <c r="S101" s="297">
        <f t="shared" ca="1" si="62"/>
        <v>0.35125000000000001</v>
      </c>
      <c r="T101" s="297">
        <f t="shared" ca="1" si="31"/>
        <v>0.24512578125000001</v>
      </c>
      <c r="U101" s="297">
        <f t="shared" ca="1" si="32"/>
        <v>0.21224843750000005</v>
      </c>
      <c r="V101" s="297">
        <f t="shared" ca="1" si="33"/>
        <v>0.54262578124999994</v>
      </c>
      <c r="W101" s="298">
        <f t="shared" ca="1" si="63"/>
        <v>0.2122484375</v>
      </c>
      <c r="X101" s="298">
        <f t="shared" si="64"/>
        <v>0.234375</v>
      </c>
      <c r="Y101" s="299">
        <f t="shared" ca="1" si="26"/>
        <v>0.1745637203591438</v>
      </c>
      <c r="Z101" s="293">
        <f t="shared" ca="1" si="65"/>
        <v>1</v>
      </c>
      <c r="AA101" s="299">
        <f t="shared" ca="1" si="66"/>
        <v>0.71213937378993586</v>
      </c>
      <c r="AB101" s="302">
        <f t="shared" ca="1" si="67"/>
        <v>2</v>
      </c>
      <c r="AC101" s="302">
        <f t="shared" ca="1" si="68"/>
        <v>1</v>
      </c>
      <c r="AD101" s="299">
        <f t="shared" ca="1" si="50"/>
        <v>0.14771328423860253</v>
      </c>
      <c r="AE101" s="302">
        <f t="shared" ca="1" si="51"/>
        <v>0</v>
      </c>
      <c r="AF101" s="302">
        <f t="shared" ca="1" si="52"/>
        <v>0</v>
      </c>
      <c r="AG101" s="299">
        <f t="shared" ca="1" si="53"/>
        <v>0.42910004630667953</v>
      </c>
      <c r="AH101" s="302">
        <f t="shared" ca="1" si="56"/>
        <v>5</v>
      </c>
      <c r="AI101" s="302">
        <f t="shared" ca="1" si="57"/>
        <v>4</v>
      </c>
    </row>
    <row r="102" spans="1:35" ht="15" customHeight="1" x14ac:dyDescent="0.25">
      <c r="A102" s="44" t="s">
        <v>1265</v>
      </c>
      <c r="B102" s="1">
        <f t="shared" ca="1" si="46"/>
        <v>1</v>
      </c>
      <c r="C102" s="45">
        <f ca="1">COUNTIF(D$2:D102,D102)+COUNTIF(G$2:G102,D102)</f>
        <v>6</v>
      </c>
      <c r="D102" s="46" t="str">
        <f t="shared" ca="1" si="47"/>
        <v>Argentina</v>
      </c>
      <c r="E102" s="1">
        <f t="shared" ca="1" si="48"/>
        <v>12</v>
      </c>
      <c r="F102" s="45">
        <f ca="1">COUNTIF(D$2:D102,G102)+COUNTIF(G$2:G102,G102)</f>
        <v>6</v>
      </c>
      <c r="G102" s="46" t="str">
        <f t="shared" ca="1" si="49"/>
        <v>Colombia</v>
      </c>
      <c r="H102" s="1">
        <f ca="1">IF(Results!H102="",AB102,Results!H102)</f>
        <v>3</v>
      </c>
      <c r="I102" s="1">
        <f ca="1">IF(Results!I102="",AC102,Results!I102)</f>
        <v>0</v>
      </c>
      <c r="J102" s="306">
        <f ca="1">IF(Results!J102="",AB102+AE102,Results!J102)</f>
        <v>3</v>
      </c>
      <c r="K102" s="306">
        <f ca="1">IF(Results!K102="",AC102+AF102,Results!K102)</f>
        <v>0</v>
      </c>
      <c r="L102" s="307">
        <f ca="1">IF(Results!L102="",AH102,Results!L102)</f>
        <v>5</v>
      </c>
      <c r="M102" s="307">
        <f ca="1">IF(Results!M102="",AI102,Results!M102)</f>
        <v>4</v>
      </c>
      <c r="N102" s="293">
        <f t="shared" ca="1" si="58"/>
        <v>1</v>
      </c>
      <c r="O102" s="294">
        <f t="shared" ca="1" si="59"/>
        <v>2</v>
      </c>
      <c r="P102" s="295">
        <f t="shared" ca="1" si="60"/>
        <v>1792</v>
      </c>
      <c r="Q102" s="295">
        <f t="shared" ca="1" si="61"/>
        <v>1723</v>
      </c>
      <c r="R102" s="296">
        <f t="shared" ca="1" si="45"/>
        <v>69</v>
      </c>
      <c r="S102" s="297">
        <f t="shared" ca="1" si="62"/>
        <v>0.6</v>
      </c>
      <c r="T102" s="297">
        <f t="shared" ca="1" si="31"/>
        <v>0.48781249999999998</v>
      </c>
      <c r="U102" s="297">
        <f t="shared" ca="1" si="32"/>
        <v>0.22437499999999999</v>
      </c>
      <c r="V102" s="297">
        <f t="shared" ca="1" si="33"/>
        <v>0.28781250000000003</v>
      </c>
      <c r="W102" s="298">
        <f t="shared" ca="1" si="63"/>
        <v>0.22437499999999999</v>
      </c>
      <c r="X102" s="298">
        <f t="shared" si="64"/>
        <v>0.234375</v>
      </c>
      <c r="Y102" s="299">
        <f t="shared" ca="1" si="26"/>
        <v>0.21559249248109547</v>
      </c>
      <c r="Z102" s="293">
        <f t="shared" ca="1" si="65"/>
        <v>1</v>
      </c>
      <c r="AA102" s="299">
        <f t="shared" ca="1" si="66"/>
        <v>0.44195770399712075</v>
      </c>
      <c r="AB102" s="302">
        <f t="shared" ca="1" si="67"/>
        <v>3</v>
      </c>
      <c r="AC102" s="302">
        <f t="shared" ca="1" si="68"/>
        <v>0</v>
      </c>
      <c r="AD102" s="299">
        <f t="shared" ca="1" si="50"/>
        <v>0.82482789430820058</v>
      </c>
      <c r="AE102" s="302">
        <f t="shared" ca="1" si="51"/>
        <v>0</v>
      </c>
      <c r="AF102" s="302">
        <f t="shared" ca="1" si="52"/>
        <v>0</v>
      </c>
      <c r="AG102" s="299">
        <f t="shared" ca="1" si="53"/>
        <v>0.1658586496611848</v>
      </c>
      <c r="AH102" s="302">
        <f t="shared" ca="1" si="56"/>
        <v>5</v>
      </c>
      <c r="AI102" s="302">
        <f t="shared" ca="1" si="57"/>
        <v>4</v>
      </c>
    </row>
    <row r="103" spans="1:35" ht="15" customHeight="1" x14ac:dyDescent="0.25">
      <c r="A103" s="44" t="s">
        <v>1257</v>
      </c>
      <c r="B103" s="1">
        <f t="shared" ca="1" si="46"/>
        <v>27</v>
      </c>
      <c r="C103" s="45">
        <f ca="1">COUNTIF(D$2:D103,D103)+COUNTIF(G$2:G103,D103)</f>
        <v>7</v>
      </c>
      <c r="D103" s="46" t="str">
        <f t="shared" ca="1" si="47"/>
        <v>Canada</v>
      </c>
      <c r="E103" s="1">
        <f t="shared" ca="1" si="48"/>
        <v>2</v>
      </c>
      <c r="F103" s="45">
        <f ca="1">COUNTIF(D$2:D103,G103)+COUNTIF(G$2:G103,G103)</f>
        <v>7</v>
      </c>
      <c r="G103" s="46" t="str">
        <f t="shared" ca="1" si="49"/>
        <v>Spain</v>
      </c>
      <c r="H103" s="1">
        <f ca="1">IF(Results!H103="",AB103,Results!H103)</f>
        <v>0</v>
      </c>
      <c r="I103" s="1">
        <f ca="1">IF(Results!I103="",AC103,Results!I103)</f>
        <v>4</v>
      </c>
      <c r="J103" s="306">
        <f ca="1">IF(Results!J103="",AB103+AE103,Results!J103)</f>
        <v>1</v>
      </c>
      <c r="K103" s="306">
        <f ca="1">IF(Results!K103="",AC103+AF103,Results!K103)</f>
        <v>4</v>
      </c>
      <c r="L103" s="307">
        <f ca="1">IF(Results!L103="",AH103,Results!L103)</f>
        <v>4</v>
      </c>
      <c r="M103" s="307">
        <f ca="1">IF(Results!M103="",AI103,Results!M103)</f>
        <v>5</v>
      </c>
      <c r="N103" s="293">
        <f t="shared" ca="1" si="58"/>
        <v>3</v>
      </c>
      <c r="O103" s="294">
        <f t="shared" ca="1" si="59"/>
        <v>2</v>
      </c>
      <c r="P103" s="295">
        <f t="shared" ca="1" si="60"/>
        <v>1581.7334000000001</v>
      </c>
      <c r="Q103" s="295">
        <f t="shared" ca="1" si="61"/>
        <v>1821.425</v>
      </c>
      <c r="R103" s="296">
        <f t="shared" ca="1" si="45"/>
        <v>-239.69159999999988</v>
      </c>
      <c r="S103" s="297">
        <f t="shared" ca="1" si="62"/>
        <v>0.19700000000000001</v>
      </c>
      <c r="T103" s="297">
        <f t="shared" ca="1" si="31"/>
        <v>0.12571700000000002</v>
      </c>
      <c r="U103" s="297">
        <f t="shared" ca="1" si="32"/>
        <v>0.14256600000000003</v>
      </c>
      <c r="V103" s="297">
        <f t="shared" ca="1" si="33"/>
        <v>0.73171699999999995</v>
      </c>
      <c r="W103" s="298">
        <f t="shared" ca="1" si="63"/>
        <v>0.142566</v>
      </c>
      <c r="X103" s="298">
        <f t="shared" si="64"/>
        <v>0.234375</v>
      </c>
      <c r="Y103" s="299">
        <f t="shared" ca="1" si="26"/>
        <v>0.62851164665906845</v>
      </c>
      <c r="Z103" s="293">
        <f t="shared" ca="1" si="65"/>
        <v>3</v>
      </c>
      <c r="AA103" s="299">
        <f t="shared" ca="1" si="66"/>
        <v>0.49230596891840489</v>
      </c>
      <c r="AB103" s="302">
        <f t="shared" ca="1" si="67"/>
        <v>0</v>
      </c>
      <c r="AC103" s="302">
        <f t="shared" ca="1" si="68"/>
        <v>4</v>
      </c>
      <c r="AD103" s="299">
        <f t="shared" ca="1" si="50"/>
        <v>4.5409987770623772E-3</v>
      </c>
      <c r="AE103" s="302">
        <f t="shared" ca="1" si="51"/>
        <v>1</v>
      </c>
      <c r="AF103" s="302">
        <f t="shared" ca="1" si="52"/>
        <v>0</v>
      </c>
      <c r="AG103" s="299">
        <f t="shared" ca="1" si="53"/>
        <v>0.56065846129203134</v>
      </c>
      <c r="AH103" s="302">
        <f t="shared" ca="1" si="56"/>
        <v>4</v>
      </c>
      <c r="AI103" s="302">
        <f t="shared" ca="1" si="57"/>
        <v>5</v>
      </c>
    </row>
    <row r="104" spans="1:35" ht="15" customHeight="1" x14ac:dyDescent="0.25">
      <c r="A104" s="44" t="s">
        <v>1258</v>
      </c>
      <c r="B104" s="1">
        <f t="shared" ca="1" si="46"/>
        <v>7</v>
      </c>
      <c r="C104" s="45">
        <f ca="1">COUNTIF(D$2:D104,D104)+COUNTIF(G$2:G104,D104)</f>
        <v>7</v>
      </c>
      <c r="D104" s="46" t="str">
        <f t="shared" ca="1" si="47"/>
        <v>Morocco</v>
      </c>
      <c r="E104" s="1">
        <f t="shared" ca="1" si="48"/>
        <v>1</v>
      </c>
      <c r="F104" s="45">
        <f ca="1">COUNTIF(D$2:D104,G104)+COUNTIF(G$2:G104,G104)</f>
        <v>7</v>
      </c>
      <c r="G104" s="46" t="str">
        <f t="shared" ca="1" si="49"/>
        <v>Argentina</v>
      </c>
      <c r="H104" s="1">
        <f ca="1">IF(Results!H104="",AB104,Results!H104)</f>
        <v>0</v>
      </c>
      <c r="I104" s="1">
        <f ca="1">IF(Results!I104="",AC104,Results!I104)</f>
        <v>0</v>
      </c>
      <c r="J104" s="306">
        <f ca="1">IF(Results!J104="",AB104+AE104,Results!J104)</f>
        <v>0</v>
      </c>
      <c r="K104" s="306">
        <f ca="1">IF(Results!K104="",AC104+AF104,Results!K104)</f>
        <v>0</v>
      </c>
      <c r="L104" s="307">
        <f ca="1">IF(Results!L104="",AH104,Results!L104)</f>
        <v>4</v>
      </c>
      <c r="M104" s="307">
        <f ca="1">IF(Results!M104="",AI104,Results!M104)</f>
        <v>5</v>
      </c>
      <c r="N104" s="293">
        <f t="shared" ca="1" si="58"/>
        <v>2</v>
      </c>
      <c r="O104" s="294">
        <f t="shared" ca="1" si="59"/>
        <v>0</v>
      </c>
      <c r="P104" s="295">
        <f t="shared" ca="1" si="60"/>
        <v>1696.97145</v>
      </c>
      <c r="Q104" s="295">
        <f t="shared" ca="1" si="61"/>
        <v>1792</v>
      </c>
      <c r="R104" s="296">
        <f t="shared" ca="1" si="45"/>
        <v>-95.028549999999996</v>
      </c>
      <c r="S104" s="297">
        <f t="shared" ca="1" si="62"/>
        <v>0.36570999999999998</v>
      </c>
      <c r="T104" s="297">
        <f t="shared" ca="1" si="31"/>
        <v>0.25753940204999998</v>
      </c>
      <c r="U104" s="297">
        <f t="shared" ca="1" si="32"/>
        <v>0.21634119589999995</v>
      </c>
      <c r="V104" s="297">
        <f t="shared" ca="1" si="33"/>
        <v>0.52611940205000007</v>
      </c>
      <c r="W104" s="298">
        <f t="shared" ca="1" si="63"/>
        <v>0.21634119590000001</v>
      </c>
      <c r="X104" s="298">
        <f t="shared" si="64"/>
        <v>0.234375</v>
      </c>
      <c r="Y104" s="299">
        <f t="shared" ca="1" si="26"/>
        <v>0.27990832465262716</v>
      </c>
      <c r="Z104" s="293">
        <f t="shared" ca="1" si="65"/>
        <v>2</v>
      </c>
      <c r="AA104" s="299">
        <f t="shared" ca="1" si="66"/>
        <v>0.10339650065060581</v>
      </c>
      <c r="AB104" s="302">
        <f t="shared" ca="1" si="67"/>
        <v>0</v>
      </c>
      <c r="AC104" s="302">
        <f t="shared" ca="1" si="68"/>
        <v>0</v>
      </c>
      <c r="AD104" s="299">
        <f t="shared" ca="1" si="50"/>
        <v>0.13539459239787643</v>
      </c>
      <c r="AE104" s="302">
        <f t="shared" ca="1" si="51"/>
        <v>0</v>
      </c>
      <c r="AF104" s="302">
        <f t="shared" ca="1" si="52"/>
        <v>0</v>
      </c>
      <c r="AG104" s="299">
        <f t="shared" ca="1" si="53"/>
        <v>0.85066171043156746</v>
      </c>
      <c r="AH104" s="302">
        <f t="shared" ca="1" si="56"/>
        <v>4</v>
      </c>
      <c r="AI104" s="302">
        <f t="shared" ca="1" si="57"/>
        <v>5</v>
      </c>
    </row>
    <row r="105" spans="1:35" ht="15" customHeight="1" x14ac:dyDescent="0.25">
      <c r="A105" s="44" t="s">
        <v>1259</v>
      </c>
      <c r="B105" s="1">
        <f t="shared" ca="1" si="46"/>
        <v>27</v>
      </c>
      <c r="C105" s="45">
        <f ca="1">COUNTIF(D$2:D105,D105)+COUNTIF(G$2:G105,D105)</f>
        <v>8</v>
      </c>
      <c r="D105" s="46" t="str">
        <f t="shared" ca="1" si="47"/>
        <v>Canada</v>
      </c>
      <c r="E105" s="1">
        <f t="shared" ca="1" si="48"/>
        <v>7</v>
      </c>
      <c r="F105" s="45">
        <f ca="1">COUNTIF(D$2:D105,G105)+COUNTIF(G$2:G105,G105)</f>
        <v>8</v>
      </c>
      <c r="G105" s="46" t="str">
        <f t="shared" ca="1" si="49"/>
        <v>Morocco</v>
      </c>
      <c r="H105" s="1">
        <f ca="1">IF(Results!H105="",AB105,Results!H105)</f>
        <v>1</v>
      </c>
      <c r="I105" s="1">
        <f ca="1">IF(Results!I105="",AC105,Results!I105)</f>
        <v>2</v>
      </c>
      <c r="J105" s="306">
        <f ca="1">IF(Results!J105="",AB105+AE105,Results!J105)</f>
        <v>1</v>
      </c>
      <c r="K105" s="306">
        <f ca="1">IF(Results!K105="",AC105+AF105,Results!K105)</f>
        <v>2</v>
      </c>
      <c r="L105" s="307">
        <f ca="1">IF(Results!L105="",AH105,Results!L105)</f>
        <v>5</v>
      </c>
      <c r="M105" s="307">
        <f ca="1">IF(Results!M105="",AI105,Results!M105)</f>
        <v>4</v>
      </c>
      <c r="N105" s="293">
        <f t="shared" ca="1" si="58"/>
        <v>3</v>
      </c>
      <c r="O105" s="294">
        <f t="shared" ca="1" si="59"/>
        <v>0</v>
      </c>
      <c r="P105" s="295">
        <f t="shared" ca="1" si="60"/>
        <v>1581.7334000000001</v>
      </c>
      <c r="Q105" s="295">
        <f t="shared" ca="1" si="61"/>
        <v>1696.97145</v>
      </c>
      <c r="R105" s="296">
        <f t="shared" ca="1" si="45"/>
        <v>-115.23804999999993</v>
      </c>
      <c r="S105" s="297">
        <f t="shared" ca="1" si="62"/>
        <v>0.33875</v>
      </c>
      <c r="T105" s="297">
        <f t="shared" ca="1" si="31"/>
        <v>0.23456328124999998</v>
      </c>
      <c r="U105" s="297">
        <f t="shared" ca="1" si="32"/>
        <v>0.20837343750000009</v>
      </c>
      <c r="V105" s="297">
        <f t="shared" ca="1" si="33"/>
        <v>0.55706328124999993</v>
      </c>
      <c r="W105" s="298">
        <f t="shared" ca="1" si="63"/>
        <v>0.20837343750000001</v>
      </c>
      <c r="X105" s="298">
        <f t="shared" si="64"/>
        <v>0.234375</v>
      </c>
      <c r="Y105" s="299">
        <f t="shared" ca="1" si="26"/>
        <v>0.82355366612074499</v>
      </c>
      <c r="Z105" s="293">
        <f t="shared" ca="1" si="65"/>
        <v>3</v>
      </c>
      <c r="AA105" s="299">
        <f t="shared" ca="1" si="66"/>
        <v>0.68325621196334219</v>
      </c>
      <c r="AB105" s="302">
        <f t="shared" ca="1" si="67"/>
        <v>1</v>
      </c>
      <c r="AC105" s="302">
        <f t="shared" ca="1" si="68"/>
        <v>2</v>
      </c>
      <c r="AD105" s="299">
        <f t="shared" ca="1" si="50"/>
        <v>0.11926999081539613</v>
      </c>
      <c r="AE105" s="302">
        <f t="shared" ca="1" si="51"/>
        <v>0</v>
      </c>
      <c r="AF105" s="302">
        <f t="shared" ca="1" si="52"/>
        <v>0</v>
      </c>
      <c r="AG105" s="299">
        <f t="shared" ca="1" si="53"/>
        <v>0.49431625307689087</v>
      </c>
      <c r="AH105" s="302">
        <f t="shared" ca="1" si="56"/>
        <v>5</v>
      </c>
      <c r="AI105" s="302">
        <f t="shared" ca="1" si="57"/>
        <v>4</v>
      </c>
    </row>
    <row r="106" spans="1:35" ht="15" customHeight="1" x14ac:dyDescent="0.25">
      <c r="A106" s="44" t="s">
        <v>1260</v>
      </c>
      <c r="B106" s="1">
        <f t="shared" ca="1" si="46"/>
        <v>2</v>
      </c>
      <c r="C106" s="45">
        <f ca="1">COUNTIF(D$2:D106,D106)+COUNTIF(G$2:G106,D106)</f>
        <v>8</v>
      </c>
      <c r="D106" s="46" t="str">
        <f t="shared" ca="1" si="47"/>
        <v>Spain</v>
      </c>
      <c r="E106" s="1">
        <f t="shared" ca="1" si="48"/>
        <v>1</v>
      </c>
      <c r="F106" s="45">
        <f ca="1">COUNTIF(D$2:D106,G106)+COUNTIF(G$2:G106,G106)</f>
        <v>8</v>
      </c>
      <c r="G106" s="46" t="str">
        <f t="shared" ca="1" si="49"/>
        <v>Argentina</v>
      </c>
      <c r="H106" s="1">
        <f ca="1">IF(Results!H106="",AB106,Results!H106)</f>
        <v>2</v>
      </c>
      <c r="I106" s="1">
        <f ca="1">IF(Results!I106="",AC106,Results!I106)</f>
        <v>1</v>
      </c>
      <c r="J106" s="306">
        <f ca="1">IF(Results!J106="",AB106+AE106,Results!J106)</f>
        <v>2</v>
      </c>
      <c r="K106" s="306">
        <f ca="1">IF(Results!K106="",AC106+AF106,Results!K106)</f>
        <v>1</v>
      </c>
      <c r="L106" s="307">
        <f ca="1">IF(Results!L106="",AH106,Results!L106)</f>
        <v>5</v>
      </c>
      <c r="M106" s="307">
        <f ca="1">IF(Results!M106="",AI106,Results!M106)</f>
        <v>4</v>
      </c>
      <c r="N106" s="66">
        <f t="shared" ca="1" si="58"/>
        <v>1</v>
      </c>
      <c r="O106" s="65">
        <f t="shared" ca="1" si="59"/>
        <v>0</v>
      </c>
      <c r="P106" s="89">
        <f t="shared" ca="1" si="60"/>
        <v>1821.425</v>
      </c>
      <c r="Q106" s="89">
        <f t="shared" ca="1" si="61"/>
        <v>1792</v>
      </c>
      <c r="R106" s="92">
        <f t="shared" ca="1" si="45"/>
        <v>29.424999999999955</v>
      </c>
      <c r="S106" s="50">
        <f t="shared" ca="1" si="62"/>
        <v>0.54429000000000005</v>
      </c>
      <c r="T106" s="50">
        <f t="shared" ca="1" si="31"/>
        <v>0.42808330205000006</v>
      </c>
      <c r="U106" s="50">
        <f t="shared" ca="1" si="32"/>
        <v>0.23241339590000004</v>
      </c>
      <c r="V106" s="50">
        <f t="shared" ca="1" si="33"/>
        <v>0.3395033020499999</v>
      </c>
      <c r="W106" s="55">
        <f t="shared" ca="1" si="63"/>
        <v>0.23241339589999999</v>
      </c>
      <c r="X106" s="55">
        <f t="shared" si="64"/>
        <v>0.234375</v>
      </c>
      <c r="Y106" s="116">
        <f t="shared" ca="1" si="26"/>
        <v>0.30054813291210614</v>
      </c>
      <c r="Z106" s="66">
        <f t="shared" ca="1" si="65"/>
        <v>1</v>
      </c>
      <c r="AA106" s="116">
        <f t="shared" ca="1" si="66"/>
        <v>0.70207861757944057</v>
      </c>
      <c r="AB106" s="301">
        <f t="shared" ca="1" si="67"/>
        <v>2</v>
      </c>
      <c r="AC106" s="301">
        <f t="shared" ca="1" si="68"/>
        <v>1</v>
      </c>
      <c r="AD106" s="116">
        <f t="shared" ca="1" si="50"/>
        <v>0.27568156240233632</v>
      </c>
      <c r="AE106" s="301">
        <f t="shared" ca="1" si="51"/>
        <v>0</v>
      </c>
      <c r="AF106" s="301">
        <f t="shared" ca="1" si="52"/>
        <v>0</v>
      </c>
      <c r="AG106" s="116">
        <f t="shared" ca="1" si="53"/>
        <v>0.11001902825150756</v>
      </c>
      <c r="AH106" s="301">
        <f t="shared" ca="1" si="56"/>
        <v>5</v>
      </c>
      <c r="AI106" s="301">
        <f t="shared" ca="1" si="57"/>
        <v>4</v>
      </c>
    </row>
    <row r="107" spans="1:35" ht="15" customHeight="1" x14ac:dyDescent="0.25">
      <c r="H107" s="66">
        <f ca="1">SUM(H3:H106)</f>
        <v>139</v>
      </c>
      <c r="I107" s="66">
        <f ca="1">SUM(I3:I106)</f>
        <v>124</v>
      </c>
    </row>
    <row r="113" spans="1:18" ht="15" customHeight="1" x14ac:dyDescent="0.25">
      <c r="A113" s="10"/>
      <c r="B113" s="10"/>
      <c r="C113" s="10"/>
      <c r="H113" s="10"/>
      <c r="I113" s="10"/>
      <c r="J113" s="10"/>
      <c r="K113" s="10"/>
      <c r="L113" s="10"/>
      <c r="M113" s="10"/>
      <c r="P113" s="10"/>
      <c r="Q113" s="10"/>
      <c r="R113" s="10"/>
    </row>
    <row r="114" spans="1:18" ht="15" customHeight="1" x14ac:dyDescent="0.25">
      <c r="A114" s="10"/>
      <c r="B114" s="10"/>
      <c r="C114" s="10"/>
      <c r="H114" s="10"/>
      <c r="I114" s="10"/>
      <c r="J114" s="10"/>
      <c r="K114" s="10"/>
      <c r="L114" s="10"/>
      <c r="M114" s="10"/>
      <c r="P114" s="10"/>
      <c r="Q114" s="10"/>
      <c r="R114" s="10"/>
    </row>
  </sheetData>
  <mergeCells count="1">
    <mergeCell ref="T1:V1"/>
  </mergeCells>
  <phoneticPr fontId="30" type="noConversion"/>
  <pageMargins left="0.7" right="0.7" top="0.75" bottom="0.75" header="0.3" footer="0.3"/>
  <pageSetup paperSize="9" orientation="portrait" verticalDpi="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7"/>
  </sheetPr>
  <dimension ref="A1:D33"/>
  <sheetViews>
    <sheetView showRowColHeaders="0" workbookViewId="0">
      <selection activeCell="J3" sqref="J3"/>
    </sheetView>
  </sheetViews>
  <sheetFormatPr defaultRowHeight="15" x14ac:dyDescent="0.25"/>
  <cols>
    <col min="1" max="1" width="9.140625" style="107"/>
    <col min="2" max="3" width="9.140625" style="106"/>
    <col min="4" max="4" width="9.140625" style="105"/>
    <col min="5" max="16384" width="9.140625" style="104"/>
  </cols>
  <sheetData>
    <row r="1" spans="1:4" x14ac:dyDescent="0.25">
      <c r="B1" s="106" t="s">
        <v>1275</v>
      </c>
    </row>
    <row r="2" spans="1:4" x14ac:dyDescent="0.25">
      <c r="B2" s="106" t="s">
        <v>339</v>
      </c>
      <c r="C2" s="106" t="s">
        <v>0</v>
      </c>
      <c r="D2" s="105" t="s">
        <v>109</v>
      </c>
    </row>
    <row r="3" spans="1:4" x14ac:dyDescent="0.25">
      <c r="A3" s="107">
        <v>0</v>
      </c>
      <c r="B3" s="106">
        <v>1</v>
      </c>
      <c r="C3" s="106">
        <v>0</v>
      </c>
      <c r="D3" s="107">
        <v>0.28999999999999998</v>
      </c>
    </row>
    <row r="4" spans="1:4" x14ac:dyDescent="0.25">
      <c r="A4" s="107">
        <f>SUM(D$3:D3)</f>
        <v>0.28999999999999998</v>
      </c>
      <c r="B4" s="106">
        <v>2</v>
      </c>
      <c r="C4" s="106">
        <v>0</v>
      </c>
      <c r="D4" s="107">
        <v>0.1</v>
      </c>
    </row>
    <row r="5" spans="1:4" x14ac:dyDescent="0.25">
      <c r="A5" s="107">
        <f>SUM(D$3:D4)</f>
        <v>0.39</v>
      </c>
      <c r="B5" s="106">
        <v>3</v>
      </c>
      <c r="C5" s="106">
        <v>0</v>
      </c>
      <c r="D5" s="107">
        <v>0.08</v>
      </c>
    </row>
    <row r="6" spans="1:4" x14ac:dyDescent="0.25">
      <c r="A6" s="107">
        <f>SUM(D$3:D5)</f>
        <v>0.47000000000000003</v>
      </c>
      <c r="B6" s="106">
        <v>4</v>
      </c>
      <c r="C6" s="106">
        <v>0</v>
      </c>
      <c r="D6" s="107">
        <v>4.7E-2</v>
      </c>
    </row>
    <row r="7" spans="1:4" x14ac:dyDescent="0.25">
      <c r="A7" s="107">
        <f>SUM(D$3:D6)</f>
        <v>0.51700000000000002</v>
      </c>
      <c r="B7" s="106">
        <v>5</v>
      </c>
      <c r="C7" s="106">
        <v>0</v>
      </c>
      <c r="D7" s="107">
        <v>1.2E-2</v>
      </c>
    </row>
    <row r="8" spans="1:4" x14ac:dyDescent="0.25">
      <c r="A8" s="107">
        <f>SUM(D$3:D7)</f>
        <v>0.52900000000000003</v>
      </c>
      <c r="B8" s="106">
        <v>2</v>
      </c>
      <c r="C8" s="106">
        <v>1</v>
      </c>
      <c r="D8" s="107">
        <v>0.26</v>
      </c>
    </row>
    <row r="9" spans="1:4" x14ac:dyDescent="0.25">
      <c r="A9" s="107">
        <f>SUM(D$3:D8)</f>
        <v>0.78900000000000003</v>
      </c>
      <c r="B9" s="106">
        <v>3</v>
      </c>
      <c r="C9" s="106">
        <v>1</v>
      </c>
      <c r="D9" s="107">
        <v>0.09</v>
      </c>
    </row>
    <row r="10" spans="1:4" x14ac:dyDescent="0.25">
      <c r="A10" s="107">
        <f>SUM(D$3:D9)</f>
        <v>0.879</v>
      </c>
      <c r="B10" s="106">
        <v>4</v>
      </c>
      <c r="C10" s="106">
        <v>1</v>
      </c>
      <c r="D10" s="107">
        <v>4.7E-2</v>
      </c>
    </row>
    <row r="11" spans="1:4" x14ac:dyDescent="0.25">
      <c r="A11" s="107">
        <f>SUM(D$3:D10)</f>
        <v>0.92600000000000005</v>
      </c>
      <c r="B11" s="106">
        <v>5</v>
      </c>
      <c r="C11" s="106">
        <v>1</v>
      </c>
      <c r="D11" s="107">
        <v>1.2E-2</v>
      </c>
    </row>
    <row r="12" spans="1:4" x14ac:dyDescent="0.25">
      <c r="A12" s="107">
        <f>SUM(D$3:D11)</f>
        <v>0.93800000000000006</v>
      </c>
      <c r="B12" s="106">
        <v>3</v>
      </c>
      <c r="C12" s="106">
        <v>2</v>
      </c>
      <c r="D12" s="107">
        <v>4.7E-2</v>
      </c>
    </row>
    <row r="13" spans="1:4" x14ac:dyDescent="0.25">
      <c r="A13" s="107">
        <f>SUM(D$3:D12)</f>
        <v>0.9850000000000001</v>
      </c>
      <c r="B13" s="106">
        <v>4</v>
      </c>
      <c r="C13" s="106">
        <v>2</v>
      </c>
      <c r="D13" s="107">
        <v>1.2E-2</v>
      </c>
    </row>
    <row r="14" spans="1:4" x14ac:dyDescent="0.25">
      <c r="A14" s="107">
        <f>SUM(D$3:D13)</f>
        <v>0.99700000000000011</v>
      </c>
      <c r="B14" s="106">
        <v>5</v>
      </c>
      <c r="C14" s="106">
        <v>2</v>
      </c>
      <c r="D14" s="107">
        <f>D15-SUM(D3:D13)</f>
        <v>2.9999999999998916E-3</v>
      </c>
    </row>
    <row r="15" spans="1:4" x14ac:dyDescent="0.25">
      <c r="A15" s="107">
        <f>SUM(D$3:D14)</f>
        <v>1</v>
      </c>
      <c r="B15" s="106" t="s">
        <v>25</v>
      </c>
      <c r="D15" s="107">
        <v>1</v>
      </c>
    </row>
    <row r="16" spans="1:4" x14ac:dyDescent="0.25">
      <c r="A16" s="107">
        <v>0</v>
      </c>
      <c r="B16" s="106">
        <v>0</v>
      </c>
      <c r="C16" s="106">
        <v>0</v>
      </c>
      <c r="D16" s="107">
        <v>0.5</v>
      </c>
    </row>
    <row r="17" spans="1:4" x14ac:dyDescent="0.25">
      <c r="A17" s="107">
        <f>SUM(D$16:D16)</f>
        <v>0.5</v>
      </c>
      <c r="B17" s="106">
        <v>1</v>
      </c>
      <c r="C17" s="106">
        <v>1</v>
      </c>
      <c r="D17" s="107">
        <v>0.3</v>
      </c>
    </row>
    <row r="18" spans="1:4" x14ac:dyDescent="0.25">
      <c r="A18" s="107">
        <f>SUM(D$16:D17)</f>
        <v>0.8</v>
      </c>
      <c r="B18" s="106">
        <v>2</v>
      </c>
      <c r="C18" s="106">
        <v>2</v>
      </c>
      <c r="D18" s="107">
        <v>0.19</v>
      </c>
    </row>
    <row r="19" spans="1:4" x14ac:dyDescent="0.25">
      <c r="A19" s="107">
        <f>SUM(D$16:D18)</f>
        <v>0.99</v>
      </c>
      <c r="B19" s="106">
        <v>3</v>
      </c>
      <c r="C19" s="106">
        <v>3</v>
      </c>
      <c r="D19" s="107">
        <f>D20-SUM(D16:D18)</f>
        <v>1.0000000000000009E-2</v>
      </c>
    </row>
    <row r="20" spans="1:4" x14ac:dyDescent="0.25">
      <c r="A20" s="107">
        <f>SUM(D$16:D19)</f>
        <v>1</v>
      </c>
      <c r="B20" s="106" t="s">
        <v>1274</v>
      </c>
      <c r="D20" s="107">
        <v>1</v>
      </c>
    </row>
    <row r="21" spans="1:4" x14ac:dyDescent="0.25">
      <c r="A21" s="107">
        <v>0</v>
      </c>
      <c r="B21" s="106">
        <v>0</v>
      </c>
      <c r="C21" s="106">
        <v>1</v>
      </c>
      <c r="D21" s="107">
        <v>0.28999999999999998</v>
      </c>
    </row>
    <row r="22" spans="1:4" x14ac:dyDescent="0.25">
      <c r="A22" s="107">
        <f>SUM(D$21:D21)</f>
        <v>0.28999999999999998</v>
      </c>
      <c r="B22" s="106">
        <v>0</v>
      </c>
      <c r="C22" s="106">
        <v>2</v>
      </c>
      <c r="D22" s="107">
        <v>0.1</v>
      </c>
    </row>
    <row r="23" spans="1:4" x14ac:dyDescent="0.25">
      <c r="A23" s="107">
        <f>SUM(D$21:D22)</f>
        <v>0.39</v>
      </c>
      <c r="B23" s="106">
        <v>0</v>
      </c>
      <c r="C23" s="106">
        <v>3</v>
      </c>
      <c r="D23" s="107">
        <v>0.08</v>
      </c>
    </row>
    <row r="24" spans="1:4" x14ac:dyDescent="0.25">
      <c r="A24" s="107">
        <f>SUM(D$21:D23)</f>
        <v>0.47000000000000003</v>
      </c>
      <c r="B24" s="106">
        <v>0</v>
      </c>
      <c r="C24" s="106">
        <v>4</v>
      </c>
      <c r="D24" s="107">
        <v>4.7E-2</v>
      </c>
    </row>
    <row r="25" spans="1:4" x14ac:dyDescent="0.25">
      <c r="A25" s="107">
        <f>SUM(D$21:D24)</f>
        <v>0.51700000000000002</v>
      </c>
      <c r="B25" s="106">
        <v>0</v>
      </c>
      <c r="C25" s="106">
        <v>5</v>
      </c>
      <c r="D25" s="107">
        <v>1.2E-2</v>
      </c>
    </row>
    <row r="26" spans="1:4" x14ac:dyDescent="0.25">
      <c r="A26" s="107">
        <f>SUM(D$21:D25)</f>
        <v>0.52900000000000003</v>
      </c>
      <c r="B26" s="106">
        <v>1</v>
      </c>
      <c r="C26" s="106">
        <v>2</v>
      </c>
      <c r="D26" s="107">
        <v>0.26</v>
      </c>
    </row>
    <row r="27" spans="1:4" x14ac:dyDescent="0.25">
      <c r="A27" s="107">
        <f>SUM(D$21:D26)</f>
        <v>0.78900000000000003</v>
      </c>
      <c r="B27" s="106">
        <v>1</v>
      </c>
      <c r="C27" s="106">
        <v>3</v>
      </c>
      <c r="D27" s="107">
        <v>0.09</v>
      </c>
    </row>
    <row r="28" spans="1:4" x14ac:dyDescent="0.25">
      <c r="A28" s="107">
        <f>SUM(D$21:D27)</f>
        <v>0.879</v>
      </c>
      <c r="B28" s="106">
        <v>1</v>
      </c>
      <c r="C28" s="106">
        <v>4</v>
      </c>
      <c r="D28" s="107">
        <v>4.7E-2</v>
      </c>
    </row>
    <row r="29" spans="1:4" x14ac:dyDescent="0.25">
      <c r="A29" s="107">
        <f>SUM(D$21:D28)</f>
        <v>0.92600000000000005</v>
      </c>
      <c r="B29" s="106">
        <v>1</v>
      </c>
      <c r="C29" s="106">
        <v>5</v>
      </c>
      <c r="D29" s="107">
        <v>1.2E-2</v>
      </c>
    </row>
    <row r="30" spans="1:4" x14ac:dyDescent="0.25">
      <c r="A30" s="107">
        <f>SUM(D$21:D29)</f>
        <v>0.93800000000000006</v>
      </c>
      <c r="B30" s="106">
        <v>2</v>
      </c>
      <c r="C30" s="106">
        <v>3</v>
      </c>
      <c r="D30" s="107">
        <v>4.7E-2</v>
      </c>
    </row>
    <row r="31" spans="1:4" x14ac:dyDescent="0.25">
      <c r="A31" s="107">
        <f>SUM(D$21:D30)</f>
        <v>0.9850000000000001</v>
      </c>
      <c r="B31" s="106">
        <v>2</v>
      </c>
      <c r="C31" s="106">
        <v>4</v>
      </c>
      <c r="D31" s="107">
        <v>1.2E-2</v>
      </c>
    </row>
    <row r="32" spans="1:4" x14ac:dyDescent="0.25">
      <c r="A32" s="107">
        <f>SUM(D$21:D31)</f>
        <v>0.99700000000000011</v>
      </c>
      <c r="B32" s="106">
        <v>2</v>
      </c>
      <c r="C32" s="106">
        <v>5</v>
      </c>
      <c r="D32" s="107">
        <f>D33-SUM(D21:D31)</f>
        <v>2.9999999999998916E-3</v>
      </c>
    </row>
    <row r="33" spans="1:4" x14ac:dyDescent="0.25">
      <c r="A33" s="107">
        <f>SUM(D$21:D32)</f>
        <v>1</v>
      </c>
      <c r="D33" s="107">
        <v>1</v>
      </c>
    </row>
  </sheetData>
  <pageMargins left="0.7" right="0.7" top="0.75" bottom="0.75" header="0.3" footer="0.3"/>
  <pageSetup paperSize="9" orientation="portrait"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173"/>
  <sheetViews>
    <sheetView workbookViewId="0">
      <pane xSplit="1" ySplit="1" topLeftCell="B132" activePane="bottomRight" state="frozen"/>
      <selection activeCell="J3" sqref="J3"/>
      <selection pane="topRight" activeCell="J3" sqref="J3"/>
      <selection pane="bottomLeft" activeCell="J3" sqref="J3"/>
      <selection pane="bottomRight" activeCell="J3" sqref="J3"/>
    </sheetView>
  </sheetViews>
  <sheetFormatPr defaultColWidth="5.7109375" defaultRowHeight="15" x14ac:dyDescent="0.25"/>
  <cols>
    <col min="1" max="1" width="5.7109375" style="111" customWidth="1"/>
    <col min="2" max="16384" width="5.7109375" style="110"/>
  </cols>
  <sheetData>
    <row r="1" spans="1:2" s="111" customFormat="1" x14ac:dyDescent="0.25">
      <c r="A1" s="113" t="s">
        <v>347</v>
      </c>
      <c r="B1" s="111">
        <v>0</v>
      </c>
    </row>
    <row r="2" spans="1:2" x14ac:dyDescent="0.25">
      <c r="A2" s="112" t="s">
        <v>1276</v>
      </c>
      <c r="B2" s="110">
        <f ca="1">RAND()</f>
        <v>0.22280379216423551</v>
      </c>
    </row>
    <row r="3" spans="1:2" x14ac:dyDescent="0.25">
      <c r="A3" s="112" t="s">
        <v>1277</v>
      </c>
      <c r="B3" s="110">
        <f t="shared" ref="B3:B18" ca="1" si="0">RAND()</f>
        <v>0.51493803601189925</v>
      </c>
    </row>
    <row r="4" spans="1:2" x14ac:dyDescent="0.25">
      <c r="A4" s="112" t="s">
        <v>1278</v>
      </c>
      <c r="B4" s="110">
        <f t="shared" ca="1" si="0"/>
        <v>5.9656926562546064E-2</v>
      </c>
    </row>
    <row r="5" spans="1:2" x14ac:dyDescent="0.25">
      <c r="A5" s="112" t="s">
        <v>1279</v>
      </c>
      <c r="B5" s="110">
        <f t="shared" ca="1" si="0"/>
        <v>4.9296650180136625E-2</v>
      </c>
    </row>
    <row r="6" spans="1:2" x14ac:dyDescent="0.25">
      <c r="A6" s="112" t="s">
        <v>1280</v>
      </c>
      <c r="B6" s="110">
        <f t="shared" ca="1" si="0"/>
        <v>0.93068780930591111</v>
      </c>
    </row>
    <row r="7" spans="1:2" x14ac:dyDescent="0.25">
      <c r="A7" s="112" t="s">
        <v>1281</v>
      </c>
      <c r="B7" s="110">
        <f t="shared" ca="1" si="0"/>
        <v>0.92528113887657792</v>
      </c>
    </row>
    <row r="8" spans="1:2" x14ac:dyDescent="0.25">
      <c r="A8" s="112" t="s">
        <v>1282</v>
      </c>
      <c r="B8" s="110">
        <f t="shared" ca="1" si="0"/>
        <v>0.58811199431604877</v>
      </c>
    </row>
    <row r="9" spans="1:2" x14ac:dyDescent="0.25">
      <c r="A9" s="112" t="s">
        <v>1283</v>
      </c>
      <c r="B9" s="110">
        <f t="shared" ca="1" si="0"/>
        <v>0.82328270358425049</v>
      </c>
    </row>
    <row r="10" spans="1:2" x14ac:dyDescent="0.25">
      <c r="A10" s="112" t="s">
        <v>1284</v>
      </c>
      <c r="B10" s="110">
        <f t="shared" ca="1" si="0"/>
        <v>0.22336723706004669</v>
      </c>
    </row>
    <row r="11" spans="1:2" x14ac:dyDescent="0.25">
      <c r="A11" s="112" t="s">
        <v>1285</v>
      </c>
      <c r="B11" s="110">
        <f t="shared" ca="1" si="0"/>
        <v>0.55453876527836343</v>
      </c>
    </row>
    <row r="12" spans="1:2" x14ac:dyDescent="0.25">
      <c r="A12" s="112" t="s">
        <v>1286</v>
      </c>
      <c r="B12" s="110">
        <f t="shared" ca="1" si="0"/>
        <v>0.40706806070101886</v>
      </c>
    </row>
    <row r="13" spans="1:2" x14ac:dyDescent="0.25">
      <c r="A13" s="112" t="s">
        <v>1287</v>
      </c>
      <c r="B13" s="110">
        <f t="shared" ca="1" si="0"/>
        <v>0.61329232037853121</v>
      </c>
    </row>
    <row r="14" spans="1:2" x14ac:dyDescent="0.25">
      <c r="A14" s="112" t="s">
        <v>1288</v>
      </c>
      <c r="B14" s="110">
        <f t="shared" ca="1" si="0"/>
        <v>0.27742885033308351</v>
      </c>
    </row>
    <row r="15" spans="1:2" x14ac:dyDescent="0.25">
      <c r="A15" s="112" t="s">
        <v>1289</v>
      </c>
      <c r="B15" s="110">
        <f t="shared" ca="1" si="0"/>
        <v>0.89078331441320524</v>
      </c>
    </row>
    <row r="16" spans="1:2" x14ac:dyDescent="0.25">
      <c r="A16" s="112" t="s">
        <v>1290</v>
      </c>
      <c r="B16" s="110">
        <f t="shared" ca="1" si="0"/>
        <v>0.34114562419802252</v>
      </c>
    </row>
    <row r="17" spans="1:2" x14ac:dyDescent="0.25">
      <c r="A17" s="112" t="s">
        <v>1291</v>
      </c>
      <c r="B17" s="110">
        <f t="shared" ca="1" si="0"/>
        <v>0.49540645815359452</v>
      </c>
    </row>
    <row r="18" spans="1:2" x14ac:dyDescent="0.25">
      <c r="A18" s="112" t="s">
        <v>1292</v>
      </c>
      <c r="B18" s="110">
        <f t="shared" ca="1" si="0"/>
        <v>0.72911667623927789</v>
      </c>
    </row>
    <row r="19" spans="1:2" x14ac:dyDescent="0.25">
      <c r="A19" s="112" t="s">
        <v>1293</v>
      </c>
      <c r="B19" s="110">
        <f t="shared" ref="B19:B34" ca="1" si="1">RAND()</f>
        <v>0.26018658993219068</v>
      </c>
    </row>
    <row r="20" spans="1:2" x14ac:dyDescent="0.25">
      <c r="A20" s="112" t="s">
        <v>1294</v>
      </c>
      <c r="B20" s="110">
        <f t="shared" ca="1" si="1"/>
        <v>0.60285860020011006</v>
      </c>
    </row>
    <row r="21" spans="1:2" x14ac:dyDescent="0.25">
      <c r="A21" s="112" t="s">
        <v>1295</v>
      </c>
      <c r="B21" s="110">
        <f t="shared" ca="1" si="1"/>
        <v>0.59670614625483243</v>
      </c>
    </row>
    <row r="22" spans="1:2" x14ac:dyDescent="0.25">
      <c r="A22" s="112" t="s">
        <v>1296</v>
      </c>
      <c r="B22" s="110">
        <f t="shared" ca="1" si="1"/>
        <v>0.60063081336192581</v>
      </c>
    </row>
    <row r="23" spans="1:2" x14ac:dyDescent="0.25">
      <c r="A23" s="112" t="s">
        <v>1297</v>
      </c>
      <c r="B23" s="110">
        <f t="shared" ca="1" si="1"/>
        <v>0.22819555983156381</v>
      </c>
    </row>
    <row r="24" spans="1:2" x14ac:dyDescent="0.25">
      <c r="A24" s="112" t="s">
        <v>1298</v>
      </c>
      <c r="B24" s="110">
        <f t="shared" ca="1" si="1"/>
        <v>0.56792090446376731</v>
      </c>
    </row>
    <row r="25" spans="1:2" x14ac:dyDescent="0.25">
      <c r="A25" s="112" t="s">
        <v>1299</v>
      </c>
      <c r="B25" s="110">
        <f t="shared" ca="1" si="1"/>
        <v>0.58246683461963933</v>
      </c>
    </row>
    <row r="26" spans="1:2" x14ac:dyDescent="0.25">
      <c r="A26" s="112" t="s">
        <v>1300</v>
      </c>
      <c r="B26" s="110">
        <f t="shared" ca="1" si="1"/>
        <v>0.99268425086988932</v>
      </c>
    </row>
    <row r="27" spans="1:2" x14ac:dyDescent="0.25">
      <c r="A27" s="112" t="s">
        <v>1301</v>
      </c>
      <c r="B27" s="110">
        <f t="shared" ca="1" si="1"/>
        <v>0.3917260176726457</v>
      </c>
    </row>
    <row r="28" spans="1:2" x14ac:dyDescent="0.25">
      <c r="A28" s="112" t="s">
        <v>1302</v>
      </c>
      <c r="B28" s="110">
        <f t="shared" ca="1" si="1"/>
        <v>0.33374890379286482</v>
      </c>
    </row>
    <row r="29" spans="1:2" x14ac:dyDescent="0.25">
      <c r="A29" s="112" t="s">
        <v>1303</v>
      </c>
      <c r="B29" s="110">
        <f t="shared" ca="1" si="1"/>
        <v>0.82834028979620788</v>
      </c>
    </row>
    <row r="30" spans="1:2" x14ac:dyDescent="0.25">
      <c r="A30" s="112" t="s">
        <v>1304</v>
      </c>
      <c r="B30" s="110">
        <f t="shared" ca="1" si="1"/>
        <v>0.45825756901613035</v>
      </c>
    </row>
    <row r="31" spans="1:2" x14ac:dyDescent="0.25">
      <c r="A31" s="112" t="s">
        <v>1305</v>
      </c>
      <c r="B31" s="110">
        <f t="shared" ca="1" si="1"/>
        <v>0.72490926729141902</v>
      </c>
    </row>
    <row r="32" spans="1:2" x14ac:dyDescent="0.25">
      <c r="A32" s="112" t="s">
        <v>1306</v>
      </c>
      <c r="B32" s="110">
        <f t="shared" ca="1" si="1"/>
        <v>0.93864107203020652</v>
      </c>
    </row>
    <row r="33" spans="1:2" x14ac:dyDescent="0.25">
      <c r="A33" s="112" t="s">
        <v>1307</v>
      </c>
      <c r="B33" s="110">
        <f t="shared" ca="1" si="1"/>
        <v>0.85818395544437975</v>
      </c>
    </row>
    <row r="34" spans="1:2" x14ac:dyDescent="0.25">
      <c r="A34" s="112" t="s">
        <v>1308</v>
      </c>
      <c r="B34" s="110">
        <f t="shared" ca="1" si="1"/>
        <v>0.27307249058638539</v>
      </c>
    </row>
    <row r="35" spans="1:2" x14ac:dyDescent="0.25">
      <c r="A35" s="112" t="s">
        <v>1309</v>
      </c>
      <c r="B35" s="110">
        <f t="shared" ref="B35:B50" ca="1" si="2">RAND()</f>
        <v>0.97157926902925662</v>
      </c>
    </row>
    <row r="36" spans="1:2" x14ac:dyDescent="0.25">
      <c r="A36" s="112" t="s">
        <v>1310</v>
      </c>
      <c r="B36" s="110">
        <f t="shared" ca="1" si="2"/>
        <v>0.94577370721954979</v>
      </c>
    </row>
    <row r="37" spans="1:2" x14ac:dyDescent="0.25">
      <c r="A37" s="112" t="s">
        <v>1311</v>
      </c>
      <c r="B37" s="110">
        <f t="shared" ca="1" si="2"/>
        <v>0.98796037759971456</v>
      </c>
    </row>
    <row r="38" spans="1:2" x14ac:dyDescent="0.25">
      <c r="A38" s="112" t="s">
        <v>1312</v>
      </c>
      <c r="B38" s="110">
        <f t="shared" ca="1" si="2"/>
        <v>0.25273095936901691</v>
      </c>
    </row>
    <row r="39" spans="1:2" x14ac:dyDescent="0.25">
      <c r="A39" s="112" t="s">
        <v>1313</v>
      </c>
      <c r="B39" s="110">
        <f t="shared" ca="1" si="2"/>
        <v>0.95122801959768677</v>
      </c>
    </row>
    <row r="40" spans="1:2" x14ac:dyDescent="0.25">
      <c r="A40" s="112" t="s">
        <v>1314</v>
      </c>
      <c r="B40" s="110">
        <f t="shared" ca="1" si="2"/>
        <v>0.90627592426980141</v>
      </c>
    </row>
    <row r="41" spans="1:2" x14ac:dyDescent="0.25">
      <c r="A41" s="112" t="s">
        <v>1315</v>
      </c>
      <c r="B41" s="110">
        <f t="shared" ca="1" si="2"/>
        <v>0.47065258387391617</v>
      </c>
    </row>
    <row r="42" spans="1:2" x14ac:dyDescent="0.25">
      <c r="A42" s="112" t="s">
        <v>1316</v>
      </c>
      <c r="B42" s="110">
        <f t="shared" ca="1" si="2"/>
        <v>0.77545288871366136</v>
      </c>
    </row>
    <row r="43" spans="1:2" x14ac:dyDescent="0.25">
      <c r="A43" s="112" t="s">
        <v>1317</v>
      </c>
      <c r="B43" s="110">
        <f t="shared" ca="1" si="2"/>
        <v>0.28248745911742412</v>
      </c>
    </row>
    <row r="44" spans="1:2" x14ac:dyDescent="0.25">
      <c r="A44" s="112" t="s">
        <v>1318</v>
      </c>
      <c r="B44" s="110">
        <f t="shared" ca="1" si="2"/>
        <v>0.79643596162755093</v>
      </c>
    </row>
    <row r="45" spans="1:2" x14ac:dyDescent="0.25">
      <c r="A45" s="112" t="s">
        <v>1319</v>
      </c>
      <c r="B45" s="110">
        <f t="shared" ca="1" si="2"/>
        <v>0.82287451129485789</v>
      </c>
    </row>
    <row r="46" spans="1:2" x14ac:dyDescent="0.25">
      <c r="A46" s="112" t="s">
        <v>1320</v>
      </c>
      <c r="B46" s="110">
        <f t="shared" ca="1" si="2"/>
        <v>2.2692086928614907E-2</v>
      </c>
    </row>
    <row r="47" spans="1:2" x14ac:dyDescent="0.25">
      <c r="A47" s="112" t="s">
        <v>1321</v>
      </c>
      <c r="B47" s="110">
        <f t="shared" ca="1" si="2"/>
        <v>0.62595110852951275</v>
      </c>
    </row>
    <row r="48" spans="1:2" x14ac:dyDescent="0.25">
      <c r="A48" s="112" t="s">
        <v>1322</v>
      </c>
      <c r="B48" s="110">
        <f t="shared" ca="1" si="2"/>
        <v>0.66536902149683697</v>
      </c>
    </row>
    <row r="49" spans="1:2" x14ac:dyDescent="0.25">
      <c r="A49" s="112" t="s">
        <v>1323</v>
      </c>
      <c r="B49" s="110">
        <f t="shared" ca="1" si="2"/>
        <v>0.21679261739550271</v>
      </c>
    </row>
    <row r="50" spans="1:2" x14ac:dyDescent="0.25">
      <c r="A50" s="112" t="s">
        <v>1324</v>
      </c>
      <c r="B50" s="110">
        <f t="shared" ca="1" si="2"/>
        <v>0.12956540619391366</v>
      </c>
    </row>
    <row r="51" spans="1:2" x14ac:dyDescent="0.25">
      <c r="A51" s="112" t="s">
        <v>1325</v>
      </c>
      <c r="B51" s="110">
        <f t="shared" ref="B51:B107" ca="1" si="3">RAND()</f>
        <v>0.36742540530560219</v>
      </c>
    </row>
    <row r="52" spans="1:2" x14ac:dyDescent="0.25">
      <c r="A52" s="112" t="s">
        <v>1326</v>
      </c>
      <c r="B52" s="110">
        <f t="shared" ca="1" si="3"/>
        <v>0.33305949998145779</v>
      </c>
    </row>
    <row r="53" spans="1:2" x14ac:dyDescent="0.25">
      <c r="A53" s="112" t="s">
        <v>1327</v>
      </c>
      <c r="B53" s="110">
        <f t="shared" ca="1" si="3"/>
        <v>0.41845157808336719</v>
      </c>
    </row>
    <row r="54" spans="1:2" x14ac:dyDescent="0.25">
      <c r="A54" s="112" t="s">
        <v>1328</v>
      </c>
      <c r="B54" s="110">
        <f t="shared" ca="1" si="3"/>
        <v>0.47552436295737555</v>
      </c>
    </row>
    <row r="55" spans="1:2" x14ac:dyDescent="0.25">
      <c r="A55" s="112" t="s">
        <v>1329</v>
      </c>
      <c r="B55" s="110">
        <f t="shared" ca="1" si="3"/>
        <v>0.38492585859352446</v>
      </c>
    </row>
    <row r="56" spans="1:2" x14ac:dyDescent="0.25">
      <c r="A56" s="112" t="s">
        <v>1330</v>
      </c>
      <c r="B56" s="110">
        <f t="shared" ca="1" si="3"/>
        <v>0.76764395645319572</v>
      </c>
    </row>
    <row r="57" spans="1:2" x14ac:dyDescent="0.25">
      <c r="A57" s="112" t="s">
        <v>1331</v>
      </c>
      <c r="B57" s="110">
        <f t="shared" ca="1" si="3"/>
        <v>3.9814960347616335E-2</v>
      </c>
    </row>
    <row r="58" spans="1:2" x14ac:dyDescent="0.25">
      <c r="A58" s="112" t="s">
        <v>1332</v>
      </c>
      <c r="B58" s="110">
        <f t="shared" ca="1" si="3"/>
        <v>7.0840370127193131E-2</v>
      </c>
    </row>
    <row r="59" spans="1:2" x14ac:dyDescent="0.25">
      <c r="A59" s="112" t="s">
        <v>1333</v>
      </c>
      <c r="B59" s="110">
        <f t="shared" ca="1" si="3"/>
        <v>0.58681808454280493</v>
      </c>
    </row>
    <row r="60" spans="1:2" x14ac:dyDescent="0.25">
      <c r="A60" s="112" t="s">
        <v>1334</v>
      </c>
      <c r="B60" s="110">
        <f t="shared" ca="1" si="3"/>
        <v>0.1945538166209908</v>
      </c>
    </row>
    <row r="61" spans="1:2" x14ac:dyDescent="0.25">
      <c r="A61" s="112" t="s">
        <v>1335</v>
      </c>
      <c r="B61" s="110">
        <f t="shared" ca="1" si="3"/>
        <v>0.81072134487244696</v>
      </c>
    </row>
    <row r="62" spans="1:2" x14ac:dyDescent="0.25">
      <c r="A62" s="112" t="s">
        <v>1336</v>
      </c>
      <c r="B62" s="110">
        <f t="shared" ca="1" si="3"/>
        <v>0.81882682230438952</v>
      </c>
    </row>
    <row r="63" spans="1:2" x14ac:dyDescent="0.25">
      <c r="A63" s="112" t="s">
        <v>1337</v>
      </c>
      <c r="B63" s="110">
        <f t="shared" ca="1" si="3"/>
        <v>0.21837761558419622</v>
      </c>
    </row>
    <row r="64" spans="1:2" x14ac:dyDescent="0.25">
      <c r="A64" s="112" t="s">
        <v>1338</v>
      </c>
      <c r="B64" s="110">
        <f t="shared" ca="1" si="3"/>
        <v>0.43153432866727015</v>
      </c>
    </row>
    <row r="65" spans="1:2" x14ac:dyDescent="0.25">
      <c r="A65" s="112" t="s">
        <v>1339</v>
      </c>
      <c r="B65" s="110">
        <f t="shared" ca="1" si="3"/>
        <v>0.62248692656334159</v>
      </c>
    </row>
    <row r="66" spans="1:2" x14ac:dyDescent="0.25">
      <c r="A66" s="112" t="s">
        <v>1340</v>
      </c>
      <c r="B66" s="110">
        <f t="shared" ca="1" si="3"/>
        <v>0.59102412996838949</v>
      </c>
    </row>
    <row r="67" spans="1:2" x14ac:dyDescent="0.25">
      <c r="A67" s="112" t="s">
        <v>1341</v>
      </c>
      <c r="B67" s="110">
        <f t="shared" ca="1" si="3"/>
        <v>0.29697403392287269</v>
      </c>
    </row>
    <row r="68" spans="1:2" x14ac:dyDescent="0.25">
      <c r="A68" s="112" t="s">
        <v>1342</v>
      </c>
      <c r="B68" s="110">
        <f t="shared" ca="1" si="3"/>
        <v>0.95992771619308115</v>
      </c>
    </row>
    <row r="69" spans="1:2" x14ac:dyDescent="0.25">
      <c r="A69" s="112" t="s">
        <v>1343</v>
      </c>
      <c r="B69" s="110">
        <f t="shared" ca="1" si="3"/>
        <v>6.7360418160498758E-2</v>
      </c>
    </row>
    <row r="70" spans="1:2" x14ac:dyDescent="0.25">
      <c r="A70" s="112" t="s">
        <v>1344</v>
      </c>
      <c r="B70" s="110">
        <f t="shared" ca="1" si="3"/>
        <v>0.28411137801859276</v>
      </c>
    </row>
    <row r="71" spans="1:2" x14ac:dyDescent="0.25">
      <c r="A71" s="112" t="s">
        <v>1345</v>
      </c>
      <c r="B71" s="110">
        <f t="shared" ca="1" si="3"/>
        <v>0.30044861721136662</v>
      </c>
    </row>
    <row r="72" spans="1:2" x14ac:dyDescent="0.25">
      <c r="A72" s="112" t="s">
        <v>1346</v>
      </c>
      <c r="B72" s="110">
        <f t="shared" ca="1" si="3"/>
        <v>0.9396234911813417</v>
      </c>
    </row>
    <row r="73" spans="1:2" x14ac:dyDescent="0.25">
      <c r="A73" s="112" t="s">
        <v>1347</v>
      </c>
      <c r="B73" s="110">
        <f t="shared" ca="1" si="3"/>
        <v>0.43190481141477488</v>
      </c>
    </row>
    <row r="74" spans="1:2" x14ac:dyDescent="0.25">
      <c r="A74" s="112" t="s">
        <v>1229</v>
      </c>
      <c r="B74" s="110">
        <f t="shared" ca="1" si="3"/>
        <v>0.83232277122919163</v>
      </c>
    </row>
    <row r="75" spans="1:2" x14ac:dyDescent="0.25">
      <c r="A75" s="112" t="s">
        <v>1232</v>
      </c>
      <c r="B75" s="110">
        <f t="shared" ca="1" si="3"/>
        <v>6.7378841720308058E-3</v>
      </c>
    </row>
    <row r="76" spans="1:2" x14ac:dyDescent="0.25">
      <c r="A76" s="112" t="s">
        <v>1230</v>
      </c>
      <c r="B76" s="110">
        <f t="shared" ca="1" si="3"/>
        <v>0.962209256664177</v>
      </c>
    </row>
    <row r="77" spans="1:2" x14ac:dyDescent="0.25">
      <c r="A77" s="112" t="s">
        <v>1231</v>
      </c>
      <c r="B77" s="110">
        <f t="shared" ca="1" si="3"/>
        <v>0.18834918271575385</v>
      </c>
    </row>
    <row r="78" spans="1:2" x14ac:dyDescent="0.25">
      <c r="A78" s="112" t="s">
        <v>1234</v>
      </c>
      <c r="B78" s="110">
        <f t="shared" ca="1" si="3"/>
        <v>0.88031638387990141</v>
      </c>
    </row>
    <row r="79" spans="1:2" x14ac:dyDescent="0.25">
      <c r="A79" s="112" t="s">
        <v>1233</v>
      </c>
      <c r="B79" s="110">
        <f t="shared" ca="1" si="3"/>
        <v>0.32710670376697126</v>
      </c>
    </row>
    <row r="80" spans="1:2" x14ac:dyDescent="0.25">
      <c r="A80" s="112" t="s">
        <v>1235</v>
      </c>
      <c r="B80" s="110">
        <f t="shared" ca="1" si="3"/>
        <v>0.95742611459166005</v>
      </c>
    </row>
    <row r="81" spans="1:2" x14ac:dyDescent="0.25">
      <c r="A81" s="112" t="s">
        <v>1236</v>
      </c>
      <c r="B81" s="110">
        <f t="shared" ca="1" si="3"/>
        <v>0.53627884252831437</v>
      </c>
    </row>
    <row r="82" spans="1:2" x14ac:dyDescent="0.25">
      <c r="A82" s="112" t="s">
        <v>1238</v>
      </c>
      <c r="B82" s="110">
        <f t="shared" ca="1" si="3"/>
        <v>0.2930100425615596</v>
      </c>
    </row>
    <row r="83" spans="1:2" x14ac:dyDescent="0.25">
      <c r="A83" s="112" t="s">
        <v>1237</v>
      </c>
      <c r="B83" s="110">
        <f t="shared" ca="1" si="3"/>
        <v>0.826982486694674</v>
      </c>
    </row>
    <row r="84" spans="1:2" x14ac:dyDescent="0.25">
      <c r="A84" s="112" t="s">
        <v>1240</v>
      </c>
      <c r="B84" s="110">
        <f t="shared" ca="1" si="3"/>
        <v>0.21157452779597696</v>
      </c>
    </row>
    <row r="85" spans="1:2" x14ac:dyDescent="0.25">
      <c r="A85" s="112" t="s">
        <v>1239</v>
      </c>
      <c r="B85" s="110">
        <f t="shared" ca="1" si="3"/>
        <v>0.32059074508603591</v>
      </c>
    </row>
    <row r="86" spans="1:2" x14ac:dyDescent="0.25">
      <c r="A86" s="112" t="s">
        <v>1241</v>
      </c>
      <c r="B86" s="110">
        <f t="shared" ca="1" si="3"/>
        <v>0.43254644373043294</v>
      </c>
    </row>
    <row r="87" spans="1:2" x14ac:dyDescent="0.25">
      <c r="A87" s="112" t="s">
        <v>1243</v>
      </c>
      <c r="B87" s="110">
        <f t="shared" ca="1" si="3"/>
        <v>0.21660926628663801</v>
      </c>
    </row>
    <row r="88" spans="1:2" x14ac:dyDescent="0.25">
      <c r="A88" s="112" t="s">
        <v>1244</v>
      </c>
      <c r="B88" s="110">
        <f t="shared" ca="1" si="3"/>
        <v>0.18929430295994543</v>
      </c>
    </row>
    <row r="89" spans="1:2" x14ac:dyDescent="0.25">
      <c r="A89" s="112" t="s">
        <v>1242</v>
      </c>
      <c r="B89" s="110">
        <f t="shared" ca="1" si="3"/>
        <v>0.91887026967344998</v>
      </c>
    </row>
    <row r="90" spans="1:2" x14ac:dyDescent="0.25">
      <c r="A90" s="112" t="s">
        <v>1245</v>
      </c>
      <c r="B90" s="110">
        <f t="shared" ca="1" si="3"/>
        <v>9.8752812674347545E-3</v>
      </c>
    </row>
    <row r="91" spans="1:2" x14ac:dyDescent="0.25">
      <c r="A91" s="112" t="s">
        <v>1246</v>
      </c>
      <c r="B91" s="110">
        <f t="shared" ca="1" si="3"/>
        <v>3.5931971214803293E-2</v>
      </c>
    </row>
    <row r="92" spans="1:2" x14ac:dyDescent="0.25">
      <c r="A92" s="112" t="s">
        <v>1251</v>
      </c>
      <c r="B92" s="110">
        <f t="shared" ca="1" si="3"/>
        <v>0.17738957686705892</v>
      </c>
    </row>
    <row r="93" spans="1:2" x14ac:dyDescent="0.25">
      <c r="A93" s="112" t="s">
        <v>1252</v>
      </c>
      <c r="B93" s="110">
        <f t="shared" ca="1" si="3"/>
        <v>0.52026689921080271</v>
      </c>
    </row>
    <row r="94" spans="1:2" x14ac:dyDescent="0.25">
      <c r="A94" s="112" t="s">
        <v>1253</v>
      </c>
      <c r="B94" s="110">
        <f t="shared" ca="1" si="3"/>
        <v>0.71417640637555679</v>
      </c>
    </row>
    <row r="95" spans="1:2" x14ac:dyDescent="0.25">
      <c r="A95" s="112" t="s">
        <v>1254</v>
      </c>
      <c r="B95" s="110">
        <f t="shared" ca="1" si="3"/>
        <v>0.40259192534452892</v>
      </c>
    </row>
    <row r="96" spans="1:2" x14ac:dyDescent="0.25">
      <c r="A96" s="112" t="s">
        <v>1255</v>
      </c>
      <c r="B96" s="110">
        <f t="shared" ca="1" si="3"/>
        <v>0.52819605333555664</v>
      </c>
    </row>
    <row r="97" spans="1:2" x14ac:dyDescent="0.25">
      <c r="A97" s="112" t="s">
        <v>1256</v>
      </c>
      <c r="B97" s="110">
        <f t="shared" ca="1" si="3"/>
        <v>0.94645141444872682</v>
      </c>
    </row>
    <row r="98" spans="1:2" x14ac:dyDescent="0.25">
      <c r="A98" s="112" t="s">
        <v>1262</v>
      </c>
      <c r="B98" s="110">
        <f t="shared" ca="1" si="3"/>
        <v>0.55222646467275016</v>
      </c>
    </row>
    <row r="99" spans="1:2" x14ac:dyDescent="0.25">
      <c r="A99" s="112" t="s">
        <v>1263</v>
      </c>
      <c r="B99" s="110">
        <f t="shared" ca="1" si="3"/>
        <v>0.15845428985515275</v>
      </c>
    </row>
    <row r="100" spans="1:2" x14ac:dyDescent="0.25">
      <c r="A100" s="112" t="s">
        <v>1264</v>
      </c>
      <c r="B100" s="110">
        <f t="shared" ca="1" si="3"/>
        <v>0.1745637203591438</v>
      </c>
    </row>
    <row r="101" spans="1:2" x14ac:dyDescent="0.25">
      <c r="A101" s="112" t="s">
        <v>1265</v>
      </c>
      <c r="B101" s="110">
        <f t="shared" ca="1" si="3"/>
        <v>0.21559249248109547</v>
      </c>
    </row>
    <row r="102" spans="1:2" x14ac:dyDescent="0.25">
      <c r="A102" s="112" t="s">
        <v>1257</v>
      </c>
      <c r="B102" s="110">
        <f t="shared" ca="1" si="3"/>
        <v>0.62851164665906845</v>
      </c>
    </row>
    <row r="103" spans="1:2" x14ac:dyDescent="0.25">
      <c r="A103" s="112" t="s">
        <v>1258</v>
      </c>
      <c r="B103" s="110">
        <f t="shared" ca="1" si="3"/>
        <v>0.27990832465262716</v>
      </c>
    </row>
    <row r="104" spans="1:2" x14ac:dyDescent="0.25">
      <c r="A104" s="112" t="s">
        <v>1259</v>
      </c>
      <c r="B104" s="110">
        <f t="shared" ca="1" si="3"/>
        <v>0.82355366612074499</v>
      </c>
    </row>
    <row r="105" spans="1:2" x14ac:dyDescent="0.25">
      <c r="A105" s="112" t="s">
        <v>1260</v>
      </c>
      <c r="B105" s="110">
        <f t="shared" ca="1" si="3"/>
        <v>0.30054813291210614</v>
      </c>
    </row>
    <row r="106" spans="1:2" x14ac:dyDescent="0.25">
      <c r="A106" s="112" t="s">
        <v>1348</v>
      </c>
      <c r="B106" s="110">
        <f t="shared" ca="1" si="3"/>
        <v>0.84532372883655205</v>
      </c>
    </row>
    <row r="107" spans="1:2" x14ac:dyDescent="0.25">
      <c r="A107" s="112" t="s">
        <v>1349</v>
      </c>
      <c r="B107" s="110">
        <f t="shared" ca="1" si="3"/>
        <v>0.76659859800265595</v>
      </c>
    </row>
    <row r="108" spans="1:2" x14ac:dyDescent="0.25">
      <c r="A108" s="113" t="s">
        <v>341</v>
      </c>
      <c r="B108" s="111"/>
    </row>
    <row r="109" spans="1:2" x14ac:dyDescent="0.25">
      <c r="A109" s="112" t="s">
        <v>1229</v>
      </c>
      <c r="B109" s="110">
        <f t="shared" ref="B109:B140" ca="1" si="4">RAND()</f>
        <v>0.95940755221374607</v>
      </c>
    </row>
    <row r="110" spans="1:2" x14ac:dyDescent="0.25">
      <c r="A110" s="112" t="s">
        <v>1232</v>
      </c>
      <c r="B110" s="110">
        <f t="shared" ca="1" si="4"/>
        <v>0.60682150091939413</v>
      </c>
    </row>
    <row r="111" spans="1:2" x14ac:dyDescent="0.25">
      <c r="A111" s="112" t="s">
        <v>1230</v>
      </c>
      <c r="B111" s="110">
        <f t="shared" ca="1" si="4"/>
        <v>0.77957789309340209</v>
      </c>
    </row>
    <row r="112" spans="1:2" x14ac:dyDescent="0.25">
      <c r="A112" s="112" t="s">
        <v>1231</v>
      </c>
      <c r="B112" s="110">
        <f t="shared" ca="1" si="4"/>
        <v>0.43008543634191898</v>
      </c>
    </row>
    <row r="113" spans="1:2" x14ac:dyDescent="0.25">
      <c r="A113" s="112" t="s">
        <v>1234</v>
      </c>
      <c r="B113" s="110">
        <f t="shared" ca="1" si="4"/>
        <v>0.96362833625332822</v>
      </c>
    </row>
    <row r="114" spans="1:2" x14ac:dyDescent="0.25">
      <c r="A114" s="112" t="s">
        <v>1233</v>
      </c>
      <c r="B114" s="110">
        <f t="shared" ca="1" si="4"/>
        <v>0.82914619148951818</v>
      </c>
    </row>
    <row r="115" spans="1:2" x14ac:dyDescent="0.25">
      <c r="A115" s="112" t="s">
        <v>1235</v>
      </c>
      <c r="B115" s="110">
        <f t="shared" ca="1" si="4"/>
        <v>0.35296199287272256</v>
      </c>
    </row>
    <row r="116" spans="1:2" x14ac:dyDescent="0.25">
      <c r="A116" s="112" t="s">
        <v>1236</v>
      </c>
      <c r="B116" s="110">
        <f t="shared" ca="1" si="4"/>
        <v>0.44963222852930795</v>
      </c>
    </row>
    <row r="117" spans="1:2" x14ac:dyDescent="0.25">
      <c r="A117" s="112" t="s">
        <v>1238</v>
      </c>
      <c r="B117" s="110">
        <f t="shared" ca="1" si="4"/>
        <v>0.59729099180011214</v>
      </c>
    </row>
    <row r="118" spans="1:2" x14ac:dyDescent="0.25">
      <c r="A118" s="112" t="s">
        <v>1237</v>
      </c>
      <c r="B118" s="110">
        <f t="shared" ca="1" si="4"/>
        <v>0.12444866749722183</v>
      </c>
    </row>
    <row r="119" spans="1:2" x14ac:dyDescent="0.25">
      <c r="A119" s="112" t="s">
        <v>1240</v>
      </c>
      <c r="B119" s="110">
        <f t="shared" ca="1" si="4"/>
        <v>0.37828486175810694</v>
      </c>
    </row>
    <row r="120" spans="1:2" x14ac:dyDescent="0.25">
      <c r="A120" s="112" t="s">
        <v>1239</v>
      </c>
      <c r="B120" s="110">
        <f t="shared" ca="1" si="4"/>
        <v>0.66816981490172767</v>
      </c>
    </row>
    <row r="121" spans="1:2" x14ac:dyDescent="0.25">
      <c r="A121" s="112" t="s">
        <v>1241</v>
      </c>
      <c r="B121" s="110">
        <f t="shared" ca="1" si="4"/>
        <v>0.98620348540631164</v>
      </c>
    </row>
    <row r="122" spans="1:2" x14ac:dyDescent="0.25">
      <c r="A122" s="112" t="s">
        <v>1243</v>
      </c>
      <c r="B122" s="110">
        <f t="shared" ca="1" si="4"/>
        <v>0.37106684853450234</v>
      </c>
    </row>
    <row r="123" spans="1:2" x14ac:dyDescent="0.25">
      <c r="A123" s="112" t="s">
        <v>1244</v>
      </c>
      <c r="B123" s="110">
        <f t="shared" ca="1" si="4"/>
        <v>0.24016804088190946</v>
      </c>
    </row>
    <row r="124" spans="1:2" x14ac:dyDescent="0.25">
      <c r="A124" s="112" t="s">
        <v>1242</v>
      </c>
      <c r="B124" s="110">
        <f t="shared" ca="1" si="4"/>
        <v>7.5751660044655056E-3</v>
      </c>
    </row>
    <row r="125" spans="1:2" x14ac:dyDescent="0.25">
      <c r="A125" s="112" t="s">
        <v>1245</v>
      </c>
      <c r="B125" s="110">
        <f t="shared" ca="1" si="4"/>
        <v>0.74955532121642532</v>
      </c>
    </row>
    <row r="126" spans="1:2" x14ac:dyDescent="0.25">
      <c r="A126" s="112" t="s">
        <v>1246</v>
      </c>
      <c r="B126" s="110">
        <f t="shared" ca="1" si="4"/>
        <v>0.6303057553333955</v>
      </c>
    </row>
    <row r="127" spans="1:2" x14ac:dyDescent="0.25">
      <c r="A127" s="112" t="s">
        <v>1251</v>
      </c>
      <c r="B127" s="110">
        <f t="shared" ca="1" si="4"/>
        <v>0.83144868135985961</v>
      </c>
    </row>
    <row r="128" spans="1:2" x14ac:dyDescent="0.25">
      <c r="A128" s="112" t="s">
        <v>1252</v>
      </c>
      <c r="B128" s="110">
        <f t="shared" ca="1" si="4"/>
        <v>0.59431599604394625</v>
      </c>
    </row>
    <row r="129" spans="1:2" x14ac:dyDescent="0.25">
      <c r="A129" s="112" t="s">
        <v>1253</v>
      </c>
      <c r="B129" s="110">
        <f t="shared" ca="1" si="4"/>
        <v>0.58632658690260697</v>
      </c>
    </row>
    <row r="130" spans="1:2" x14ac:dyDescent="0.25">
      <c r="A130" s="112" t="s">
        <v>1254</v>
      </c>
      <c r="B130" s="110">
        <f t="shared" ca="1" si="4"/>
        <v>0.16659173366296565</v>
      </c>
    </row>
    <row r="131" spans="1:2" x14ac:dyDescent="0.25">
      <c r="A131" s="112" t="s">
        <v>1255</v>
      </c>
      <c r="B131" s="110">
        <f t="shared" ca="1" si="4"/>
        <v>0.54935338527722521</v>
      </c>
    </row>
    <row r="132" spans="1:2" x14ac:dyDescent="0.25">
      <c r="A132" s="112" t="s">
        <v>1256</v>
      </c>
      <c r="B132" s="110">
        <f t="shared" ca="1" si="4"/>
        <v>0.10474130867889242</v>
      </c>
    </row>
    <row r="133" spans="1:2" x14ac:dyDescent="0.25">
      <c r="A133" s="112" t="s">
        <v>1262</v>
      </c>
      <c r="B133" s="110">
        <f t="shared" ca="1" si="4"/>
        <v>0.62216567795353317</v>
      </c>
    </row>
    <row r="134" spans="1:2" x14ac:dyDescent="0.25">
      <c r="A134" s="112" t="s">
        <v>1263</v>
      </c>
      <c r="B134" s="110">
        <f t="shared" ca="1" si="4"/>
        <v>0.777150611908489</v>
      </c>
    </row>
    <row r="135" spans="1:2" x14ac:dyDescent="0.25">
      <c r="A135" s="112" t="s">
        <v>1264</v>
      </c>
      <c r="B135" s="110">
        <f t="shared" ca="1" si="4"/>
        <v>0.14771328423860253</v>
      </c>
    </row>
    <row r="136" spans="1:2" x14ac:dyDescent="0.25">
      <c r="A136" s="112" t="s">
        <v>1265</v>
      </c>
      <c r="B136" s="110">
        <f t="shared" ca="1" si="4"/>
        <v>0.82482789430820058</v>
      </c>
    </row>
    <row r="137" spans="1:2" x14ac:dyDescent="0.25">
      <c r="A137" s="112" t="s">
        <v>1257</v>
      </c>
      <c r="B137" s="110">
        <f t="shared" ca="1" si="4"/>
        <v>4.5409987770623772E-3</v>
      </c>
    </row>
    <row r="138" spans="1:2" x14ac:dyDescent="0.25">
      <c r="A138" s="112" t="s">
        <v>1258</v>
      </c>
      <c r="B138" s="110">
        <f t="shared" ca="1" si="4"/>
        <v>0.13539459239787643</v>
      </c>
    </row>
    <row r="139" spans="1:2" x14ac:dyDescent="0.25">
      <c r="A139" s="112" t="s">
        <v>1259</v>
      </c>
      <c r="B139" s="110">
        <f t="shared" ca="1" si="4"/>
        <v>0.11926999081539613</v>
      </c>
    </row>
    <row r="140" spans="1:2" x14ac:dyDescent="0.25">
      <c r="A140" s="112" t="s">
        <v>1260</v>
      </c>
      <c r="B140" s="110">
        <f t="shared" ca="1" si="4"/>
        <v>0.27568156240233632</v>
      </c>
    </row>
    <row r="141" spans="1:2" x14ac:dyDescent="0.25">
      <c r="A141" s="113" t="s">
        <v>346</v>
      </c>
      <c r="B141" s="111"/>
    </row>
    <row r="142" spans="1:2" x14ac:dyDescent="0.25">
      <c r="A142" s="112" t="s">
        <v>1229</v>
      </c>
      <c r="B142" s="110">
        <f t="shared" ref="B142:B172" ca="1" si="5">RAND()</f>
        <v>0.89776230531577195</v>
      </c>
    </row>
    <row r="143" spans="1:2" x14ac:dyDescent="0.25">
      <c r="A143" s="112" t="s">
        <v>1232</v>
      </c>
      <c r="B143" s="110">
        <f t="shared" ca="1" si="5"/>
        <v>0.36261056218891219</v>
      </c>
    </row>
    <row r="144" spans="1:2" x14ac:dyDescent="0.25">
      <c r="A144" s="112" t="s">
        <v>1230</v>
      </c>
      <c r="B144" s="110">
        <f t="shared" ca="1" si="5"/>
        <v>3.6722571484378075E-2</v>
      </c>
    </row>
    <row r="145" spans="1:2" x14ac:dyDescent="0.25">
      <c r="A145" s="112" t="s">
        <v>1231</v>
      </c>
      <c r="B145" s="110">
        <f t="shared" ca="1" si="5"/>
        <v>0.34745195897066039</v>
      </c>
    </row>
    <row r="146" spans="1:2" x14ac:dyDescent="0.25">
      <c r="A146" s="112" t="s">
        <v>1234</v>
      </c>
      <c r="B146" s="110">
        <f t="shared" ca="1" si="5"/>
        <v>1.2063423400377471E-2</v>
      </c>
    </row>
    <row r="147" spans="1:2" x14ac:dyDescent="0.25">
      <c r="A147" s="112" t="s">
        <v>1233</v>
      </c>
      <c r="B147" s="110">
        <f t="shared" ca="1" si="5"/>
        <v>0.79598100624474277</v>
      </c>
    </row>
    <row r="148" spans="1:2" x14ac:dyDescent="0.25">
      <c r="A148" s="112" t="s">
        <v>1235</v>
      </c>
      <c r="B148" s="110">
        <f t="shared" ca="1" si="5"/>
        <v>0.98588962833847882</v>
      </c>
    </row>
    <row r="149" spans="1:2" x14ac:dyDescent="0.25">
      <c r="A149" s="112" t="s">
        <v>1236</v>
      </c>
      <c r="B149" s="110">
        <f t="shared" ca="1" si="5"/>
        <v>0.78650309417824138</v>
      </c>
    </row>
    <row r="150" spans="1:2" x14ac:dyDescent="0.25">
      <c r="A150" s="112" t="s">
        <v>1238</v>
      </c>
      <c r="B150" s="110">
        <f t="shared" ca="1" si="5"/>
        <v>0.79343658475739931</v>
      </c>
    </row>
    <row r="151" spans="1:2" x14ac:dyDescent="0.25">
      <c r="A151" s="112" t="s">
        <v>1237</v>
      </c>
      <c r="B151" s="110">
        <f t="shared" ca="1" si="5"/>
        <v>0.65061666695366616</v>
      </c>
    </row>
    <row r="152" spans="1:2" x14ac:dyDescent="0.25">
      <c r="A152" s="112" t="s">
        <v>1240</v>
      </c>
      <c r="B152" s="110">
        <f t="shared" ca="1" si="5"/>
        <v>0.79350339223880773</v>
      </c>
    </row>
    <row r="153" spans="1:2" x14ac:dyDescent="0.25">
      <c r="A153" s="112" t="s">
        <v>1239</v>
      </c>
      <c r="B153" s="110">
        <f t="shared" ca="1" si="5"/>
        <v>0.38435614000484397</v>
      </c>
    </row>
    <row r="154" spans="1:2" x14ac:dyDescent="0.25">
      <c r="A154" s="112" t="s">
        <v>1241</v>
      </c>
      <c r="B154" s="110">
        <f t="shared" ca="1" si="5"/>
        <v>1.0682450478772254E-2</v>
      </c>
    </row>
    <row r="155" spans="1:2" x14ac:dyDescent="0.25">
      <c r="A155" s="112" t="s">
        <v>1243</v>
      </c>
      <c r="B155" s="110">
        <f t="shared" ca="1" si="5"/>
        <v>9.5737880673340769E-2</v>
      </c>
    </row>
    <row r="156" spans="1:2" x14ac:dyDescent="0.25">
      <c r="A156" s="112" t="s">
        <v>1244</v>
      </c>
      <c r="B156" s="110">
        <f t="shared" ca="1" si="5"/>
        <v>0.48798196268311034</v>
      </c>
    </row>
    <row r="157" spans="1:2" x14ac:dyDescent="0.25">
      <c r="A157" s="112" t="s">
        <v>1242</v>
      </c>
      <c r="B157" s="110">
        <f t="shared" ca="1" si="5"/>
        <v>0.30928156936026752</v>
      </c>
    </row>
    <row r="158" spans="1:2" x14ac:dyDescent="0.25">
      <c r="A158" s="112" t="s">
        <v>1245</v>
      </c>
      <c r="B158" s="110">
        <f t="shared" ca="1" si="5"/>
        <v>0.77628512610992129</v>
      </c>
    </row>
    <row r="159" spans="1:2" x14ac:dyDescent="0.25">
      <c r="A159" s="112" t="s">
        <v>1246</v>
      </c>
      <c r="B159" s="110">
        <f t="shared" ca="1" si="5"/>
        <v>0.98820951293416137</v>
      </c>
    </row>
    <row r="160" spans="1:2" x14ac:dyDescent="0.25">
      <c r="A160" s="112" t="s">
        <v>1251</v>
      </c>
      <c r="B160" s="110">
        <f t="shared" ca="1" si="5"/>
        <v>0.92481403432898734</v>
      </c>
    </row>
    <row r="161" spans="1:2" x14ac:dyDescent="0.25">
      <c r="A161" s="112" t="s">
        <v>1252</v>
      </c>
      <c r="B161" s="110">
        <f t="shared" ca="1" si="5"/>
        <v>4.1349463036238765E-2</v>
      </c>
    </row>
    <row r="162" spans="1:2" x14ac:dyDescent="0.25">
      <c r="A162" s="112" t="s">
        <v>1253</v>
      </c>
      <c r="B162" s="110">
        <f t="shared" ca="1" si="5"/>
        <v>0.39975535624527969</v>
      </c>
    </row>
    <row r="163" spans="1:2" x14ac:dyDescent="0.25">
      <c r="A163" s="112" t="s">
        <v>1254</v>
      </c>
      <c r="B163" s="110">
        <f t="shared" ca="1" si="5"/>
        <v>0.26404053701257368</v>
      </c>
    </row>
    <row r="164" spans="1:2" x14ac:dyDescent="0.25">
      <c r="A164" s="112" t="s">
        <v>1255</v>
      </c>
      <c r="B164" s="110">
        <f t="shared" ca="1" si="5"/>
        <v>0.78218328784367452</v>
      </c>
    </row>
    <row r="165" spans="1:2" x14ac:dyDescent="0.25">
      <c r="A165" s="112" t="s">
        <v>1256</v>
      </c>
      <c r="B165" s="110">
        <f t="shared" ca="1" si="5"/>
        <v>0.19461279429381129</v>
      </c>
    </row>
    <row r="166" spans="1:2" x14ac:dyDescent="0.25">
      <c r="A166" s="112" t="s">
        <v>1262</v>
      </c>
      <c r="B166" s="110">
        <f t="shared" ca="1" si="5"/>
        <v>0.31473129256872756</v>
      </c>
    </row>
    <row r="167" spans="1:2" x14ac:dyDescent="0.25">
      <c r="A167" s="112" t="s">
        <v>1263</v>
      </c>
      <c r="B167" s="110">
        <f t="shared" ca="1" si="5"/>
        <v>0.52812974515214384</v>
      </c>
    </row>
    <row r="168" spans="1:2" x14ac:dyDescent="0.25">
      <c r="A168" s="112" t="s">
        <v>1264</v>
      </c>
      <c r="B168" s="110">
        <f t="shared" ca="1" si="5"/>
        <v>0.42910004630667953</v>
      </c>
    </row>
    <row r="169" spans="1:2" x14ac:dyDescent="0.25">
      <c r="A169" s="112" t="s">
        <v>1265</v>
      </c>
      <c r="B169" s="110">
        <f t="shared" ca="1" si="5"/>
        <v>0.1658586496611848</v>
      </c>
    </row>
    <row r="170" spans="1:2" x14ac:dyDescent="0.25">
      <c r="A170" s="112" t="s">
        <v>1257</v>
      </c>
      <c r="B170" s="110">
        <f t="shared" ca="1" si="5"/>
        <v>0.56065846129203134</v>
      </c>
    </row>
    <row r="171" spans="1:2" x14ac:dyDescent="0.25">
      <c r="A171" s="112" t="s">
        <v>1258</v>
      </c>
      <c r="B171" s="110">
        <f t="shared" ca="1" si="5"/>
        <v>0.85066171043156746</v>
      </c>
    </row>
    <row r="172" spans="1:2" x14ac:dyDescent="0.25">
      <c r="A172" s="112" t="s">
        <v>1259</v>
      </c>
      <c r="B172" s="110">
        <f t="shared" ca="1" si="5"/>
        <v>0.49431625307689087</v>
      </c>
    </row>
    <row r="173" spans="1:2" x14ac:dyDescent="0.25">
      <c r="A173" s="112" t="s">
        <v>1260</v>
      </c>
      <c r="B173" s="110">
        <f ca="1">RAND()</f>
        <v>0.11001902825150756</v>
      </c>
    </row>
  </sheetData>
  <phoneticPr fontId="30" type="noConversion"/>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H1476"/>
  <sheetViews>
    <sheetView showRowColHeaders="0" workbookViewId="0">
      <pane xSplit="2" ySplit="2" topLeftCell="C3" activePane="bottomRight" state="frozen"/>
      <selection activeCell="J3" sqref="J3"/>
      <selection pane="topRight" activeCell="J3" sqref="J3"/>
      <selection pane="bottomLeft" activeCell="J3" sqref="J3"/>
      <selection pane="bottomRight" activeCell="J3" sqref="J3"/>
    </sheetView>
  </sheetViews>
  <sheetFormatPr defaultRowHeight="15" x14ac:dyDescent="0.25"/>
  <cols>
    <col min="3" max="5" width="9.140625" style="18"/>
  </cols>
  <sheetData>
    <row r="1" spans="1:8" x14ac:dyDescent="0.25">
      <c r="A1" s="19" t="s">
        <v>17</v>
      </c>
      <c r="B1" s="9">
        <f>RFactor</f>
        <v>30</v>
      </c>
      <c r="C1" s="750" t="s">
        <v>18</v>
      </c>
      <c r="D1" s="751"/>
      <c r="E1" s="752"/>
      <c r="F1" s="750" t="s">
        <v>19</v>
      </c>
      <c r="G1" s="751"/>
      <c r="H1" s="752"/>
    </row>
    <row r="2" spans="1:8" x14ac:dyDescent="0.25">
      <c r="A2" s="20" t="s">
        <v>13</v>
      </c>
      <c r="B2" s="21" t="s">
        <v>20</v>
      </c>
      <c r="C2" s="22" t="s">
        <v>14</v>
      </c>
      <c r="D2" s="23" t="s">
        <v>15</v>
      </c>
      <c r="E2" s="24" t="s">
        <v>16</v>
      </c>
      <c r="F2" s="22" t="s">
        <v>14</v>
      </c>
      <c r="G2" s="23" t="s">
        <v>15</v>
      </c>
      <c r="H2" s="24" t="s">
        <v>16</v>
      </c>
    </row>
    <row r="3" spans="1:8" x14ac:dyDescent="0.25">
      <c r="A3" s="90">
        <v>-737</v>
      </c>
      <c r="B3" s="74">
        <v>0</v>
      </c>
      <c r="C3" s="75">
        <f>KFactor-KFactor*B3</f>
        <v>30</v>
      </c>
      <c r="D3" s="76">
        <f>KFactor/2-KFactor*B3</f>
        <v>15</v>
      </c>
      <c r="E3" s="77">
        <f>0-KFactor*B3</f>
        <v>0</v>
      </c>
      <c r="F3" s="78">
        <f t="shared" ref="F3:H6" si="0">-C3</f>
        <v>-30</v>
      </c>
      <c r="G3" s="79">
        <f t="shared" si="0"/>
        <v>-15</v>
      </c>
      <c r="H3" s="80">
        <f t="shared" si="0"/>
        <v>0</v>
      </c>
    </row>
    <row r="4" spans="1:8" x14ac:dyDescent="0.25">
      <c r="A4" s="26">
        <v>-736</v>
      </c>
      <c r="B4" s="25">
        <v>9.0000000000000006E-5</v>
      </c>
      <c r="C4" s="68">
        <f>KFactor-KFactor*B4</f>
        <v>29.997299999999999</v>
      </c>
      <c r="D4" s="69">
        <f>KFactor/2-KFactor*B4</f>
        <v>14.997299999999999</v>
      </c>
      <c r="E4" s="70">
        <f>0-KFactor*B4</f>
        <v>-2.7000000000000001E-3</v>
      </c>
      <c r="F4" s="71">
        <f t="shared" si="0"/>
        <v>-29.997299999999999</v>
      </c>
      <c r="G4" s="72">
        <f t="shared" si="0"/>
        <v>-14.997299999999999</v>
      </c>
      <c r="H4" s="73">
        <f t="shared" si="0"/>
        <v>2.7000000000000001E-3</v>
      </c>
    </row>
    <row r="5" spans="1:8" x14ac:dyDescent="0.25">
      <c r="A5" s="26">
        <v>-735</v>
      </c>
      <c r="B5" s="25">
        <v>1.9000000000000001E-4</v>
      </c>
      <c r="C5" s="68">
        <f>KFactor-KFactor*B5</f>
        <v>29.994299999999999</v>
      </c>
      <c r="D5" s="69">
        <f>KFactor/2-KFactor*B5</f>
        <v>14.994300000000001</v>
      </c>
      <c r="E5" s="70">
        <f>0-KFactor*B5</f>
        <v>-5.7000000000000002E-3</v>
      </c>
      <c r="F5" s="71">
        <f t="shared" si="0"/>
        <v>-29.994299999999999</v>
      </c>
      <c r="G5" s="72">
        <f t="shared" si="0"/>
        <v>-14.994300000000001</v>
      </c>
      <c r="H5" s="73">
        <f t="shared" si="0"/>
        <v>5.7000000000000002E-3</v>
      </c>
    </row>
    <row r="6" spans="1:8" x14ac:dyDescent="0.25">
      <c r="A6" s="26">
        <v>-734</v>
      </c>
      <c r="B6" s="25">
        <v>2.7999999999999998E-4</v>
      </c>
      <c r="C6" s="68">
        <f>KFactor-KFactor*B6</f>
        <v>29.991599999999998</v>
      </c>
      <c r="D6" s="69">
        <f>KFactor/2-KFactor*B6</f>
        <v>14.9916</v>
      </c>
      <c r="E6" s="70">
        <f>0-KFactor*B6</f>
        <v>-8.3999999999999995E-3</v>
      </c>
      <c r="F6" s="71">
        <f t="shared" si="0"/>
        <v>-29.991599999999998</v>
      </c>
      <c r="G6" s="72">
        <f t="shared" si="0"/>
        <v>-14.9916</v>
      </c>
      <c r="H6" s="73">
        <f t="shared" si="0"/>
        <v>8.3999999999999995E-3</v>
      </c>
    </row>
    <row r="7" spans="1:8" x14ac:dyDescent="0.25">
      <c r="A7" s="26">
        <v>-733</v>
      </c>
      <c r="B7" s="25">
        <v>3.8000000000000002E-4</v>
      </c>
      <c r="C7" s="68">
        <f t="shared" ref="C7:C70" si="1">KFactor-KFactor*B7</f>
        <v>29.988600000000002</v>
      </c>
      <c r="D7" s="69">
        <f t="shared" ref="D7:D70" si="2">KFactor/2-KFactor*B7</f>
        <v>14.9886</v>
      </c>
      <c r="E7" s="70">
        <f t="shared" ref="E7:E70" si="3">0-KFactor*B7</f>
        <v>-1.14E-2</v>
      </c>
      <c r="F7" s="71">
        <f t="shared" ref="F7:F70" si="4">-C7</f>
        <v>-29.988600000000002</v>
      </c>
      <c r="G7" s="72">
        <f t="shared" ref="G7:G70" si="5">-D7</f>
        <v>-14.9886</v>
      </c>
      <c r="H7" s="73">
        <f t="shared" ref="H7:H70" si="6">-E7</f>
        <v>1.14E-2</v>
      </c>
    </row>
    <row r="8" spans="1:8" x14ac:dyDescent="0.25">
      <c r="A8" s="26">
        <v>-732</v>
      </c>
      <c r="B8" s="25">
        <v>4.6999999999999999E-4</v>
      </c>
      <c r="C8" s="68">
        <f t="shared" si="1"/>
        <v>29.985900000000001</v>
      </c>
      <c r="D8" s="69">
        <f t="shared" si="2"/>
        <v>14.985900000000001</v>
      </c>
      <c r="E8" s="70">
        <f t="shared" si="3"/>
        <v>-1.41E-2</v>
      </c>
      <c r="F8" s="71">
        <f t="shared" si="4"/>
        <v>-29.985900000000001</v>
      </c>
      <c r="G8" s="72">
        <f t="shared" si="5"/>
        <v>-14.985900000000001</v>
      </c>
      <c r="H8" s="73">
        <f t="shared" si="6"/>
        <v>1.41E-2</v>
      </c>
    </row>
    <row r="9" spans="1:8" x14ac:dyDescent="0.25">
      <c r="A9" s="26">
        <v>-731</v>
      </c>
      <c r="B9" s="25">
        <v>5.6999999999999998E-4</v>
      </c>
      <c r="C9" s="68">
        <f t="shared" si="1"/>
        <v>29.982900000000001</v>
      </c>
      <c r="D9" s="69">
        <f t="shared" si="2"/>
        <v>14.982900000000001</v>
      </c>
      <c r="E9" s="70">
        <f t="shared" si="3"/>
        <v>-1.7100000000000001E-2</v>
      </c>
      <c r="F9" s="71">
        <f t="shared" si="4"/>
        <v>-29.982900000000001</v>
      </c>
      <c r="G9" s="72">
        <f t="shared" si="5"/>
        <v>-14.982900000000001</v>
      </c>
      <c r="H9" s="73">
        <f t="shared" si="6"/>
        <v>1.7100000000000001E-2</v>
      </c>
    </row>
    <row r="10" spans="1:8" x14ac:dyDescent="0.25">
      <c r="A10" s="26">
        <v>-730</v>
      </c>
      <c r="B10" s="25">
        <v>6.6E-4</v>
      </c>
      <c r="C10" s="68">
        <f t="shared" si="1"/>
        <v>29.9802</v>
      </c>
      <c r="D10" s="69">
        <f t="shared" si="2"/>
        <v>14.9802</v>
      </c>
      <c r="E10" s="70">
        <f t="shared" si="3"/>
        <v>-1.9799999999999998E-2</v>
      </c>
      <c r="F10" s="71">
        <f t="shared" si="4"/>
        <v>-29.9802</v>
      </c>
      <c r="G10" s="72">
        <f t="shared" si="5"/>
        <v>-14.9802</v>
      </c>
      <c r="H10" s="73">
        <f t="shared" si="6"/>
        <v>1.9799999999999998E-2</v>
      </c>
    </row>
    <row r="11" spans="1:8" x14ac:dyDescent="0.25">
      <c r="A11" s="26">
        <v>-729</v>
      </c>
      <c r="B11" s="25">
        <v>7.5000000000000002E-4</v>
      </c>
      <c r="C11" s="68">
        <f t="shared" si="1"/>
        <v>29.977499999999999</v>
      </c>
      <c r="D11" s="69">
        <f t="shared" si="2"/>
        <v>14.977499999999999</v>
      </c>
      <c r="E11" s="70">
        <f t="shared" si="3"/>
        <v>-2.2499999999999999E-2</v>
      </c>
      <c r="F11" s="71">
        <f t="shared" si="4"/>
        <v>-29.977499999999999</v>
      </c>
      <c r="G11" s="72">
        <f t="shared" si="5"/>
        <v>-14.977499999999999</v>
      </c>
      <c r="H11" s="73">
        <f t="shared" si="6"/>
        <v>2.2499999999999999E-2</v>
      </c>
    </row>
    <row r="12" spans="1:8" x14ac:dyDescent="0.25">
      <c r="A12" s="26">
        <v>-728</v>
      </c>
      <c r="B12" s="25">
        <v>8.4999999999999995E-4</v>
      </c>
      <c r="C12" s="68">
        <f t="shared" si="1"/>
        <v>29.974499999999999</v>
      </c>
      <c r="D12" s="69">
        <f t="shared" si="2"/>
        <v>14.974500000000001</v>
      </c>
      <c r="E12" s="70">
        <f t="shared" si="3"/>
        <v>-2.5499999999999998E-2</v>
      </c>
      <c r="F12" s="71">
        <f t="shared" si="4"/>
        <v>-29.974499999999999</v>
      </c>
      <c r="G12" s="72">
        <f t="shared" si="5"/>
        <v>-14.974500000000001</v>
      </c>
      <c r="H12" s="73">
        <f t="shared" si="6"/>
        <v>2.5499999999999998E-2</v>
      </c>
    </row>
    <row r="13" spans="1:8" x14ac:dyDescent="0.25">
      <c r="A13" s="26">
        <v>-727</v>
      </c>
      <c r="B13" s="25">
        <v>9.3999999999999997E-4</v>
      </c>
      <c r="C13" s="68">
        <f t="shared" si="1"/>
        <v>29.971800000000002</v>
      </c>
      <c r="D13" s="69">
        <f t="shared" si="2"/>
        <v>14.9718</v>
      </c>
      <c r="E13" s="70">
        <f t="shared" si="3"/>
        <v>-2.8199999999999999E-2</v>
      </c>
      <c r="F13" s="71">
        <f t="shared" si="4"/>
        <v>-29.971800000000002</v>
      </c>
      <c r="G13" s="72">
        <f t="shared" si="5"/>
        <v>-14.9718</v>
      </c>
      <c r="H13" s="73">
        <f t="shared" si="6"/>
        <v>2.8199999999999999E-2</v>
      </c>
    </row>
    <row r="14" spans="1:8" x14ac:dyDescent="0.25">
      <c r="A14" s="26">
        <v>-726</v>
      </c>
      <c r="B14" s="25">
        <v>1.0399999999999999E-3</v>
      </c>
      <c r="C14" s="68">
        <f t="shared" si="1"/>
        <v>29.968800000000002</v>
      </c>
      <c r="D14" s="69">
        <f t="shared" si="2"/>
        <v>14.9688</v>
      </c>
      <c r="E14" s="70">
        <f t="shared" si="3"/>
        <v>-3.1199999999999999E-2</v>
      </c>
      <c r="F14" s="71">
        <f t="shared" si="4"/>
        <v>-29.968800000000002</v>
      </c>
      <c r="G14" s="72">
        <f t="shared" si="5"/>
        <v>-14.9688</v>
      </c>
      <c r="H14" s="73">
        <f t="shared" si="6"/>
        <v>3.1199999999999999E-2</v>
      </c>
    </row>
    <row r="15" spans="1:8" x14ac:dyDescent="0.25">
      <c r="A15" s="26">
        <v>-725</v>
      </c>
      <c r="B15" s="25">
        <v>1.1299999999999999E-3</v>
      </c>
      <c r="C15" s="68">
        <f t="shared" si="1"/>
        <v>29.966100000000001</v>
      </c>
      <c r="D15" s="69">
        <f t="shared" si="2"/>
        <v>14.966100000000001</v>
      </c>
      <c r="E15" s="70">
        <f t="shared" si="3"/>
        <v>-3.39E-2</v>
      </c>
      <c r="F15" s="71">
        <f t="shared" si="4"/>
        <v>-29.966100000000001</v>
      </c>
      <c r="G15" s="72">
        <f t="shared" si="5"/>
        <v>-14.966100000000001</v>
      </c>
      <c r="H15" s="73">
        <f t="shared" si="6"/>
        <v>3.39E-2</v>
      </c>
    </row>
    <row r="16" spans="1:8" x14ac:dyDescent="0.25">
      <c r="A16" s="26">
        <v>-724</v>
      </c>
      <c r="B16" s="25">
        <v>1.23E-3</v>
      </c>
      <c r="C16" s="68">
        <f t="shared" si="1"/>
        <v>29.963100000000001</v>
      </c>
      <c r="D16" s="69">
        <f t="shared" si="2"/>
        <v>14.963100000000001</v>
      </c>
      <c r="E16" s="70">
        <f t="shared" si="3"/>
        <v>-3.6900000000000002E-2</v>
      </c>
      <c r="F16" s="71">
        <f t="shared" si="4"/>
        <v>-29.963100000000001</v>
      </c>
      <c r="G16" s="72">
        <f t="shared" si="5"/>
        <v>-14.963100000000001</v>
      </c>
      <c r="H16" s="73">
        <f t="shared" si="6"/>
        <v>3.6900000000000002E-2</v>
      </c>
    </row>
    <row r="17" spans="1:8" x14ac:dyDescent="0.25">
      <c r="A17" s="26">
        <v>-723</v>
      </c>
      <c r="B17" s="25">
        <v>1.32E-3</v>
      </c>
      <c r="C17" s="68">
        <f t="shared" si="1"/>
        <v>29.9604</v>
      </c>
      <c r="D17" s="69">
        <f t="shared" si="2"/>
        <v>14.9604</v>
      </c>
      <c r="E17" s="70">
        <f t="shared" si="3"/>
        <v>-3.9599999999999996E-2</v>
      </c>
      <c r="F17" s="71">
        <f t="shared" si="4"/>
        <v>-29.9604</v>
      </c>
      <c r="G17" s="72">
        <f t="shared" si="5"/>
        <v>-14.9604</v>
      </c>
      <c r="H17" s="73">
        <f t="shared" si="6"/>
        <v>3.9599999999999996E-2</v>
      </c>
    </row>
    <row r="18" spans="1:8" x14ac:dyDescent="0.25">
      <c r="A18" s="26">
        <v>-722</v>
      </c>
      <c r="B18" s="25">
        <v>1.42E-3</v>
      </c>
      <c r="C18" s="68">
        <f t="shared" si="1"/>
        <v>29.9574</v>
      </c>
      <c r="D18" s="69">
        <f t="shared" si="2"/>
        <v>14.9574</v>
      </c>
      <c r="E18" s="70">
        <f t="shared" si="3"/>
        <v>-4.2599999999999999E-2</v>
      </c>
      <c r="F18" s="71">
        <f t="shared" si="4"/>
        <v>-29.9574</v>
      </c>
      <c r="G18" s="72">
        <f t="shared" si="5"/>
        <v>-14.9574</v>
      </c>
      <c r="H18" s="73">
        <f t="shared" si="6"/>
        <v>4.2599999999999999E-2</v>
      </c>
    </row>
    <row r="19" spans="1:8" x14ac:dyDescent="0.25">
      <c r="A19" s="26">
        <v>-721</v>
      </c>
      <c r="B19" s="25">
        <v>1.5100000000000001E-3</v>
      </c>
      <c r="C19" s="68">
        <f t="shared" si="1"/>
        <v>29.954699999999999</v>
      </c>
      <c r="D19" s="69">
        <f t="shared" si="2"/>
        <v>14.954700000000001</v>
      </c>
      <c r="E19" s="70">
        <f t="shared" si="3"/>
        <v>-4.53E-2</v>
      </c>
      <c r="F19" s="71">
        <f t="shared" si="4"/>
        <v>-29.954699999999999</v>
      </c>
      <c r="G19" s="72">
        <f t="shared" si="5"/>
        <v>-14.954700000000001</v>
      </c>
      <c r="H19" s="73">
        <f t="shared" si="6"/>
        <v>4.53E-2</v>
      </c>
    </row>
    <row r="20" spans="1:8" x14ac:dyDescent="0.25">
      <c r="A20" s="26">
        <v>-720</v>
      </c>
      <c r="B20" s="25">
        <v>1.6000000000000001E-3</v>
      </c>
      <c r="C20" s="68">
        <f t="shared" si="1"/>
        <v>29.952000000000002</v>
      </c>
      <c r="D20" s="69">
        <f t="shared" si="2"/>
        <v>14.952</v>
      </c>
      <c r="E20" s="70">
        <f t="shared" si="3"/>
        <v>-4.8000000000000001E-2</v>
      </c>
      <c r="F20" s="71">
        <f t="shared" si="4"/>
        <v>-29.952000000000002</v>
      </c>
      <c r="G20" s="72">
        <f t="shared" si="5"/>
        <v>-14.952</v>
      </c>
      <c r="H20" s="73">
        <f t="shared" si="6"/>
        <v>4.8000000000000001E-2</v>
      </c>
    </row>
    <row r="21" spans="1:8" x14ac:dyDescent="0.25">
      <c r="A21" s="26">
        <v>-719</v>
      </c>
      <c r="B21" s="25">
        <v>1.6999999999999999E-3</v>
      </c>
      <c r="C21" s="68">
        <f t="shared" si="1"/>
        <v>29.949000000000002</v>
      </c>
      <c r="D21" s="69">
        <f t="shared" si="2"/>
        <v>14.949</v>
      </c>
      <c r="E21" s="70">
        <f t="shared" si="3"/>
        <v>-5.0999999999999997E-2</v>
      </c>
      <c r="F21" s="71">
        <f t="shared" si="4"/>
        <v>-29.949000000000002</v>
      </c>
      <c r="G21" s="72">
        <f t="shared" si="5"/>
        <v>-14.949</v>
      </c>
      <c r="H21" s="73">
        <f t="shared" si="6"/>
        <v>5.0999999999999997E-2</v>
      </c>
    </row>
    <row r="22" spans="1:8" x14ac:dyDescent="0.25">
      <c r="A22" s="26">
        <v>-718</v>
      </c>
      <c r="B22" s="25">
        <v>1.7899999999999999E-3</v>
      </c>
      <c r="C22" s="68">
        <f t="shared" si="1"/>
        <v>29.946300000000001</v>
      </c>
      <c r="D22" s="69">
        <f t="shared" si="2"/>
        <v>14.946300000000001</v>
      </c>
      <c r="E22" s="70">
        <f t="shared" si="3"/>
        <v>-5.3699999999999998E-2</v>
      </c>
      <c r="F22" s="71">
        <f t="shared" si="4"/>
        <v>-29.946300000000001</v>
      </c>
      <c r="G22" s="72">
        <f t="shared" si="5"/>
        <v>-14.946300000000001</v>
      </c>
      <c r="H22" s="73">
        <f t="shared" si="6"/>
        <v>5.3699999999999998E-2</v>
      </c>
    </row>
    <row r="23" spans="1:8" x14ac:dyDescent="0.25">
      <c r="A23" s="26">
        <v>-717</v>
      </c>
      <c r="B23" s="25">
        <v>1.89E-3</v>
      </c>
      <c r="C23" s="68">
        <f t="shared" si="1"/>
        <v>29.943300000000001</v>
      </c>
      <c r="D23" s="69">
        <f t="shared" si="2"/>
        <v>14.943300000000001</v>
      </c>
      <c r="E23" s="70">
        <f t="shared" si="3"/>
        <v>-5.67E-2</v>
      </c>
      <c r="F23" s="71">
        <f t="shared" si="4"/>
        <v>-29.943300000000001</v>
      </c>
      <c r="G23" s="72">
        <f t="shared" si="5"/>
        <v>-14.943300000000001</v>
      </c>
      <c r="H23" s="73">
        <f t="shared" si="6"/>
        <v>5.67E-2</v>
      </c>
    </row>
    <row r="24" spans="1:8" x14ac:dyDescent="0.25">
      <c r="A24" s="26">
        <v>-716</v>
      </c>
      <c r="B24" s="25">
        <v>1.98E-3</v>
      </c>
      <c r="C24" s="68">
        <f t="shared" si="1"/>
        <v>29.9406</v>
      </c>
      <c r="D24" s="69">
        <f t="shared" si="2"/>
        <v>14.9406</v>
      </c>
      <c r="E24" s="70">
        <f t="shared" si="3"/>
        <v>-5.9400000000000001E-2</v>
      </c>
      <c r="F24" s="71">
        <f t="shared" si="4"/>
        <v>-29.9406</v>
      </c>
      <c r="G24" s="72">
        <f t="shared" si="5"/>
        <v>-14.9406</v>
      </c>
      <c r="H24" s="73">
        <f t="shared" si="6"/>
        <v>5.9400000000000001E-2</v>
      </c>
    </row>
    <row r="25" spans="1:8" x14ac:dyDescent="0.25">
      <c r="A25" s="26">
        <v>-715</v>
      </c>
      <c r="B25" s="25">
        <v>2.0799999999999998E-3</v>
      </c>
      <c r="C25" s="68">
        <f t="shared" si="1"/>
        <v>29.9376</v>
      </c>
      <c r="D25" s="69">
        <f t="shared" si="2"/>
        <v>14.9376</v>
      </c>
      <c r="E25" s="70">
        <f t="shared" si="3"/>
        <v>-6.2399999999999997E-2</v>
      </c>
      <c r="F25" s="71">
        <f t="shared" si="4"/>
        <v>-29.9376</v>
      </c>
      <c r="G25" s="72">
        <f t="shared" si="5"/>
        <v>-14.9376</v>
      </c>
      <c r="H25" s="73">
        <f t="shared" si="6"/>
        <v>6.2399999999999997E-2</v>
      </c>
    </row>
    <row r="26" spans="1:8" x14ac:dyDescent="0.25">
      <c r="A26" s="26">
        <v>-714</v>
      </c>
      <c r="B26" s="25">
        <v>2.1700000000000001E-3</v>
      </c>
      <c r="C26" s="68">
        <f t="shared" si="1"/>
        <v>29.934899999999999</v>
      </c>
      <c r="D26" s="69">
        <f t="shared" si="2"/>
        <v>14.934900000000001</v>
      </c>
      <c r="E26" s="70">
        <f t="shared" si="3"/>
        <v>-6.5100000000000005E-2</v>
      </c>
      <c r="F26" s="71">
        <f t="shared" si="4"/>
        <v>-29.934899999999999</v>
      </c>
      <c r="G26" s="72">
        <f t="shared" si="5"/>
        <v>-14.934900000000001</v>
      </c>
      <c r="H26" s="73">
        <f t="shared" si="6"/>
        <v>6.5100000000000005E-2</v>
      </c>
    </row>
    <row r="27" spans="1:8" x14ac:dyDescent="0.25">
      <c r="A27" s="26">
        <v>-713</v>
      </c>
      <c r="B27" s="25">
        <v>2.2599999999999999E-3</v>
      </c>
      <c r="C27" s="68">
        <f t="shared" si="1"/>
        <v>29.932200000000002</v>
      </c>
      <c r="D27" s="69">
        <f t="shared" si="2"/>
        <v>14.9322</v>
      </c>
      <c r="E27" s="70">
        <f t="shared" si="3"/>
        <v>-6.7799999999999999E-2</v>
      </c>
      <c r="F27" s="71">
        <f t="shared" si="4"/>
        <v>-29.932200000000002</v>
      </c>
      <c r="G27" s="72">
        <f t="shared" si="5"/>
        <v>-14.9322</v>
      </c>
      <c r="H27" s="73">
        <f t="shared" si="6"/>
        <v>6.7799999999999999E-2</v>
      </c>
    </row>
    <row r="28" spans="1:8" x14ac:dyDescent="0.25">
      <c r="A28" s="26">
        <v>-712</v>
      </c>
      <c r="B28" s="25">
        <v>2.3600000000000001E-3</v>
      </c>
      <c r="C28" s="68">
        <f t="shared" si="1"/>
        <v>29.929200000000002</v>
      </c>
      <c r="D28" s="69">
        <f t="shared" si="2"/>
        <v>14.9292</v>
      </c>
      <c r="E28" s="70">
        <f t="shared" si="3"/>
        <v>-7.0800000000000002E-2</v>
      </c>
      <c r="F28" s="71">
        <f t="shared" si="4"/>
        <v>-29.929200000000002</v>
      </c>
      <c r="G28" s="72">
        <f t="shared" si="5"/>
        <v>-14.9292</v>
      </c>
      <c r="H28" s="73">
        <f t="shared" si="6"/>
        <v>7.0800000000000002E-2</v>
      </c>
    </row>
    <row r="29" spans="1:8" x14ac:dyDescent="0.25">
      <c r="A29" s="26">
        <v>-711</v>
      </c>
      <c r="B29" s="25">
        <v>2.4499999999999999E-3</v>
      </c>
      <c r="C29" s="68">
        <f t="shared" si="1"/>
        <v>29.926500000000001</v>
      </c>
      <c r="D29" s="69">
        <f t="shared" si="2"/>
        <v>14.926500000000001</v>
      </c>
      <c r="E29" s="70">
        <f t="shared" si="3"/>
        <v>-7.3499999999999996E-2</v>
      </c>
      <c r="F29" s="71">
        <f t="shared" si="4"/>
        <v>-29.926500000000001</v>
      </c>
      <c r="G29" s="72">
        <f t="shared" si="5"/>
        <v>-14.926500000000001</v>
      </c>
      <c r="H29" s="73">
        <f t="shared" si="6"/>
        <v>7.3499999999999996E-2</v>
      </c>
    </row>
    <row r="30" spans="1:8" x14ac:dyDescent="0.25">
      <c r="A30" s="26">
        <v>-710</v>
      </c>
      <c r="B30" s="25">
        <v>2.5500000000000002E-3</v>
      </c>
      <c r="C30" s="68">
        <f t="shared" si="1"/>
        <v>29.923500000000001</v>
      </c>
      <c r="D30" s="69">
        <f t="shared" si="2"/>
        <v>14.923500000000001</v>
      </c>
      <c r="E30" s="70">
        <f t="shared" si="3"/>
        <v>-7.6500000000000012E-2</v>
      </c>
      <c r="F30" s="71">
        <f t="shared" si="4"/>
        <v>-29.923500000000001</v>
      </c>
      <c r="G30" s="72">
        <f t="shared" si="5"/>
        <v>-14.923500000000001</v>
      </c>
      <c r="H30" s="73">
        <f t="shared" si="6"/>
        <v>7.6500000000000012E-2</v>
      </c>
    </row>
    <row r="31" spans="1:8" x14ac:dyDescent="0.25">
      <c r="A31" s="26">
        <v>-709</v>
      </c>
      <c r="B31" s="25">
        <v>2.64E-3</v>
      </c>
      <c r="C31" s="68">
        <f t="shared" si="1"/>
        <v>29.9208</v>
      </c>
      <c r="D31" s="69">
        <f t="shared" si="2"/>
        <v>14.9208</v>
      </c>
      <c r="E31" s="70">
        <f t="shared" si="3"/>
        <v>-7.9199999999999993E-2</v>
      </c>
      <c r="F31" s="71">
        <f t="shared" si="4"/>
        <v>-29.9208</v>
      </c>
      <c r="G31" s="72">
        <f t="shared" si="5"/>
        <v>-14.9208</v>
      </c>
      <c r="H31" s="73">
        <f t="shared" si="6"/>
        <v>7.9199999999999993E-2</v>
      </c>
    </row>
    <row r="32" spans="1:8" x14ac:dyDescent="0.25">
      <c r="A32" s="26">
        <v>-708</v>
      </c>
      <c r="B32" s="25">
        <v>2.7399999999999998E-3</v>
      </c>
      <c r="C32" s="68">
        <f t="shared" si="1"/>
        <v>29.9178</v>
      </c>
      <c r="D32" s="69">
        <f t="shared" si="2"/>
        <v>14.9178</v>
      </c>
      <c r="E32" s="70">
        <f t="shared" si="3"/>
        <v>-8.2199999999999995E-2</v>
      </c>
      <c r="F32" s="71">
        <f t="shared" si="4"/>
        <v>-29.9178</v>
      </c>
      <c r="G32" s="72">
        <f t="shared" si="5"/>
        <v>-14.9178</v>
      </c>
      <c r="H32" s="73">
        <f t="shared" si="6"/>
        <v>8.2199999999999995E-2</v>
      </c>
    </row>
    <row r="33" spans="1:8" x14ac:dyDescent="0.25">
      <c r="A33" s="26">
        <v>-707</v>
      </c>
      <c r="B33" s="25">
        <v>2.8300000000000001E-3</v>
      </c>
      <c r="C33" s="68">
        <f t="shared" si="1"/>
        <v>29.915099999999999</v>
      </c>
      <c r="D33" s="69">
        <f t="shared" si="2"/>
        <v>14.915100000000001</v>
      </c>
      <c r="E33" s="70">
        <f t="shared" si="3"/>
        <v>-8.4900000000000003E-2</v>
      </c>
      <c r="F33" s="71">
        <f t="shared" si="4"/>
        <v>-29.915099999999999</v>
      </c>
      <c r="G33" s="72">
        <f t="shared" si="5"/>
        <v>-14.915100000000001</v>
      </c>
      <c r="H33" s="73">
        <f t="shared" si="6"/>
        <v>8.4900000000000003E-2</v>
      </c>
    </row>
    <row r="34" spans="1:8" x14ac:dyDescent="0.25">
      <c r="A34" s="26">
        <v>-706</v>
      </c>
      <c r="B34" s="25">
        <v>2.9199999999999999E-3</v>
      </c>
      <c r="C34" s="68">
        <f t="shared" si="1"/>
        <v>29.912400000000002</v>
      </c>
      <c r="D34" s="69">
        <f t="shared" si="2"/>
        <v>14.9124</v>
      </c>
      <c r="E34" s="70">
        <f t="shared" si="3"/>
        <v>-8.7599999999999997E-2</v>
      </c>
      <c r="F34" s="71">
        <f t="shared" si="4"/>
        <v>-29.912400000000002</v>
      </c>
      <c r="G34" s="72">
        <f t="shared" si="5"/>
        <v>-14.9124</v>
      </c>
      <c r="H34" s="73">
        <f t="shared" si="6"/>
        <v>8.7599999999999997E-2</v>
      </c>
    </row>
    <row r="35" spans="1:8" x14ac:dyDescent="0.25">
      <c r="A35" s="26">
        <v>-705</v>
      </c>
      <c r="B35" s="25">
        <v>3.0200000000000001E-3</v>
      </c>
      <c r="C35" s="68">
        <f t="shared" si="1"/>
        <v>29.909400000000002</v>
      </c>
      <c r="D35" s="69">
        <f t="shared" si="2"/>
        <v>14.9094</v>
      </c>
      <c r="E35" s="70">
        <f t="shared" si="3"/>
        <v>-9.06E-2</v>
      </c>
      <c r="F35" s="71">
        <f t="shared" si="4"/>
        <v>-29.909400000000002</v>
      </c>
      <c r="G35" s="72">
        <f t="shared" si="5"/>
        <v>-14.9094</v>
      </c>
      <c r="H35" s="73">
        <f t="shared" si="6"/>
        <v>9.06E-2</v>
      </c>
    </row>
    <row r="36" spans="1:8" x14ac:dyDescent="0.25">
      <c r="A36" s="26">
        <v>-704</v>
      </c>
      <c r="B36" s="25">
        <v>3.1099999999999999E-3</v>
      </c>
      <c r="C36" s="68">
        <f t="shared" si="1"/>
        <v>29.906700000000001</v>
      </c>
      <c r="D36" s="69">
        <f t="shared" si="2"/>
        <v>14.906700000000001</v>
      </c>
      <c r="E36" s="70">
        <f t="shared" si="3"/>
        <v>-9.3299999999999994E-2</v>
      </c>
      <c r="F36" s="71">
        <f t="shared" si="4"/>
        <v>-29.906700000000001</v>
      </c>
      <c r="G36" s="72">
        <f t="shared" si="5"/>
        <v>-14.906700000000001</v>
      </c>
      <c r="H36" s="73">
        <f t="shared" si="6"/>
        <v>9.3299999999999994E-2</v>
      </c>
    </row>
    <row r="37" spans="1:8" x14ac:dyDescent="0.25">
      <c r="A37" s="26">
        <v>-703</v>
      </c>
      <c r="B37" s="25">
        <v>3.2100000000000002E-3</v>
      </c>
      <c r="C37" s="68">
        <f t="shared" si="1"/>
        <v>29.903700000000001</v>
      </c>
      <c r="D37" s="69">
        <f t="shared" si="2"/>
        <v>14.903700000000001</v>
      </c>
      <c r="E37" s="70">
        <f t="shared" si="3"/>
        <v>-9.6300000000000011E-2</v>
      </c>
      <c r="F37" s="71">
        <f t="shared" si="4"/>
        <v>-29.903700000000001</v>
      </c>
      <c r="G37" s="72">
        <f t="shared" si="5"/>
        <v>-14.903700000000001</v>
      </c>
      <c r="H37" s="73">
        <f t="shared" si="6"/>
        <v>9.6300000000000011E-2</v>
      </c>
    </row>
    <row r="38" spans="1:8" x14ac:dyDescent="0.25">
      <c r="A38" s="26">
        <v>-702</v>
      </c>
      <c r="B38" s="25">
        <v>3.3E-3</v>
      </c>
      <c r="C38" s="68">
        <f t="shared" si="1"/>
        <v>29.901</v>
      </c>
      <c r="D38" s="69">
        <f t="shared" si="2"/>
        <v>14.901</v>
      </c>
      <c r="E38" s="70">
        <f t="shared" si="3"/>
        <v>-9.9000000000000005E-2</v>
      </c>
      <c r="F38" s="71">
        <f t="shared" si="4"/>
        <v>-29.901</v>
      </c>
      <c r="G38" s="72">
        <f t="shared" si="5"/>
        <v>-14.901</v>
      </c>
      <c r="H38" s="73">
        <f t="shared" si="6"/>
        <v>9.9000000000000005E-2</v>
      </c>
    </row>
    <row r="39" spans="1:8" x14ac:dyDescent="0.25">
      <c r="A39" s="26">
        <v>-701</v>
      </c>
      <c r="B39" s="25">
        <v>3.3999999999999998E-3</v>
      </c>
      <c r="C39" s="68">
        <f t="shared" si="1"/>
        <v>29.898</v>
      </c>
      <c r="D39" s="69">
        <f t="shared" si="2"/>
        <v>14.898</v>
      </c>
      <c r="E39" s="70">
        <f t="shared" si="3"/>
        <v>-0.10199999999999999</v>
      </c>
      <c r="F39" s="71">
        <f t="shared" si="4"/>
        <v>-29.898</v>
      </c>
      <c r="G39" s="72">
        <f t="shared" si="5"/>
        <v>-14.898</v>
      </c>
      <c r="H39" s="73">
        <f t="shared" si="6"/>
        <v>0.10199999999999999</v>
      </c>
    </row>
    <row r="40" spans="1:8" x14ac:dyDescent="0.25">
      <c r="A40" s="26">
        <v>-700</v>
      </c>
      <c r="B40" s="25">
        <v>3.49E-3</v>
      </c>
      <c r="C40" s="68">
        <f t="shared" si="1"/>
        <v>29.895299999999999</v>
      </c>
      <c r="D40" s="69">
        <f t="shared" si="2"/>
        <v>14.895300000000001</v>
      </c>
      <c r="E40" s="70">
        <f t="shared" si="3"/>
        <v>-0.1047</v>
      </c>
      <c r="F40" s="71">
        <f t="shared" si="4"/>
        <v>-29.895299999999999</v>
      </c>
      <c r="G40" s="72">
        <f t="shared" si="5"/>
        <v>-14.895300000000001</v>
      </c>
      <c r="H40" s="73">
        <f t="shared" si="6"/>
        <v>0.1047</v>
      </c>
    </row>
    <row r="41" spans="1:8" x14ac:dyDescent="0.25">
      <c r="A41" s="26">
        <v>-699</v>
      </c>
      <c r="B41" s="25">
        <v>3.5799999999999998E-3</v>
      </c>
      <c r="C41" s="68">
        <f t="shared" si="1"/>
        <v>29.892600000000002</v>
      </c>
      <c r="D41" s="69">
        <f t="shared" si="2"/>
        <v>14.8926</v>
      </c>
      <c r="E41" s="70">
        <f t="shared" si="3"/>
        <v>-0.1074</v>
      </c>
      <c r="F41" s="71">
        <f t="shared" si="4"/>
        <v>-29.892600000000002</v>
      </c>
      <c r="G41" s="72">
        <f t="shared" si="5"/>
        <v>-14.8926</v>
      </c>
      <c r="H41" s="73">
        <f t="shared" si="6"/>
        <v>0.1074</v>
      </c>
    </row>
    <row r="42" spans="1:8" x14ac:dyDescent="0.25">
      <c r="A42" s="26">
        <v>-698</v>
      </c>
      <c r="B42" s="25">
        <v>3.6800000000000001E-3</v>
      </c>
      <c r="C42" s="68">
        <f t="shared" si="1"/>
        <v>29.889600000000002</v>
      </c>
      <c r="D42" s="69">
        <f t="shared" si="2"/>
        <v>14.8896</v>
      </c>
      <c r="E42" s="70">
        <f t="shared" si="3"/>
        <v>-0.1104</v>
      </c>
      <c r="F42" s="71">
        <f t="shared" si="4"/>
        <v>-29.889600000000002</v>
      </c>
      <c r="G42" s="72">
        <f t="shared" si="5"/>
        <v>-14.8896</v>
      </c>
      <c r="H42" s="73">
        <f t="shared" si="6"/>
        <v>0.1104</v>
      </c>
    </row>
    <row r="43" spans="1:8" x14ac:dyDescent="0.25">
      <c r="A43" s="26">
        <v>-697</v>
      </c>
      <c r="B43" s="25">
        <v>3.7699999999999999E-3</v>
      </c>
      <c r="C43" s="68">
        <f t="shared" si="1"/>
        <v>29.886900000000001</v>
      </c>
      <c r="D43" s="69">
        <f t="shared" si="2"/>
        <v>14.886900000000001</v>
      </c>
      <c r="E43" s="70">
        <f t="shared" si="3"/>
        <v>-0.11309999999999999</v>
      </c>
      <c r="F43" s="71">
        <f t="shared" si="4"/>
        <v>-29.886900000000001</v>
      </c>
      <c r="G43" s="72">
        <f t="shared" si="5"/>
        <v>-14.886900000000001</v>
      </c>
      <c r="H43" s="73">
        <f t="shared" si="6"/>
        <v>0.11309999999999999</v>
      </c>
    </row>
    <row r="44" spans="1:8" x14ac:dyDescent="0.25">
      <c r="A44" s="26">
        <v>-696</v>
      </c>
      <c r="B44" s="25">
        <v>3.8700000000000002E-3</v>
      </c>
      <c r="C44" s="68">
        <f t="shared" si="1"/>
        <v>29.883900000000001</v>
      </c>
      <c r="D44" s="69">
        <f t="shared" si="2"/>
        <v>14.883900000000001</v>
      </c>
      <c r="E44" s="70">
        <f t="shared" si="3"/>
        <v>-0.11610000000000001</v>
      </c>
      <c r="F44" s="71">
        <f t="shared" si="4"/>
        <v>-29.883900000000001</v>
      </c>
      <c r="G44" s="72">
        <f t="shared" si="5"/>
        <v>-14.883900000000001</v>
      </c>
      <c r="H44" s="73">
        <f t="shared" si="6"/>
        <v>0.11610000000000001</v>
      </c>
    </row>
    <row r="45" spans="1:8" x14ac:dyDescent="0.25">
      <c r="A45" s="26">
        <v>-695</v>
      </c>
      <c r="B45" s="25">
        <v>3.96E-3</v>
      </c>
      <c r="C45" s="68">
        <f t="shared" si="1"/>
        <v>29.8812</v>
      </c>
      <c r="D45" s="69">
        <f t="shared" si="2"/>
        <v>14.8812</v>
      </c>
      <c r="E45" s="70">
        <f t="shared" si="3"/>
        <v>-0.1188</v>
      </c>
      <c r="F45" s="71">
        <f t="shared" si="4"/>
        <v>-29.8812</v>
      </c>
      <c r="G45" s="72">
        <f t="shared" si="5"/>
        <v>-14.8812</v>
      </c>
      <c r="H45" s="73">
        <f t="shared" si="6"/>
        <v>0.1188</v>
      </c>
    </row>
    <row r="46" spans="1:8" x14ac:dyDescent="0.25">
      <c r="A46" s="26">
        <v>-694</v>
      </c>
      <c r="B46" s="25">
        <v>4.0600000000000002E-3</v>
      </c>
      <c r="C46" s="68">
        <f t="shared" si="1"/>
        <v>29.8782</v>
      </c>
      <c r="D46" s="69">
        <f t="shared" si="2"/>
        <v>14.8782</v>
      </c>
      <c r="E46" s="70">
        <f t="shared" si="3"/>
        <v>-0.12180000000000001</v>
      </c>
      <c r="F46" s="71">
        <f t="shared" si="4"/>
        <v>-29.8782</v>
      </c>
      <c r="G46" s="72">
        <f t="shared" si="5"/>
        <v>-14.8782</v>
      </c>
      <c r="H46" s="73">
        <f t="shared" si="6"/>
        <v>0.12180000000000001</v>
      </c>
    </row>
    <row r="47" spans="1:8" x14ac:dyDescent="0.25">
      <c r="A47" s="26">
        <v>-693</v>
      </c>
      <c r="B47" s="25">
        <v>4.15E-3</v>
      </c>
      <c r="C47" s="68">
        <f t="shared" si="1"/>
        <v>29.875499999999999</v>
      </c>
      <c r="D47" s="69">
        <f t="shared" si="2"/>
        <v>14.875500000000001</v>
      </c>
      <c r="E47" s="70">
        <f t="shared" si="3"/>
        <v>-0.1245</v>
      </c>
      <c r="F47" s="71">
        <f t="shared" si="4"/>
        <v>-29.875499999999999</v>
      </c>
      <c r="G47" s="72">
        <f t="shared" si="5"/>
        <v>-14.875500000000001</v>
      </c>
      <c r="H47" s="73">
        <f t="shared" si="6"/>
        <v>0.1245</v>
      </c>
    </row>
    <row r="48" spans="1:8" x14ac:dyDescent="0.25">
      <c r="A48" s="26">
        <v>-692</v>
      </c>
      <c r="B48" s="25">
        <v>4.2500000000000003E-3</v>
      </c>
      <c r="C48" s="68">
        <f t="shared" si="1"/>
        <v>29.872499999999999</v>
      </c>
      <c r="D48" s="69">
        <f t="shared" si="2"/>
        <v>14.8725</v>
      </c>
      <c r="E48" s="70">
        <f t="shared" si="3"/>
        <v>-0.1275</v>
      </c>
      <c r="F48" s="71">
        <f t="shared" si="4"/>
        <v>-29.872499999999999</v>
      </c>
      <c r="G48" s="72">
        <f t="shared" si="5"/>
        <v>-14.8725</v>
      </c>
      <c r="H48" s="73">
        <f t="shared" si="6"/>
        <v>0.1275</v>
      </c>
    </row>
    <row r="49" spans="1:8" x14ac:dyDescent="0.25">
      <c r="A49" s="26">
        <v>-691</v>
      </c>
      <c r="B49" s="25">
        <v>4.3400000000000001E-3</v>
      </c>
      <c r="C49" s="68">
        <f t="shared" si="1"/>
        <v>29.869800000000001</v>
      </c>
      <c r="D49" s="69">
        <f t="shared" si="2"/>
        <v>14.8698</v>
      </c>
      <c r="E49" s="70">
        <f t="shared" si="3"/>
        <v>-0.13020000000000001</v>
      </c>
      <c r="F49" s="71">
        <f t="shared" si="4"/>
        <v>-29.869800000000001</v>
      </c>
      <c r="G49" s="72">
        <f t="shared" si="5"/>
        <v>-14.8698</v>
      </c>
      <c r="H49" s="73">
        <f t="shared" si="6"/>
        <v>0.13020000000000001</v>
      </c>
    </row>
    <row r="50" spans="1:8" x14ac:dyDescent="0.25">
      <c r="A50" s="26">
        <v>-690</v>
      </c>
      <c r="B50" s="25">
        <v>4.4299999999999999E-3</v>
      </c>
      <c r="C50" s="68">
        <f t="shared" si="1"/>
        <v>29.867100000000001</v>
      </c>
      <c r="D50" s="69">
        <f t="shared" si="2"/>
        <v>14.867100000000001</v>
      </c>
      <c r="E50" s="70">
        <f t="shared" si="3"/>
        <v>-0.13289999999999999</v>
      </c>
      <c r="F50" s="71">
        <f t="shared" si="4"/>
        <v>-29.867100000000001</v>
      </c>
      <c r="G50" s="72">
        <f t="shared" si="5"/>
        <v>-14.867100000000001</v>
      </c>
      <c r="H50" s="73">
        <f t="shared" si="6"/>
        <v>0.13289999999999999</v>
      </c>
    </row>
    <row r="51" spans="1:8" x14ac:dyDescent="0.25">
      <c r="A51" s="27">
        <v>-689</v>
      </c>
      <c r="B51" s="25">
        <v>4.5300000000000002E-3</v>
      </c>
      <c r="C51" s="68">
        <f t="shared" si="1"/>
        <v>29.864100000000001</v>
      </c>
      <c r="D51" s="69">
        <f t="shared" si="2"/>
        <v>14.864100000000001</v>
      </c>
      <c r="E51" s="70">
        <f t="shared" si="3"/>
        <v>-0.13589999999999999</v>
      </c>
      <c r="F51" s="71">
        <f t="shared" si="4"/>
        <v>-29.864100000000001</v>
      </c>
      <c r="G51" s="72">
        <f t="shared" si="5"/>
        <v>-14.864100000000001</v>
      </c>
      <c r="H51" s="73">
        <f t="shared" si="6"/>
        <v>0.13589999999999999</v>
      </c>
    </row>
    <row r="52" spans="1:8" x14ac:dyDescent="0.25">
      <c r="A52" s="27">
        <v>-688</v>
      </c>
      <c r="B52" s="25">
        <v>4.62E-3</v>
      </c>
      <c r="C52" s="68">
        <f t="shared" si="1"/>
        <v>29.8614</v>
      </c>
      <c r="D52" s="69">
        <f t="shared" si="2"/>
        <v>14.8614</v>
      </c>
      <c r="E52" s="70">
        <f t="shared" si="3"/>
        <v>-0.1386</v>
      </c>
      <c r="F52" s="71">
        <f t="shared" si="4"/>
        <v>-29.8614</v>
      </c>
      <c r="G52" s="72">
        <f t="shared" si="5"/>
        <v>-14.8614</v>
      </c>
      <c r="H52" s="73">
        <f t="shared" si="6"/>
        <v>0.1386</v>
      </c>
    </row>
    <row r="53" spans="1:8" x14ac:dyDescent="0.25">
      <c r="A53" s="26">
        <v>-687</v>
      </c>
      <c r="B53" s="25">
        <v>4.7200000000000002E-3</v>
      </c>
      <c r="C53" s="68">
        <f t="shared" si="1"/>
        <v>29.8584</v>
      </c>
      <c r="D53" s="69">
        <f t="shared" si="2"/>
        <v>14.8584</v>
      </c>
      <c r="E53" s="70">
        <f t="shared" si="3"/>
        <v>-0.1416</v>
      </c>
      <c r="F53" s="71">
        <f t="shared" si="4"/>
        <v>-29.8584</v>
      </c>
      <c r="G53" s="72">
        <f t="shared" si="5"/>
        <v>-14.8584</v>
      </c>
      <c r="H53" s="73">
        <f t="shared" si="6"/>
        <v>0.1416</v>
      </c>
    </row>
    <row r="54" spans="1:8" x14ac:dyDescent="0.25">
      <c r="A54" s="26">
        <v>-686</v>
      </c>
      <c r="B54" s="25">
        <v>4.81E-3</v>
      </c>
      <c r="C54" s="68">
        <f t="shared" si="1"/>
        <v>29.855699999999999</v>
      </c>
      <c r="D54" s="69">
        <f t="shared" si="2"/>
        <v>14.855700000000001</v>
      </c>
      <c r="E54" s="70">
        <f t="shared" si="3"/>
        <v>-0.14430000000000001</v>
      </c>
      <c r="F54" s="71">
        <f t="shared" si="4"/>
        <v>-29.855699999999999</v>
      </c>
      <c r="G54" s="72">
        <f t="shared" si="5"/>
        <v>-14.855700000000001</v>
      </c>
      <c r="H54" s="73">
        <f t="shared" si="6"/>
        <v>0.14430000000000001</v>
      </c>
    </row>
    <row r="55" spans="1:8" x14ac:dyDescent="0.25">
      <c r="A55" s="26">
        <v>-685</v>
      </c>
      <c r="B55" s="25">
        <v>4.9100000000000003E-3</v>
      </c>
      <c r="C55" s="68">
        <f t="shared" si="1"/>
        <v>29.852699999999999</v>
      </c>
      <c r="D55" s="69">
        <f t="shared" si="2"/>
        <v>14.8527</v>
      </c>
      <c r="E55" s="70">
        <f t="shared" si="3"/>
        <v>-0.14730000000000001</v>
      </c>
      <c r="F55" s="71">
        <f t="shared" si="4"/>
        <v>-29.852699999999999</v>
      </c>
      <c r="G55" s="72">
        <f t="shared" si="5"/>
        <v>-14.8527</v>
      </c>
      <c r="H55" s="73">
        <f t="shared" si="6"/>
        <v>0.14730000000000001</v>
      </c>
    </row>
    <row r="56" spans="1:8" x14ac:dyDescent="0.25">
      <c r="A56" s="26">
        <v>-684</v>
      </c>
      <c r="B56" s="25">
        <v>5.0000000000000001E-3</v>
      </c>
      <c r="C56" s="68">
        <f t="shared" si="1"/>
        <v>29.85</v>
      </c>
      <c r="D56" s="69">
        <f t="shared" si="2"/>
        <v>14.85</v>
      </c>
      <c r="E56" s="70">
        <f t="shared" si="3"/>
        <v>-0.15</v>
      </c>
      <c r="F56" s="71">
        <f t="shared" si="4"/>
        <v>-29.85</v>
      </c>
      <c r="G56" s="72">
        <f t="shared" si="5"/>
        <v>-14.85</v>
      </c>
      <c r="H56" s="73">
        <f t="shared" si="6"/>
        <v>0.15</v>
      </c>
    </row>
    <row r="57" spans="1:8" x14ac:dyDescent="0.25">
      <c r="A57" s="26">
        <v>-683</v>
      </c>
      <c r="B57" s="25">
        <v>5.0899999999999999E-3</v>
      </c>
      <c r="C57" s="68">
        <f t="shared" si="1"/>
        <v>29.847300000000001</v>
      </c>
      <c r="D57" s="69">
        <f t="shared" si="2"/>
        <v>14.847300000000001</v>
      </c>
      <c r="E57" s="70">
        <f t="shared" si="3"/>
        <v>-0.1527</v>
      </c>
      <c r="F57" s="71">
        <f t="shared" si="4"/>
        <v>-29.847300000000001</v>
      </c>
      <c r="G57" s="72">
        <f t="shared" si="5"/>
        <v>-14.847300000000001</v>
      </c>
      <c r="H57" s="73">
        <f t="shared" si="6"/>
        <v>0.1527</v>
      </c>
    </row>
    <row r="58" spans="1:8" x14ac:dyDescent="0.25">
      <c r="A58" s="26">
        <v>-682</v>
      </c>
      <c r="B58" s="25">
        <v>5.1900000000000002E-3</v>
      </c>
      <c r="C58" s="68">
        <f t="shared" si="1"/>
        <v>29.8443</v>
      </c>
      <c r="D58" s="69">
        <f t="shared" si="2"/>
        <v>14.8443</v>
      </c>
      <c r="E58" s="70">
        <f t="shared" si="3"/>
        <v>-0.15570000000000001</v>
      </c>
      <c r="F58" s="71">
        <f t="shared" si="4"/>
        <v>-29.8443</v>
      </c>
      <c r="G58" s="72">
        <f t="shared" si="5"/>
        <v>-14.8443</v>
      </c>
      <c r="H58" s="73">
        <f t="shared" si="6"/>
        <v>0.15570000000000001</v>
      </c>
    </row>
    <row r="59" spans="1:8" x14ac:dyDescent="0.25">
      <c r="A59" s="26">
        <v>-681</v>
      </c>
      <c r="B59" s="25">
        <v>5.28E-3</v>
      </c>
      <c r="C59" s="68">
        <f t="shared" si="1"/>
        <v>29.8416</v>
      </c>
      <c r="D59" s="69">
        <f t="shared" si="2"/>
        <v>14.8416</v>
      </c>
      <c r="E59" s="70">
        <f t="shared" si="3"/>
        <v>-0.15839999999999999</v>
      </c>
      <c r="F59" s="71">
        <f t="shared" si="4"/>
        <v>-29.8416</v>
      </c>
      <c r="G59" s="72">
        <f t="shared" si="5"/>
        <v>-14.8416</v>
      </c>
      <c r="H59" s="73">
        <f t="shared" si="6"/>
        <v>0.15839999999999999</v>
      </c>
    </row>
    <row r="60" spans="1:8" x14ac:dyDescent="0.25">
      <c r="A60" s="26">
        <v>-680</v>
      </c>
      <c r="B60" s="25">
        <v>5.3800000000000002E-3</v>
      </c>
      <c r="C60" s="68">
        <f t="shared" si="1"/>
        <v>29.8386</v>
      </c>
      <c r="D60" s="69">
        <f t="shared" si="2"/>
        <v>14.8386</v>
      </c>
      <c r="E60" s="70">
        <f t="shared" si="3"/>
        <v>-0.16140000000000002</v>
      </c>
      <c r="F60" s="71">
        <f t="shared" si="4"/>
        <v>-29.8386</v>
      </c>
      <c r="G60" s="72">
        <f t="shared" si="5"/>
        <v>-14.8386</v>
      </c>
      <c r="H60" s="73">
        <f t="shared" si="6"/>
        <v>0.16140000000000002</v>
      </c>
    </row>
    <row r="61" spans="1:8" x14ac:dyDescent="0.25">
      <c r="A61" s="26">
        <v>-679</v>
      </c>
      <c r="B61" s="25">
        <v>5.47E-3</v>
      </c>
      <c r="C61" s="68">
        <f t="shared" si="1"/>
        <v>29.835899999999999</v>
      </c>
      <c r="D61" s="69">
        <f t="shared" si="2"/>
        <v>14.835900000000001</v>
      </c>
      <c r="E61" s="70">
        <f t="shared" si="3"/>
        <v>-0.1641</v>
      </c>
      <c r="F61" s="71">
        <f t="shared" si="4"/>
        <v>-29.835899999999999</v>
      </c>
      <c r="G61" s="72">
        <f t="shared" si="5"/>
        <v>-14.835900000000001</v>
      </c>
      <c r="H61" s="73">
        <f t="shared" si="6"/>
        <v>0.1641</v>
      </c>
    </row>
    <row r="62" spans="1:8" x14ac:dyDescent="0.25">
      <c r="A62" s="26">
        <v>-678</v>
      </c>
      <c r="B62" s="25">
        <v>5.5700000000000003E-3</v>
      </c>
      <c r="C62" s="68">
        <f t="shared" si="1"/>
        <v>29.832899999999999</v>
      </c>
      <c r="D62" s="69">
        <f t="shared" si="2"/>
        <v>14.8329</v>
      </c>
      <c r="E62" s="70">
        <f t="shared" si="3"/>
        <v>-0.1671</v>
      </c>
      <c r="F62" s="71">
        <f t="shared" si="4"/>
        <v>-29.832899999999999</v>
      </c>
      <c r="G62" s="72">
        <f t="shared" si="5"/>
        <v>-14.8329</v>
      </c>
      <c r="H62" s="73">
        <f t="shared" si="6"/>
        <v>0.1671</v>
      </c>
    </row>
    <row r="63" spans="1:8" x14ac:dyDescent="0.25">
      <c r="A63" s="26">
        <v>-677</v>
      </c>
      <c r="B63" s="25">
        <v>5.6600000000000001E-3</v>
      </c>
      <c r="C63" s="68">
        <f t="shared" si="1"/>
        <v>29.830200000000001</v>
      </c>
      <c r="D63" s="69">
        <f t="shared" si="2"/>
        <v>14.8302</v>
      </c>
      <c r="E63" s="70">
        <f t="shared" si="3"/>
        <v>-0.16980000000000001</v>
      </c>
      <c r="F63" s="71">
        <f t="shared" si="4"/>
        <v>-29.830200000000001</v>
      </c>
      <c r="G63" s="72">
        <f t="shared" si="5"/>
        <v>-14.8302</v>
      </c>
      <c r="H63" s="73">
        <f t="shared" si="6"/>
        <v>0.16980000000000001</v>
      </c>
    </row>
    <row r="64" spans="1:8" x14ac:dyDescent="0.25">
      <c r="A64" s="26">
        <v>-676</v>
      </c>
      <c r="B64" s="25">
        <v>5.7499999999999999E-3</v>
      </c>
      <c r="C64" s="68">
        <f t="shared" si="1"/>
        <v>29.827500000000001</v>
      </c>
      <c r="D64" s="69">
        <f t="shared" si="2"/>
        <v>14.827500000000001</v>
      </c>
      <c r="E64" s="70">
        <f t="shared" si="3"/>
        <v>-0.17249999999999999</v>
      </c>
      <c r="F64" s="71">
        <f t="shared" si="4"/>
        <v>-29.827500000000001</v>
      </c>
      <c r="G64" s="72">
        <f t="shared" si="5"/>
        <v>-14.827500000000001</v>
      </c>
      <c r="H64" s="73">
        <f t="shared" si="6"/>
        <v>0.17249999999999999</v>
      </c>
    </row>
    <row r="65" spans="1:8" x14ac:dyDescent="0.25">
      <c r="A65" s="26">
        <v>-675</v>
      </c>
      <c r="B65" s="25">
        <v>5.8500000000000002E-3</v>
      </c>
      <c r="C65" s="68">
        <f t="shared" si="1"/>
        <v>29.8245</v>
      </c>
      <c r="D65" s="69">
        <f t="shared" si="2"/>
        <v>14.8245</v>
      </c>
      <c r="E65" s="70">
        <f t="shared" si="3"/>
        <v>-0.17550000000000002</v>
      </c>
      <c r="F65" s="71">
        <f t="shared" si="4"/>
        <v>-29.8245</v>
      </c>
      <c r="G65" s="72">
        <f t="shared" si="5"/>
        <v>-14.8245</v>
      </c>
      <c r="H65" s="73">
        <f t="shared" si="6"/>
        <v>0.17550000000000002</v>
      </c>
    </row>
    <row r="66" spans="1:8" x14ac:dyDescent="0.25">
      <c r="A66" s="26">
        <v>-674</v>
      </c>
      <c r="B66" s="25">
        <v>5.94E-3</v>
      </c>
      <c r="C66" s="68">
        <f t="shared" si="1"/>
        <v>29.8218</v>
      </c>
      <c r="D66" s="69">
        <f t="shared" si="2"/>
        <v>14.8218</v>
      </c>
      <c r="E66" s="70">
        <f t="shared" si="3"/>
        <v>-0.1782</v>
      </c>
      <c r="F66" s="71">
        <f t="shared" si="4"/>
        <v>-29.8218</v>
      </c>
      <c r="G66" s="72">
        <f t="shared" si="5"/>
        <v>-14.8218</v>
      </c>
      <c r="H66" s="73">
        <f t="shared" si="6"/>
        <v>0.1782</v>
      </c>
    </row>
    <row r="67" spans="1:8" x14ac:dyDescent="0.25">
      <c r="A67" s="26">
        <v>-673</v>
      </c>
      <c r="B67" s="25">
        <v>6.0400000000000002E-3</v>
      </c>
      <c r="C67" s="68">
        <f t="shared" si="1"/>
        <v>29.8188</v>
      </c>
      <c r="D67" s="69">
        <f t="shared" si="2"/>
        <v>14.8188</v>
      </c>
      <c r="E67" s="70">
        <f t="shared" si="3"/>
        <v>-0.1812</v>
      </c>
      <c r="F67" s="71">
        <f t="shared" si="4"/>
        <v>-29.8188</v>
      </c>
      <c r="G67" s="72">
        <f t="shared" si="5"/>
        <v>-14.8188</v>
      </c>
      <c r="H67" s="73">
        <f t="shared" si="6"/>
        <v>0.1812</v>
      </c>
    </row>
    <row r="68" spans="1:8" x14ac:dyDescent="0.25">
      <c r="A68" s="26">
        <v>-672</v>
      </c>
      <c r="B68" s="25">
        <v>6.13E-3</v>
      </c>
      <c r="C68" s="68">
        <f t="shared" si="1"/>
        <v>29.816099999999999</v>
      </c>
      <c r="D68" s="69">
        <f t="shared" si="2"/>
        <v>14.8161</v>
      </c>
      <c r="E68" s="70">
        <f t="shared" si="3"/>
        <v>-0.18390000000000001</v>
      </c>
      <c r="F68" s="71">
        <f t="shared" si="4"/>
        <v>-29.816099999999999</v>
      </c>
      <c r="G68" s="72">
        <f t="shared" si="5"/>
        <v>-14.8161</v>
      </c>
      <c r="H68" s="73">
        <f t="shared" si="6"/>
        <v>0.18390000000000001</v>
      </c>
    </row>
    <row r="69" spans="1:8" x14ac:dyDescent="0.25">
      <c r="A69" s="26">
        <v>-671</v>
      </c>
      <c r="B69" s="25">
        <v>6.2300000000000003E-3</v>
      </c>
      <c r="C69" s="68">
        <f t="shared" si="1"/>
        <v>29.813099999999999</v>
      </c>
      <c r="D69" s="69">
        <f t="shared" si="2"/>
        <v>14.8131</v>
      </c>
      <c r="E69" s="70">
        <f t="shared" si="3"/>
        <v>-0.18690000000000001</v>
      </c>
      <c r="F69" s="71">
        <f t="shared" si="4"/>
        <v>-29.813099999999999</v>
      </c>
      <c r="G69" s="72">
        <f t="shared" si="5"/>
        <v>-14.8131</v>
      </c>
      <c r="H69" s="73">
        <f t="shared" si="6"/>
        <v>0.18690000000000001</v>
      </c>
    </row>
    <row r="70" spans="1:8" x14ac:dyDescent="0.25">
      <c r="A70" s="26">
        <v>-670</v>
      </c>
      <c r="B70" s="25">
        <v>6.3200000000000001E-3</v>
      </c>
      <c r="C70" s="68">
        <f t="shared" si="1"/>
        <v>29.810400000000001</v>
      </c>
      <c r="D70" s="69">
        <f t="shared" si="2"/>
        <v>14.8104</v>
      </c>
      <c r="E70" s="70">
        <f t="shared" si="3"/>
        <v>-0.18959999999999999</v>
      </c>
      <c r="F70" s="71">
        <f t="shared" si="4"/>
        <v>-29.810400000000001</v>
      </c>
      <c r="G70" s="72">
        <f t="shared" si="5"/>
        <v>-14.8104</v>
      </c>
      <c r="H70" s="73">
        <f t="shared" si="6"/>
        <v>0.18959999999999999</v>
      </c>
    </row>
    <row r="71" spans="1:8" x14ac:dyDescent="0.25">
      <c r="A71" s="26">
        <v>-669</v>
      </c>
      <c r="B71" s="25">
        <v>6.4200000000000004E-3</v>
      </c>
      <c r="C71" s="68">
        <f t="shared" ref="C71:C134" si="7">KFactor-KFactor*B71</f>
        <v>29.807400000000001</v>
      </c>
      <c r="D71" s="69">
        <f t="shared" ref="D71:D134" si="8">KFactor/2-KFactor*B71</f>
        <v>14.807399999999999</v>
      </c>
      <c r="E71" s="70">
        <f t="shared" ref="E71:E134" si="9">0-KFactor*B71</f>
        <v>-0.19260000000000002</v>
      </c>
      <c r="F71" s="71">
        <f t="shared" ref="F71:F134" si="10">-C71</f>
        <v>-29.807400000000001</v>
      </c>
      <c r="G71" s="72">
        <f t="shared" ref="G71:G134" si="11">-D71</f>
        <v>-14.807399999999999</v>
      </c>
      <c r="H71" s="73">
        <f t="shared" ref="H71:H134" si="12">-E71</f>
        <v>0.19260000000000002</v>
      </c>
    </row>
    <row r="72" spans="1:8" x14ac:dyDescent="0.25">
      <c r="A72" s="26">
        <v>-668</v>
      </c>
      <c r="B72" s="25">
        <v>6.5100000000000002E-3</v>
      </c>
      <c r="C72" s="68">
        <f t="shared" si="7"/>
        <v>29.8047</v>
      </c>
      <c r="D72" s="69">
        <f t="shared" si="8"/>
        <v>14.8047</v>
      </c>
      <c r="E72" s="70">
        <f t="shared" si="9"/>
        <v>-0.1953</v>
      </c>
      <c r="F72" s="71">
        <f t="shared" si="10"/>
        <v>-29.8047</v>
      </c>
      <c r="G72" s="72">
        <f t="shared" si="11"/>
        <v>-14.8047</v>
      </c>
      <c r="H72" s="73">
        <f t="shared" si="12"/>
        <v>0.1953</v>
      </c>
    </row>
    <row r="73" spans="1:8" x14ac:dyDescent="0.25">
      <c r="A73" s="26">
        <v>-667</v>
      </c>
      <c r="B73" s="25">
        <v>6.6E-3</v>
      </c>
      <c r="C73" s="68">
        <f t="shared" si="7"/>
        <v>29.802</v>
      </c>
      <c r="D73" s="69">
        <f t="shared" si="8"/>
        <v>14.802</v>
      </c>
      <c r="E73" s="70">
        <f t="shared" si="9"/>
        <v>-0.19800000000000001</v>
      </c>
      <c r="F73" s="71">
        <f t="shared" si="10"/>
        <v>-29.802</v>
      </c>
      <c r="G73" s="72">
        <f t="shared" si="11"/>
        <v>-14.802</v>
      </c>
      <c r="H73" s="73">
        <f t="shared" si="12"/>
        <v>0.19800000000000001</v>
      </c>
    </row>
    <row r="74" spans="1:8" x14ac:dyDescent="0.25">
      <c r="A74" s="26">
        <v>-666</v>
      </c>
      <c r="B74" s="25">
        <v>6.7000000000000002E-3</v>
      </c>
      <c r="C74" s="68">
        <f t="shared" si="7"/>
        <v>29.798999999999999</v>
      </c>
      <c r="D74" s="69">
        <f t="shared" si="8"/>
        <v>14.798999999999999</v>
      </c>
      <c r="E74" s="70">
        <f t="shared" si="9"/>
        <v>-0.20100000000000001</v>
      </c>
      <c r="F74" s="71">
        <f t="shared" si="10"/>
        <v>-29.798999999999999</v>
      </c>
      <c r="G74" s="72">
        <f t="shared" si="11"/>
        <v>-14.798999999999999</v>
      </c>
      <c r="H74" s="73">
        <f t="shared" si="12"/>
        <v>0.20100000000000001</v>
      </c>
    </row>
    <row r="75" spans="1:8" x14ac:dyDescent="0.25">
      <c r="A75" s="26">
        <v>-665</v>
      </c>
      <c r="B75" s="25">
        <v>6.79E-3</v>
      </c>
      <c r="C75" s="68">
        <f t="shared" si="7"/>
        <v>29.796299999999999</v>
      </c>
      <c r="D75" s="69">
        <f t="shared" si="8"/>
        <v>14.7963</v>
      </c>
      <c r="E75" s="70">
        <f t="shared" si="9"/>
        <v>-0.20369999999999999</v>
      </c>
      <c r="F75" s="71">
        <f t="shared" si="10"/>
        <v>-29.796299999999999</v>
      </c>
      <c r="G75" s="72">
        <f t="shared" si="11"/>
        <v>-14.7963</v>
      </c>
      <c r="H75" s="73">
        <f t="shared" si="12"/>
        <v>0.20369999999999999</v>
      </c>
    </row>
    <row r="76" spans="1:8" x14ac:dyDescent="0.25">
      <c r="A76" s="26">
        <v>-664</v>
      </c>
      <c r="B76" s="25">
        <v>6.8900000000000003E-3</v>
      </c>
      <c r="C76" s="68">
        <f t="shared" si="7"/>
        <v>29.793299999999999</v>
      </c>
      <c r="D76" s="69">
        <f t="shared" si="8"/>
        <v>14.7933</v>
      </c>
      <c r="E76" s="70">
        <f t="shared" si="9"/>
        <v>-0.20669999999999999</v>
      </c>
      <c r="F76" s="71">
        <f t="shared" si="10"/>
        <v>-29.793299999999999</v>
      </c>
      <c r="G76" s="72">
        <f t="shared" si="11"/>
        <v>-14.7933</v>
      </c>
      <c r="H76" s="73">
        <f t="shared" si="12"/>
        <v>0.20669999999999999</v>
      </c>
    </row>
    <row r="77" spans="1:8" x14ac:dyDescent="0.25">
      <c r="A77" s="26">
        <v>-663</v>
      </c>
      <c r="B77" s="25">
        <v>6.9800000000000001E-3</v>
      </c>
      <c r="C77" s="68">
        <f t="shared" si="7"/>
        <v>29.790600000000001</v>
      </c>
      <c r="D77" s="69">
        <f t="shared" si="8"/>
        <v>14.7906</v>
      </c>
      <c r="E77" s="70">
        <f t="shared" si="9"/>
        <v>-0.2094</v>
      </c>
      <c r="F77" s="71">
        <f t="shared" si="10"/>
        <v>-29.790600000000001</v>
      </c>
      <c r="G77" s="72">
        <f t="shared" si="11"/>
        <v>-14.7906</v>
      </c>
      <c r="H77" s="73">
        <f t="shared" si="12"/>
        <v>0.2094</v>
      </c>
    </row>
    <row r="78" spans="1:8" x14ac:dyDescent="0.25">
      <c r="A78" s="26">
        <v>-662</v>
      </c>
      <c r="B78" s="25">
        <v>7.0800000000000004E-3</v>
      </c>
      <c r="C78" s="68">
        <f t="shared" si="7"/>
        <v>29.787600000000001</v>
      </c>
      <c r="D78" s="69">
        <f t="shared" si="8"/>
        <v>14.787599999999999</v>
      </c>
      <c r="E78" s="70">
        <f t="shared" si="9"/>
        <v>-0.21240000000000001</v>
      </c>
      <c r="F78" s="71">
        <f t="shared" si="10"/>
        <v>-29.787600000000001</v>
      </c>
      <c r="G78" s="72">
        <f t="shared" si="11"/>
        <v>-14.787599999999999</v>
      </c>
      <c r="H78" s="73">
        <f t="shared" si="12"/>
        <v>0.21240000000000001</v>
      </c>
    </row>
    <row r="79" spans="1:8" x14ac:dyDescent="0.25">
      <c r="A79" s="26">
        <v>-661</v>
      </c>
      <c r="B79" s="25">
        <v>7.1700000000000002E-3</v>
      </c>
      <c r="C79" s="68">
        <f t="shared" si="7"/>
        <v>29.7849</v>
      </c>
      <c r="D79" s="69">
        <f t="shared" si="8"/>
        <v>14.7849</v>
      </c>
      <c r="E79" s="70">
        <f t="shared" si="9"/>
        <v>-0.21510000000000001</v>
      </c>
      <c r="F79" s="71">
        <f t="shared" si="10"/>
        <v>-29.7849</v>
      </c>
      <c r="G79" s="72">
        <f t="shared" si="11"/>
        <v>-14.7849</v>
      </c>
      <c r="H79" s="73">
        <f t="shared" si="12"/>
        <v>0.21510000000000001</v>
      </c>
    </row>
    <row r="80" spans="1:8" x14ac:dyDescent="0.25">
      <c r="A80" s="26">
        <v>-660</v>
      </c>
      <c r="B80" s="25">
        <v>7.26E-3</v>
      </c>
      <c r="C80" s="68">
        <f t="shared" si="7"/>
        <v>29.7822</v>
      </c>
      <c r="D80" s="69">
        <f t="shared" si="8"/>
        <v>14.7822</v>
      </c>
      <c r="E80" s="70">
        <f t="shared" si="9"/>
        <v>-0.21779999999999999</v>
      </c>
      <c r="F80" s="71">
        <f t="shared" si="10"/>
        <v>-29.7822</v>
      </c>
      <c r="G80" s="72">
        <f t="shared" si="11"/>
        <v>-14.7822</v>
      </c>
      <c r="H80" s="73">
        <f t="shared" si="12"/>
        <v>0.21779999999999999</v>
      </c>
    </row>
    <row r="81" spans="1:8" x14ac:dyDescent="0.25">
      <c r="A81" s="26">
        <v>-659</v>
      </c>
      <c r="B81" s="25">
        <v>7.3600000000000002E-3</v>
      </c>
      <c r="C81" s="68">
        <f t="shared" si="7"/>
        <v>29.779199999999999</v>
      </c>
      <c r="D81" s="69">
        <f t="shared" si="8"/>
        <v>14.779199999999999</v>
      </c>
      <c r="E81" s="70">
        <f t="shared" si="9"/>
        <v>-0.2208</v>
      </c>
      <c r="F81" s="71">
        <f t="shared" si="10"/>
        <v>-29.779199999999999</v>
      </c>
      <c r="G81" s="72">
        <f t="shared" si="11"/>
        <v>-14.779199999999999</v>
      </c>
      <c r="H81" s="73">
        <f t="shared" si="12"/>
        <v>0.2208</v>
      </c>
    </row>
    <row r="82" spans="1:8" x14ac:dyDescent="0.25">
      <c r="A82" s="26">
        <v>-658</v>
      </c>
      <c r="B82" s="25">
        <v>7.45E-3</v>
      </c>
      <c r="C82" s="68">
        <f t="shared" si="7"/>
        <v>29.776499999999999</v>
      </c>
      <c r="D82" s="69">
        <f t="shared" si="8"/>
        <v>14.7765</v>
      </c>
      <c r="E82" s="70">
        <f t="shared" si="9"/>
        <v>-0.2235</v>
      </c>
      <c r="F82" s="71">
        <f t="shared" si="10"/>
        <v>-29.776499999999999</v>
      </c>
      <c r="G82" s="72">
        <f t="shared" si="11"/>
        <v>-14.7765</v>
      </c>
      <c r="H82" s="73">
        <f t="shared" si="12"/>
        <v>0.2235</v>
      </c>
    </row>
    <row r="83" spans="1:8" x14ac:dyDescent="0.25">
      <c r="A83" s="26">
        <v>-657</v>
      </c>
      <c r="B83" s="25">
        <v>7.5500000000000003E-3</v>
      </c>
      <c r="C83" s="68">
        <f t="shared" si="7"/>
        <v>29.773499999999999</v>
      </c>
      <c r="D83" s="69">
        <f t="shared" si="8"/>
        <v>14.7735</v>
      </c>
      <c r="E83" s="70">
        <f t="shared" si="9"/>
        <v>-0.22650000000000001</v>
      </c>
      <c r="F83" s="71">
        <f t="shared" si="10"/>
        <v>-29.773499999999999</v>
      </c>
      <c r="G83" s="72">
        <f t="shared" si="11"/>
        <v>-14.7735</v>
      </c>
      <c r="H83" s="73">
        <f t="shared" si="12"/>
        <v>0.22650000000000001</v>
      </c>
    </row>
    <row r="84" spans="1:8" x14ac:dyDescent="0.25">
      <c r="A84" s="26">
        <v>-656</v>
      </c>
      <c r="B84" s="25">
        <v>7.6400000000000001E-3</v>
      </c>
      <c r="C84" s="68">
        <f t="shared" si="7"/>
        <v>29.770800000000001</v>
      </c>
      <c r="D84" s="69">
        <f t="shared" si="8"/>
        <v>14.770799999999999</v>
      </c>
      <c r="E84" s="70">
        <f t="shared" si="9"/>
        <v>-0.22920000000000001</v>
      </c>
      <c r="F84" s="71">
        <f t="shared" si="10"/>
        <v>-29.770800000000001</v>
      </c>
      <c r="G84" s="72">
        <f t="shared" si="11"/>
        <v>-14.770799999999999</v>
      </c>
      <c r="H84" s="73">
        <f t="shared" si="12"/>
        <v>0.22920000000000001</v>
      </c>
    </row>
    <row r="85" spans="1:8" x14ac:dyDescent="0.25">
      <c r="A85" s="26">
        <v>-655</v>
      </c>
      <c r="B85" s="25">
        <v>7.7400000000000004E-3</v>
      </c>
      <c r="C85" s="68">
        <f t="shared" si="7"/>
        <v>29.767800000000001</v>
      </c>
      <c r="D85" s="69">
        <f t="shared" si="8"/>
        <v>14.767799999999999</v>
      </c>
      <c r="E85" s="70">
        <f t="shared" si="9"/>
        <v>-0.23220000000000002</v>
      </c>
      <c r="F85" s="71">
        <f t="shared" si="10"/>
        <v>-29.767800000000001</v>
      </c>
      <c r="G85" s="72">
        <f t="shared" si="11"/>
        <v>-14.767799999999999</v>
      </c>
      <c r="H85" s="73">
        <f t="shared" si="12"/>
        <v>0.23220000000000002</v>
      </c>
    </row>
    <row r="86" spans="1:8" x14ac:dyDescent="0.25">
      <c r="A86" s="26">
        <v>-654</v>
      </c>
      <c r="B86" s="25">
        <v>7.8300000000000002E-3</v>
      </c>
      <c r="C86" s="68">
        <f t="shared" si="7"/>
        <v>29.7651</v>
      </c>
      <c r="D86" s="69">
        <f t="shared" si="8"/>
        <v>14.7651</v>
      </c>
      <c r="E86" s="70">
        <f t="shared" si="9"/>
        <v>-0.2349</v>
      </c>
      <c r="F86" s="71">
        <f t="shared" si="10"/>
        <v>-29.7651</v>
      </c>
      <c r="G86" s="72">
        <f t="shared" si="11"/>
        <v>-14.7651</v>
      </c>
      <c r="H86" s="73">
        <f t="shared" si="12"/>
        <v>0.2349</v>
      </c>
    </row>
    <row r="87" spans="1:8" x14ac:dyDescent="0.25">
      <c r="A87" s="26">
        <v>-653</v>
      </c>
      <c r="B87" s="25">
        <v>7.92E-3</v>
      </c>
      <c r="C87" s="68">
        <f t="shared" si="7"/>
        <v>29.7624</v>
      </c>
      <c r="D87" s="69">
        <f t="shared" si="8"/>
        <v>14.7624</v>
      </c>
      <c r="E87" s="70">
        <f t="shared" si="9"/>
        <v>-0.23760000000000001</v>
      </c>
      <c r="F87" s="71">
        <f t="shared" si="10"/>
        <v>-29.7624</v>
      </c>
      <c r="G87" s="72">
        <f t="shared" si="11"/>
        <v>-14.7624</v>
      </c>
      <c r="H87" s="73">
        <f t="shared" si="12"/>
        <v>0.23760000000000001</v>
      </c>
    </row>
    <row r="88" spans="1:8" x14ac:dyDescent="0.25">
      <c r="A88" s="26">
        <v>-652</v>
      </c>
      <c r="B88" s="25">
        <v>8.0199999999999994E-3</v>
      </c>
      <c r="C88" s="68">
        <f t="shared" si="7"/>
        <v>29.759399999999999</v>
      </c>
      <c r="D88" s="69">
        <f t="shared" si="8"/>
        <v>14.759399999999999</v>
      </c>
      <c r="E88" s="70">
        <f t="shared" si="9"/>
        <v>-0.24059999999999998</v>
      </c>
      <c r="F88" s="71">
        <f t="shared" si="10"/>
        <v>-29.759399999999999</v>
      </c>
      <c r="G88" s="72">
        <f t="shared" si="11"/>
        <v>-14.759399999999999</v>
      </c>
      <c r="H88" s="73">
        <f t="shared" si="12"/>
        <v>0.24059999999999998</v>
      </c>
    </row>
    <row r="89" spans="1:8" x14ac:dyDescent="0.25">
      <c r="A89" s="26">
        <v>-651</v>
      </c>
      <c r="B89" s="25">
        <v>8.1099999999999992E-3</v>
      </c>
      <c r="C89" s="68">
        <f t="shared" si="7"/>
        <v>29.756699999999999</v>
      </c>
      <c r="D89" s="69">
        <f t="shared" si="8"/>
        <v>14.7567</v>
      </c>
      <c r="E89" s="70">
        <f t="shared" si="9"/>
        <v>-0.24329999999999996</v>
      </c>
      <c r="F89" s="71">
        <f t="shared" si="10"/>
        <v>-29.756699999999999</v>
      </c>
      <c r="G89" s="72">
        <f t="shared" si="11"/>
        <v>-14.7567</v>
      </c>
      <c r="H89" s="73">
        <f t="shared" si="12"/>
        <v>0.24329999999999996</v>
      </c>
    </row>
    <row r="90" spans="1:8" x14ac:dyDescent="0.25">
      <c r="A90" s="26">
        <v>-650</v>
      </c>
      <c r="B90" s="25">
        <v>8.2100000000000003E-3</v>
      </c>
      <c r="C90" s="68">
        <f t="shared" si="7"/>
        <v>29.753699999999998</v>
      </c>
      <c r="D90" s="69">
        <f t="shared" si="8"/>
        <v>14.7537</v>
      </c>
      <c r="E90" s="70">
        <f t="shared" si="9"/>
        <v>-0.24630000000000002</v>
      </c>
      <c r="F90" s="71">
        <f t="shared" si="10"/>
        <v>-29.753699999999998</v>
      </c>
      <c r="G90" s="72">
        <f t="shared" si="11"/>
        <v>-14.7537</v>
      </c>
      <c r="H90" s="73">
        <f t="shared" si="12"/>
        <v>0.24630000000000002</v>
      </c>
    </row>
    <row r="91" spans="1:8" x14ac:dyDescent="0.25">
      <c r="A91" s="26">
        <v>-649</v>
      </c>
      <c r="B91" s="25">
        <v>8.3000000000000001E-3</v>
      </c>
      <c r="C91" s="68">
        <f t="shared" si="7"/>
        <v>29.751000000000001</v>
      </c>
      <c r="D91" s="69">
        <f t="shared" si="8"/>
        <v>14.750999999999999</v>
      </c>
      <c r="E91" s="70">
        <f t="shared" si="9"/>
        <v>-0.249</v>
      </c>
      <c r="F91" s="71">
        <f t="shared" si="10"/>
        <v>-29.751000000000001</v>
      </c>
      <c r="G91" s="72">
        <f t="shared" si="11"/>
        <v>-14.750999999999999</v>
      </c>
      <c r="H91" s="73">
        <f t="shared" si="12"/>
        <v>0.249</v>
      </c>
    </row>
    <row r="92" spans="1:8" x14ac:dyDescent="0.25">
      <c r="A92" s="26">
        <v>-648</v>
      </c>
      <c r="B92" s="25">
        <v>8.3999999999999995E-3</v>
      </c>
      <c r="C92" s="68">
        <f t="shared" si="7"/>
        <v>29.748000000000001</v>
      </c>
      <c r="D92" s="69">
        <f t="shared" si="8"/>
        <v>14.747999999999999</v>
      </c>
      <c r="E92" s="70">
        <f t="shared" si="9"/>
        <v>-0.252</v>
      </c>
      <c r="F92" s="71">
        <f t="shared" si="10"/>
        <v>-29.748000000000001</v>
      </c>
      <c r="G92" s="72">
        <f t="shared" si="11"/>
        <v>-14.747999999999999</v>
      </c>
      <c r="H92" s="73">
        <f t="shared" si="12"/>
        <v>0.252</v>
      </c>
    </row>
    <row r="93" spans="1:8" x14ac:dyDescent="0.25">
      <c r="A93" s="26">
        <v>-647</v>
      </c>
      <c r="B93" s="25">
        <v>8.4899999999999993E-3</v>
      </c>
      <c r="C93" s="68">
        <f t="shared" si="7"/>
        <v>29.7453</v>
      </c>
      <c r="D93" s="69">
        <f t="shared" si="8"/>
        <v>14.7453</v>
      </c>
      <c r="E93" s="70">
        <f t="shared" si="9"/>
        <v>-0.25469999999999998</v>
      </c>
      <c r="F93" s="71">
        <f t="shared" si="10"/>
        <v>-29.7453</v>
      </c>
      <c r="G93" s="72">
        <f t="shared" si="11"/>
        <v>-14.7453</v>
      </c>
      <c r="H93" s="73">
        <f t="shared" si="12"/>
        <v>0.25469999999999998</v>
      </c>
    </row>
    <row r="94" spans="1:8" x14ac:dyDescent="0.25">
      <c r="A94" s="26">
        <v>-646</v>
      </c>
      <c r="B94" s="25">
        <v>8.5800000000000008E-3</v>
      </c>
      <c r="C94" s="68">
        <f t="shared" si="7"/>
        <v>29.742599999999999</v>
      </c>
      <c r="D94" s="69">
        <f t="shared" si="8"/>
        <v>14.742599999999999</v>
      </c>
      <c r="E94" s="70">
        <f t="shared" si="9"/>
        <v>-0.25740000000000002</v>
      </c>
      <c r="F94" s="71">
        <f t="shared" si="10"/>
        <v>-29.742599999999999</v>
      </c>
      <c r="G94" s="72">
        <f t="shared" si="11"/>
        <v>-14.742599999999999</v>
      </c>
      <c r="H94" s="73">
        <f t="shared" si="12"/>
        <v>0.25740000000000002</v>
      </c>
    </row>
    <row r="95" spans="1:8" x14ac:dyDescent="0.25">
      <c r="A95" s="26">
        <v>-645</v>
      </c>
      <c r="B95" s="25">
        <v>8.6800000000000002E-3</v>
      </c>
      <c r="C95" s="68">
        <f t="shared" si="7"/>
        <v>29.739599999999999</v>
      </c>
      <c r="D95" s="69">
        <f t="shared" si="8"/>
        <v>14.739599999999999</v>
      </c>
      <c r="E95" s="70">
        <f t="shared" si="9"/>
        <v>-0.26040000000000002</v>
      </c>
      <c r="F95" s="71">
        <f t="shared" si="10"/>
        <v>-29.739599999999999</v>
      </c>
      <c r="G95" s="72">
        <f t="shared" si="11"/>
        <v>-14.739599999999999</v>
      </c>
      <c r="H95" s="73">
        <f t="shared" si="12"/>
        <v>0.26040000000000002</v>
      </c>
    </row>
    <row r="96" spans="1:8" x14ac:dyDescent="0.25">
      <c r="A96" s="26">
        <v>-644</v>
      </c>
      <c r="B96" s="25">
        <v>8.77E-3</v>
      </c>
      <c r="C96" s="68">
        <f t="shared" si="7"/>
        <v>29.736899999999999</v>
      </c>
      <c r="D96" s="69">
        <f t="shared" si="8"/>
        <v>14.7369</v>
      </c>
      <c r="E96" s="70">
        <f t="shared" si="9"/>
        <v>-0.2631</v>
      </c>
      <c r="F96" s="71">
        <f t="shared" si="10"/>
        <v>-29.736899999999999</v>
      </c>
      <c r="G96" s="72">
        <f t="shared" si="11"/>
        <v>-14.7369</v>
      </c>
      <c r="H96" s="73">
        <f t="shared" si="12"/>
        <v>0.2631</v>
      </c>
    </row>
    <row r="97" spans="1:8" x14ac:dyDescent="0.25">
      <c r="A97" s="26">
        <v>-643</v>
      </c>
      <c r="B97" s="25">
        <v>8.8699999999999994E-3</v>
      </c>
      <c r="C97" s="68">
        <f t="shared" si="7"/>
        <v>29.733899999999998</v>
      </c>
      <c r="D97" s="69">
        <f t="shared" si="8"/>
        <v>14.7339</v>
      </c>
      <c r="E97" s="70">
        <f t="shared" si="9"/>
        <v>-0.2661</v>
      </c>
      <c r="F97" s="71">
        <f t="shared" si="10"/>
        <v>-29.733899999999998</v>
      </c>
      <c r="G97" s="72">
        <f t="shared" si="11"/>
        <v>-14.7339</v>
      </c>
      <c r="H97" s="73">
        <f t="shared" si="12"/>
        <v>0.2661</v>
      </c>
    </row>
    <row r="98" spans="1:8" x14ac:dyDescent="0.25">
      <c r="A98" s="26">
        <v>-642</v>
      </c>
      <c r="B98" s="25">
        <v>8.9599999999999992E-3</v>
      </c>
      <c r="C98" s="68">
        <f t="shared" si="7"/>
        <v>29.731200000000001</v>
      </c>
      <c r="D98" s="69">
        <f t="shared" si="8"/>
        <v>14.731199999999999</v>
      </c>
      <c r="E98" s="70">
        <f t="shared" si="9"/>
        <v>-0.26879999999999998</v>
      </c>
      <c r="F98" s="71">
        <f t="shared" si="10"/>
        <v>-29.731200000000001</v>
      </c>
      <c r="G98" s="72">
        <f t="shared" si="11"/>
        <v>-14.731199999999999</v>
      </c>
      <c r="H98" s="73">
        <f t="shared" si="12"/>
        <v>0.26879999999999998</v>
      </c>
    </row>
    <row r="99" spans="1:8" x14ac:dyDescent="0.25">
      <c r="A99" s="26">
        <v>-641</v>
      </c>
      <c r="B99" s="25">
        <v>9.0600000000000003E-3</v>
      </c>
      <c r="C99" s="68">
        <f t="shared" si="7"/>
        <v>29.728200000000001</v>
      </c>
      <c r="D99" s="69">
        <f t="shared" si="8"/>
        <v>14.728199999999999</v>
      </c>
      <c r="E99" s="70">
        <f t="shared" si="9"/>
        <v>-0.27179999999999999</v>
      </c>
      <c r="F99" s="71">
        <f t="shared" si="10"/>
        <v>-29.728200000000001</v>
      </c>
      <c r="G99" s="72">
        <f t="shared" si="11"/>
        <v>-14.728199999999999</v>
      </c>
      <c r="H99" s="73">
        <f t="shared" si="12"/>
        <v>0.27179999999999999</v>
      </c>
    </row>
    <row r="100" spans="1:8" x14ac:dyDescent="0.25">
      <c r="A100" s="26">
        <v>-640</v>
      </c>
      <c r="B100" s="25">
        <v>9.1500000000000001E-3</v>
      </c>
      <c r="C100" s="68">
        <f t="shared" si="7"/>
        <v>29.7255</v>
      </c>
      <c r="D100" s="69">
        <f t="shared" si="8"/>
        <v>14.7255</v>
      </c>
      <c r="E100" s="70">
        <f t="shared" si="9"/>
        <v>-0.27450000000000002</v>
      </c>
      <c r="F100" s="71">
        <f t="shared" si="10"/>
        <v>-29.7255</v>
      </c>
      <c r="G100" s="72">
        <f t="shared" si="11"/>
        <v>-14.7255</v>
      </c>
      <c r="H100" s="73">
        <f t="shared" si="12"/>
        <v>0.27450000000000002</v>
      </c>
    </row>
    <row r="101" spans="1:8" x14ac:dyDescent="0.25">
      <c r="A101" s="26">
        <v>-639</v>
      </c>
      <c r="B101" s="25">
        <v>9.2499999999999995E-3</v>
      </c>
      <c r="C101" s="68">
        <f t="shared" si="7"/>
        <v>29.7225</v>
      </c>
      <c r="D101" s="69">
        <f t="shared" si="8"/>
        <v>14.7225</v>
      </c>
      <c r="E101" s="70">
        <f t="shared" si="9"/>
        <v>-0.27749999999999997</v>
      </c>
      <c r="F101" s="71">
        <f t="shared" si="10"/>
        <v>-29.7225</v>
      </c>
      <c r="G101" s="72">
        <f t="shared" si="11"/>
        <v>-14.7225</v>
      </c>
      <c r="H101" s="73">
        <f t="shared" si="12"/>
        <v>0.27749999999999997</v>
      </c>
    </row>
    <row r="102" spans="1:8" x14ac:dyDescent="0.25">
      <c r="A102" s="26">
        <v>-638</v>
      </c>
      <c r="B102" s="25">
        <v>9.3399999999999993E-3</v>
      </c>
      <c r="C102" s="68">
        <f t="shared" si="7"/>
        <v>29.719799999999999</v>
      </c>
      <c r="D102" s="69">
        <f t="shared" si="8"/>
        <v>14.719799999999999</v>
      </c>
      <c r="E102" s="70">
        <f t="shared" si="9"/>
        <v>-0.2802</v>
      </c>
      <c r="F102" s="71">
        <f t="shared" si="10"/>
        <v>-29.719799999999999</v>
      </c>
      <c r="G102" s="72">
        <f t="shared" si="11"/>
        <v>-14.719799999999999</v>
      </c>
      <c r="H102" s="73">
        <f t="shared" si="12"/>
        <v>0.2802</v>
      </c>
    </row>
    <row r="103" spans="1:8" x14ac:dyDescent="0.25">
      <c r="A103" s="26">
        <v>-637</v>
      </c>
      <c r="B103" s="25">
        <v>9.4299999999999991E-3</v>
      </c>
      <c r="C103" s="68">
        <f t="shared" si="7"/>
        <v>29.717099999999999</v>
      </c>
      <c r="D103" s="69">
        <f t="shared" si="8"/>
        <v>14.7171</v>
      </c>
      <c r="E103" s="70">
        <f t="shared" si="9"/>
        <v>-0.28289999999999998</v>
      </c>
      <c r="F103" s="71">
        <f t="shared" si="10"/>
        <v>-29.717099999999999</v>
      </c>
      <c r="G103" s="72">
        <f t="shared" si="11"/>
        <v>-14.7171</v>
      </c>
      <c r="H103" s="73">
        <f t="shared" si="12"/>
        <v>0.28289999999999998</v>
      </c>
    </row>
    <row r="104" spans="1:8" x14ac:dyDescent="0.25">
      <c r="A104" s="26">
        <v>-636</v>
      </c>
      <c r="B104" s="25">
        <v>9.5300000000000003E-3</v>
      </c>
      <c r="C104" s="68">
        <f t="shared" si="7"/>
        <v>29.714099999999998</v>
      </c>
      <c r="D104" s="69">
        <f t="shared" si="8"/>
        <v>14.7141</v>
      </c>
      <c r="E104" s="70">
        <f t="shared" si="9"/>
        <v>-0.28589999999999999</v>
      </c>
      <c r="F104" s="71">
        <f t="shared" si="10"/>
        <v>-29.714099999999998</v>
      </c>
      <c r="G104" s="72">
        <f t="shared" si="11"/>
        <v>-14.7141</v>
      </c>
      <c r="H104" s="73">
        <f t="shared" si="12"/>
        <v>0.28589999999999999</v>
      </c>
    </row>
    <row r="105" spans="1:8" x14ac:dyDescent="0.25">
      <c r="A105" s="26">
        <v>-635</v>
      </c>
      <c r="B105" s="25">
        <v>9.6200000000000001E-3</v>
      </c>
      <c r="C105" s="68">
        <f t="shared" si="7"/>
        <v>29.711400000000001</v>
      </c>
      <c r="D105" s="69">
        <f t="shared" si="8"/>
        <v>14.711399999999999</v>
      </c>
      <c r="E105" s="70">
        <f t="shared" si="9"/>
        <v>-0.28860000000000002</v>
      </c>
      <c r="F105" s="71">
        <f t="shared" si="10"/>
        <v>-29.711400000000001</v>
      </c>
      <c r="G105" s="72">
        <f t="shared" si="11"/>
        <v>-14.711399999999999</v>
      </c>
      <c r="H105" s="73">
        <f t="shared" si="12"/>
        <v>0.28860000000000002</v>
      </c>
    </row>
    <row r="106" spans="1:8" x14ac:dyDescent="0.25">
      <c r="A106" s="26">
        <v>-634</v>
      </c>
      <c r="B106" s="25">
        <v>9.7199999999999995E-3</v>
      </c>
      <c r="C106" s="68">
        <f t="shared" si="7"/>
        <v>29.708400000000001</v>
      </c>
      <c r="D106" s="69">
        <f t="shared" si="8"/>
        <v>14.708399999999999</v>
      </c>
      <c r="E106" s="70">
        <f t="shared" si="9"/>
        <v>-0.29159999999999997</v>
      </c>
      <c r="F106" s="71">
        <f t="shared" si="10"/>
        <v>-29.708400000000001</v>
      </c>
      <c r="G106" s="72">
        <f t="shared" si="11"/>
        <v>-14.708399999999999</v>
      </c>
      <c r="H106" s="73">
        <f t="shared" si="12"/>
        <v>0.29159999999999997</v>
      </c>
    </row>
    <row r="107" spans="1:8" x14ac:dyDescent="0.25">
      <c r="A107" s="26">
        <v>-633</v>
      </c>
      <c r="B107" s="25">
        <v>9.8099999999999993E-3</v>
      </c>
      <c r="C107" s="68">
        <f t="shared" si="7"/>
        <v>29.7057</v>
      </c>
      <c r="D107" s="69">
        <f t="shared" si="8"/>
        <v>14.7057</v>
      </c>
      <c r="E107" s="70">
        <f t="shared" si="9"/>
        <v>-0.29430000000000001</v>
      </c>
      <c r="F107" s="71">
        <f t="shared" si="10"/>
        <v>-29.7057</v>
      </c>
      <c r="G107" s="72">
        <f t="shared" si="11"/>
        <v>-14.7057</v>
      </c>
      <c r="H107" s="73">
        <f t="shared" si="12"/>
        <v>0.29430000000000001</v>
      </c>
    </row>
    <row r="108" spans="1:8" x14ac:dyDescent="0.25">
      <c r="A108" s="26">
        <v>-632</v>
      </c>
      <c r="B108" s="25">
        <v>9.9100000000000004E-3</v>
      </c>
      <c r="C108" s="68">
        <f t="shared" si="7"/>
        <v>29.7027</v>
      </c>
      <c r="D108" s="69">
        <f t="shared" si="8"/>
        <v>14.7027</v>
      </c>
      <c r="E108" s="70">
        <f t="shared" si="9"/>
        <v>-0.29730000000000001</v>
      </c>
      <c r="F108" s="71">
        <f t="shared" si="10"/>
        <v>-29.7027</v>
      </c>
      <c r="G108" s="72">
        <f t="shared" si="11"/>
        <v>-14.7027</v>
      </c>
      <c r="H108" s="73">
        <f t="shared" si="12"/>
        <v>0.29730000000000001</v>
      </c>
    </row>
    <row r="109" spans="1:8" x14ac:dyDescent="0.25">
      <c r="A109" s="26">
        <v>-631</v>
      </c>
      <c r="B109" s="25">
        <v>0.01</v>
      </c>
      <c r="C109" s="68">
        <f t="shared" si="7"/>
        <v>29.7</v>
      </c>
      <c r="D109" s="69">
        <f t="shared" si="8"/>
        <v>14.7</v>
      </c>
      <c r="E109" s="70">
        <f t="shared" si="9"/>
        <v>-0.3</v>
      </c>
      <c r="F109" s="71">
        <f t="shared" si="10"/>
        <v>-29.7</v>
      </c>
      <c r="G109" s="72">
        <f t="shared" si="11"/>
        <v>-14.7</v>
      </c>
      <c r="H109" s="73">
        <f t="shared" si="12"/>
        <v>0.3</v>
      </c>
    </row>
    <row r="110" spans="1:8" x14ac:dyDescent="0.25">
      <c r="A110" s="26">
        <v>-630</v>
      </c>
      <c r="B110" s="25">
        <v>1.014E-2</v>
      </c>
      <c r="C110" s="68">
        <f t="shared" si="7"/>
        <v>29.695799999999998</v>
      </c>
      <c r="D110" s="69">
        <f t="shared" si="8"/>
        <v>14.6958</v>
      </c>
      <c r="E110" s="70">
        <f t="shared" si="9"/>
        <v>-0.30419999999999997</v>
      </c>
      <c r="F110" s="71">
        <f t="shared" si="10"/>
        <v>-29.695799999999998</v>
      </c>
      <c r="G110" s="72">
        <f t="shared" si="11"/>
        <v>-14.6958</v>
      </c>
      <c r="H110" s="73">
        <f t="shared" si="12"/>
        <v>0.30419999999999997</v>
      </c>
    </row>
    <row r="111" spans="1:8" x14ac:dyDescent="0.25">
      <c r="A111" s="26">
        <v>-629</v>
      </c>
      <c r="B111" s="25">
        <v>1.0290000000000001E-2</v>
      </c>
      <c r="C111" s="68">
        <f t="shared" si="7"/>
        <v>29.691299999999998</v>
      </c>
      <c r="D111" s="69">
        <f t="shared" si="8"/>
        <v>14.6913</v>
      </c>
      <c r="E111" s="70">
        <f t="shared" si="9"/>
        <v>-0.30870000000000003</v>
      </c>
      <c r="F111" s="71">
        <f t="shared" si="10"/>
        <v>-29.691299999999998</v>
      </c>
      <c r="G111" s="72">
        <f t="shared" si="11"/>
        <v>-14.6913</v>
      </c>
      <c r="H111" s="73">
        <f t="shared" si="12"/>
        <v>0.30870000000000003</v>
      </c>
    </row>
    <row r="112" spans="1:8" x14ac:dyDescent="0.25">
      <c r="A112" s="26">
        <v>-628</v>
      </c>
      <c r="B112" s="25">
        <v>1.043E-2</v>
      </c>
      <c r="C112" s="68">
        <f t="shared" si="7"/>
        <v>29.687100000000001</v>
      </c>
      <c r="D112" s="69">
        <f t="shared" si="8"/>
        <v>14.687099999999999</v>
      </c>
      <c r="E112" s="70">
        <f t="shared" si="9"/>
        <v>-0.31290000000000001</v>
      </c>
      <c r="F112" s="71">
        <f t="shared" si="10"/>
        <v>-29.687100000000001</v>
      </c>
      <c r="G112" s="72">
        <f t="shared" si="11"/>
        <v>-14.687099999999999</v>
      </c>
      <c r="H112" s="73">
        <f t="shared" si="12"/>
        <v>0.31290000000000001</v>
      </c>
    </row>
    <row r="113" spans="1:8" x14ac:dyDescent="0.25">
      <c r="A113" s="26">
        <v>-627</v>
      </c>
      <c r="B113" s="25">
        <v>1.057E-2</v>
      </c>
      <c r="C113" s="68">
        <f t="shared" si="7"/>
        <v>29.6829</v>
      </c>
      <c r="D113" s="69">
        <f t="shared" si="8"/>
        <v>14.6829</v>
      </c>
      <c r="E113" s="70">
        <f t="shared" si="9"/>
        <v>-0.31709999999999999</v>
      </c>
      <c r="F113" s="71">
        <f t="shared" si="10"/>
        <v>-29.6829</v>
      </c>
      <c r="G113" s="72">
        <f t="shared" si="11"/>
        <v>-14.6829</v>
      </c>
      <c r="H113" s="73">
        <f t="shared" si="12"/>
        <v>0.31709999999999999</v>
      </c>
    </row>
    <row r="114" spans="1:8" x14ac:dyDescent="0.25">
      <c r="A114" s="26">
        <v>-626</v>
      </c>
      <c r="B114" s="25">
        <v>1.0710000000000001E-2</v>
      </c>
      <c r="C114" s="68">
        <f t="shared" si="7"/>
        <v>29.678699999999999</v>
      </c>
      <c r="D114" s="69">
        <f t="shared" si="8"/>
        <v>14.678699999999999</v>
      </c>
      <c r="E114" s="70">
        <f t="shared" si="9"/>
        <v>-0.32130000000000003</v>
      </c>
      <c r="F114" s="71">
        <f t="shared" si="10"/>
        <v>-29.678699999999999</v>
      </c>
      <c r="G114" s="72">
        <f t="shared" si="11"/>
        <v>-14.678699999999999</v>
      </c>
      <c r="H114" s="73">
        <f t="shared" si="12"/>
        <v>0.32130000000000003</v>
      </c>
    </row>
    <row r="115" spans="1:8" x14ac:dyDescent="0.25">
      <c r="A115" s="26">
        <v>-625</v>
      </c>
      <c r="B115" s="25">
        <v>1.086E-2</v>
      </c>
      <c r="C115" s="68">
        <f t="shared" si="7"/>
        <v>29.674199999999999</v>
      </c>
      <c r="D115" s="69">
        <f t="shared" si="8"/>
        <v>14.674200000000001</v>
      </c>
      <c r="E115" s="70">
        <f t="shared" si="9"/>
        <v>-0.32579999999999998</v>
      </c>
      <c r="F115" s="71">
        <f t="shared" si="10"/>
        <v>-29.674199999999999</v>
      </c>
      <c r="G115" s="72">
        <f t="shared" si="11"/>
        <v>-14.674200000000001</v>
      </c>
      <c r="H115" s="73">
        <f t="shared" si="12"/>
        <v>0.32579999999999998</v>
      </c>
    </row>
    <row r="116" spans="1:8" x14ac:dyDescent="0.25">
      <c r="A116" s="26">
        <v>-624</v>
      </c>
      <c r="B116" s="25">
        <v>1.0999999999999999E-2</v>
      </c>
      <c r="C116" s="68">
        <f t="shared" si="7"/>
        <v>29.67</v>
      </c>
      <c r="D116" s="69">
        <f t="shared" si="8"/>
        <v>14.67</v>
      </c>
      <c r="E116" s="70">
        <f t="shared" si="9"/>
        <v>-0.32999999999999996</v>
      </c>
      <c r="F116" s="71">
        <f t="shared" si="10"/>
        <v>-29.67</v>
      </c>
      <c r="G116" s="72">
        <f t="shared" si="11"/>
        <v>-14.67</v>
      </c>
      <c r="H116" s="73">
        <f t="shared" si="12"/>
        <v>0.32999999999999996</v>
      </c>
    </row>
    <row r="117" spans="1:8" x14ac:dyDescent="0.25">
      <c r="A117" s="26">
        <v>-623</v>
      </c>
      <c r="B117" s="25">
        <v>1.1140000000000001E-2</v>
      </c>
      <c r="C117" s="68">
        <f t="shared" si="7"/>
        <v>29.665800000000001</v>
      </c>
      <c r="D117" s="69">
        <f t="shared" si="8"/>
        <v>14.665800000000001</v>
      </c>
      <c r="E117" s="70">
        <f t="shared" si="9"/>
        <v>-0.3342</v>
      </c>
      <c r="F117" s="71">
        <f t="shared" si="10"/>
        <v>-29.665800000000001</v>
      </c>
      <c r="G117" s="72">
        <f t="shared" si="11"/>
        <v>-14.665800000000001</v>
      </c>
      <c r="H117" s="73">
        <f t="shared" si="12"/>
        <v>0.3342</v>
      </c>
    </row>
    <row r="118" spans="1:8" x14ac:dyDescent="0.25">
      <c r="A118" s="26">
        <v>-622</v>
      </c>
      <c r="B118" s="25">
        <v>1.129E-2</v>
      </c>
      <c r="C118" s="68">
        <f t="shared" si="7"/>
        <v>29.661300000000001</v>
      </c>
      <c r="D118" s="69">
        <f t="shared" si="8"/>
        <v>14.661300000000001</v>
      </c>
      <c r="E118" s="70">
        <f t="shared" si="9"/>
        <v>-0.3387</v>
      </c>
      <c r="F118" s="71">
        <f t="shared" si="10"/>
        <v>-29.661300000000001</v>
      </c>
      <c r="G118" s="72">
        <f t="shared" si="11"/>
        <v>-14.661300000000001</v>
      </c>
      <c r="H118" s="73">
        <f t="shared" si="12"/>
        <v>0.3387</v>
      </c>
    </row>
    <row r="119" spans="1:8" x14ac:dyDescent="0.25">
      <c r="A119" s="26">
        <v>-621</v>
      </c>
      <c r="B119" s="25">
        <v>1.1429999999999999E-2</v>
      </c>
      <c r="C119" s="68">
        <f t="shared" si="7"/>
        <v>29.6571</v>
      </c>
      <c r="D119" s="69">
        <f t="shared" si="8"/>
        <v>14.6571</v>
      </c>
      <c r="E119" s="70">
        <f t="shared" si="9"/>
        <v>-0.34289999999999998</v>
      </c>
      <c r="F119" s="71">
        <f t="shared" si="10"/>
        <v>-29.6571</v>
      </c>
      <c r="G119" s="72">
        <f t="shared" si="11"/>
        <v>-14.6571</v>
      </c>
      <c r="H119" s="73">
        <f t="shared" si="12"/>
        <v>0.34289999999999998</v>
      </c>
    </row>
    <row r="120" spans="1:8" x14ac:dyDescent="0.25">
      <c r="A120" s="26">
        <v>-620</v>
      </c>
      <c r="B120" s="25">
        <v>1.157E-2</v>
      </c>
      <c r="C120" s="68">
        <f t="shared" si="7"/>
        <v>29.652899999999999</v>
      </c>
      <c r="D120" s="69">
        <f t="shared" si="8"/>
        <v>14.652900000000001</v>
      </c>
      <c r="E120" s="70">
        <f t="shared" si="9"/>
        <v>-0.34710000000000002</v>
      </c>
      <c r="F120" s="71">
        <f t="shared" si="10"/>
        <v>-29.652899999999999</v>
      </c>
      <c r="G120" s="72">
        <f t="shared" si="11"/>
        <v>-14.652900000000001</v>
      </c>
      <c r="H120" s="73">
        <f t="shared" si="12"/>
        <v>0.34710000000000002</v>
      </c>
    </row>
    <row r="121" spans="1:8" x14ac:dyDescent="0.25">
      <c r="A121" s="26">
        <v>-619</v>
      </c>
      <c r="B121" s="25">
        <v>1.171E-2</v>
      </c>
      <c r="C121" s="68">
        <f t="shared" si="7"/>
        <v>29.648700000000002</v>
      </c>
      <c r="D121" s="69">
        <f t="shared" si="8"/>
        <v>14.6487</v>
      </c>
      <c r="E121" s="70">
        <f t="shared" si="9"/>
        <v>-0.3513</v>
      </c>
      <c r="F121" s="71">
        <f t="shared" si="10"/>
        <v>-29.648700000000002</v>
      </c>
      <c r="G121" s="72">
        <f t="shared" si="11"/>
        <v>-14.6487</v>
      </c>
      <c r="H121" s="73">
        <f t="shared" si="12"/>
        <v>0.3513</v>
      </c>
    </row>
    <row r="122" spans="1:8" x14ac:dyDescent="0.25">
      <c r="A122" s="26">
        <v>-618</v>
      </c>
      <c r="B122" s="25">
        <v>1.1860000000000001E-2</v>
      </c>
      <c r="C122" s="68">
        <f t="shared" si="7"/>
        <v>29.644200000000001</v>
      </c>
      <c r="D122" s="69">
        <f t="shared" si="8"/>
        <v>14.6442</v>
      </c>
      <c r="E122" s="70">
        <f t="shared" si="9"/>
        <v>-0.35580000000000001</v>
      </c>
      <c r="F122" s="71">
        <f t="shared" si="10"/>
        <v>-29.644200000000001</v>
      </c>
      <c r="G122" s="72">
        <f t="shared" si="11"/>
        <v>-14.6442</v>
      </c>
      <c r="H122" s="73">
        <f t="shared" si="12"/>
        <v>0.35580000000000001</v>
      </c>
    </row>
    <row r="123" spans="1:8" x14ac:dyDescent="0.25">
      <c r="A123" s="26">
        <v>-617</v>
      </c>
      <c r="B123" s="25">
        <v>1.2E-2</v>
      </c>
      <c r="C123" s="68">
        <f t="shared" si="7"/>
        <v>29.64</v>
      </c>
      <c r="D123" s="69">
        <f t="shared" si="8"/>
        <v>14.64</v>
      </c>
      <c r="E123" s="70">
        <f t="shared" si="9"/>
        <v>-0.36</v>
      </c>
      <c r="F123" s="71">
        <f t="shared" si="10"/>
        <v>-29.64</v>
      </c>
      <c r="G123" s="72">
        <f t="shared" si="11"/>
        <v>-14.64</v>
      </c>
      <c r="H123" s="73">
        <f t="shared" si="12"/>
        <v>0.36</v>
      </c>
    </row>
    <row r="124" spans="1:8" x14ac:dyDescent="0.25">
      <c r="A124" s="26">
        <v>-616</v>
      </c>
      <c r="B124" s="25">
        <v>1.214E-2</v>
      </c>
      <c r="C124" s="68">
        <f t="shared" si="7"/>
        <v>29.6358</v>
      </c>
      <c r="D124" s="69">
        <f t="shared" si="8"/>
        <v>14.6358</v>
      </c>
      <c r="E124" s="70">
        <f t="shared" si="9"/>
        <v>-0.36419999999999997</v>
      </c>
      <c r="F124" s="71">
        <f t="shared" si="10"/>
        <v>-29.6358</v>
      </c>
      <c r="G124" s="72">
        <f t="shared" si="11"/>
        <v>-14.6358</v>
      </c>
      <c r="H124" s="73">
        <f t="shared" si="12"/>
        <v>0.36419999999999997</v>
      </c>
    </row>
    <row r="125" spans="1:8" x14ac:dyDescent="0.25">
      <c r="A125" s="26">
        <v>-615</v>
      </c>
      <c r="B125" s="25">
        <v>1.2290000000000001E-2</v>
      </c>
      <c r="C125" s="68">
        <f t="shared" si="7"/>
        <v>29.6313</v>
      </c>
      <c r="D125" s="69">
        <f t="shared" si="8"/>
        <v>14.6313</v>
      </c>
      <c r="E125" s="70">
        <f t="shared" si="9"/>
        <v>-0.36870000000000003</v>
      </c>
      <c r="F125" s="71">
        <f t="shared" si="10"/>
        <v>-29.6313</v>
      </c>
      <c r="G125" s="72">
        <f t="shared" si="11"/>
        <v>-14.6313</v>
      </c>
      <c r="H125" s="73">
        <f t="shared" si="12"/>
        <v>0.36870000000000003</v>
      </c>
    </row>
    <row r="126" spans="1:8" x14ac:dyDescent="0.25">
      <c r="A126" s="26">
        <v>-614</v>
      </c>
      <c r="B126" s="25">
        <v>1.243E-2</v>
      </c>
      <c r="C126" s="68">
        <f t="shared" si="7"/>
        <v>29.627099999999999</v>
      </c>
      <c r="D126" s="69">
        <f t="shared" si="8"/>
        <v>14.6271</v>
      </c>
      <c r="E126" s="70">
        <f t="shared" si="9"/>
        <v>-0.37290000000000001</v>
      </c>
      <c r="F126" s="71">
        <f t="shared" si="10"/>
        <v>-29.627099999999999</v>
      </c>
      <c r="G126" s="72">
        <f t="shared" si="11"/>
        <v>-14.6271</v>
      </c>
      <c r="H126" s="73">
        <f t="shared" si="12"/>
        <v>0.37290000000000001</v>
      </c>
    </row>
    <row r="127" spans="1:8" x14ac:dyDescent="0.25">
      <c r="A127" s="26">
        <v>-613</v>
      </c>
      <c r="B127" s="25">
        <v>1.257E-2</v>
      </c>
      <c r="C127" s="68">
        <f t="shared" si="7"/>
        <v>29.622900000000001</v>
      </c>
      <c r="D127" s="69">
        <f t="shared" si="8"/>
        <v>14.6229</v>
      </c>
      <c r="E127" s="70">
        <f t="shared" si="9"/>
        <v>-0.37709999999999999</v>
      </c>
      <c r="F127" s="71">
        <f t="shared" si="10"/>
        <v>-29.622900000000001</v>
      </c>
      <c r="G127" s="72">
        <f t="shared" si="11"/>
        <v>-14.6229</v>
      </c>
      <c r="H127" s="73">
        <f t="shared" si="12"/>
        <v>0.37709999999999999</v>
      </c>
    </row>
    <row r="128" spans="1:8" x14ac:dyDescent="0.25">
      <c r="A128" s="26">
        <v>-612</v>
      </c>
      <c r="B128" s="25">
        <v>1.2710000000000001E-2</v>
      </c>
      <c r="C128" s="68">
        <f t="shared" si="7"/>
        <v>29.6187</v>
      </c>
      <c r="D128" s="69">
        <f t="shared" si="8"/>
        <v>14.6187</v>
      </c>
      <c r="E128" s="70">
        <f t="shared" si="9"/>
        <v>-0.38130000000000003</v>
      </c>
      <c r="F128" s="71">
        <f t="shared" si="10"/>
        <v>-29.6187</v>
      </c>
      <c r="G128" s="72">
        <f t="shared" si="11"/>
        <v>-14.6187</v>
      </c>
      <c r="H128" s="73">
        <f t="shared" si="12"/>
        <v>0.38130000000000003</v>
      </c>
    </row>
    <row r="129" spans="1:8" x14ac:dyDescent="0.25">
      <c r="A129" s="26">
        <v>-611</v>
      </c>
      <c r="B129" s="25">
        <v>1.286E-2</v>
      </c>
      <c r="C129" s="68">
        <f t="shared" si="7"/>
        <v>29.6142</v>
      </c>
      <c r="D129" s="69">
        <f t="shared" si="8"/>
        <v>14.6142</v>
      </c>
      <c r="E129" s="70">
        <f t="shared" si="9"/>
        <v>-0.38579999999999998</v>
      </c>
      <c r="F129" s="71">
        <f t="shared" si="10"/>
        <v>-29.6142</v>
      </c>
      <c r="G129" s="72">
        <f t="shared" si="11"/>
        <v>-14.6142</v>
      </c>
      <c r="H129" s="73">
        <f t="shared" si="12"/>
        <v>0.38579999999999998</v>
      </c>
    </row>
    <row r="130" spans="1:8" x14ac:dyDescent="0.25">
      <c r="A130" s="26">
        <v>-610</v>
      </c>
      <c r="B130" s="25">
        <v>1.2999999999999999E-2</v>
      </c>
      <c r="C130" s="68">
        <f t="shared" si="7"/>
        <v>29.61</v>
      </c>
      <c r="D130" s="69">
        <f t="shared" si="8"/>
        <v>14.61</v>
      </c>
      <c r="E130" s="70">
        <f t="shared" si="9"/>
        <v>-0.38999999999999996</v>
      </c>
      <c r="F130" s="71">
        <f t="shared" si="10"/>
        <v>-29.61</v>
      </c>
      <c r="G130" s="72">
        <f t="shared" si="11"/>
        <v>-14.61</v>
      </c>
      <c r="H130" s="73">
        <f t="shared" si="12"/>
        <v>0.38999999999999996</v>
      </c>
    </row>
    <row r="131" spans="1:8" x14ac:dyDescent="0.25">
      <c r="A131" s="26">
        <v>-609</v>
      </c>
      <c r="B131" s="25">
        <v>1.3140000000000001E-2</v>
      </c>
      <c r="C131" s="68">
        <f t="shared" si="7"/>
        <v>29.605799999999999</v>
      </c>
      <c r="D131" s="69">
        <f t="shared" si="8"/>
        <v>14.6058</v>
      </c>
      <c r="E131" s="70">
        <f t="shared" si="9"/>
        <v>-0.39419999999999999</v>
      </c>
      <c r="F131" s="71">
        <f t="shared" si="10"/>
        <v>-29.605799999999999</v>
      </c>
      <c r="G131" s="72">
        <f t="shared" si="11"/>
        <v>-14.6058</v>
      </c>
      <c r="H131" s="73">
        <f t="shared" si="12"/>
        <v>0.39419999999999999</v>
      </c>
    </row>
    <row r="132" spans="1:8" x14ac:dyDescent="0.25">
      <c r="A132" s="26">
        <v>-608</v>
      </c>
      <c r="B132" s="25">
        <v>1.329E-2</v>
      </c>
      <c r="C132" s="68">
        <f t="shared" si="7"/>
        <v>29.601299999999998</v>
      </c>
      <c r="D132" s="69">
        <f t="shared" si="8"/>
        <v>14.6013</v>
      </c>
      <c r="E132" s="70">
        <f t="shared" si="9"/>
        <v>-0.3987</v>
      </c>
      <c r="F132" s="71">
        <f t="shared" si="10"/>
        <v>-29.601299999999998</v>
      </c>
      <c r="G132" s="72">
        <f t="shared" si="11"/>
        <v>-14.6013</v>
      </c>
      <c r="H132" s="73">
        <f t="shared" si="12"/>
        <v>0.3987</v>
      </c>
    </row>
    <row r="133" spans="1:8" x14ac:dyDescent="0.25">
      <c r="A133" s="26">
        <v>-607</v>
      </c>
      <c r="B133" s="25">
        <v>1.3429999999999999E-2</v>
      </c>
      <c r="C133" s="68">
        <f t="shared" si="7"/>
        <v>29.597100000000001</v>
      </c>
      <c r="D133" s="69">
        <f t="shared" si="8"/>
        <v>14.597099999999999</v>
      </c>
      <c r="E133" s="70">
        <f t="shared" si="9"/>
        <v>-0.40289999999999998</v>
      </c>
      <c r="F133" s="71">
        <f t="shared" si="10"/>
        <v>-29.597100000000001</v>
      </c>
      <c r="G133" s="72">
        <f t="shared" si="11"/>
        <v>-14.597099999999999</v>
      </c>
      <c r="H133" s="73">
        <f t="shared" si="12"/>
        <v>0.40289999999999998</v>
      </c>
    </row>
    <row r="134" spans="1:8" x14ac:dyDescent="0.25">
      <c r="A134" s="26">
        <v>-606</v>
      </c>
      <c r="B134" s="25">
        <v>1.357E-2</v>
      </c>
      <c r="C134" s="68">
        <f t="shared" si="7"/>
        <v>29.5929</v>
      </c>
      <c r="D134" s="69">
        <f t="shared" si="8"/>
        <v>14.5929</v>
      </c>
      <c r="E134" s="70">
        <f t="shared" si="9"/>
        <v>-0.40710000000000002</v>
      </c>
      <c r="F134" s="71">
        <f t="shared" si="10"/>
        <v>-29.5929</v>
      </c>
      <c r="G134" s="72">
        <f t="shared" si="11"/>
        <v>-14.5929</v>
      </c>
      <c r="H134" s="73">
        <f t="shared" si="12"/>
        <v>0.40710000000000002</v>
      </c>
    </row>
    <row r="135" spans="1:8" x14ac:dyDescent="0.25">
      <c r="A135" s="26">
        <v>-605</v>
      </c>
      <c r="B135" s="25">
        <v>1.371E-2</v>
      </c>
      <c r="C135" s="68">
        <f t="shared" ref="C135:C198" si="13">KFactor-KFactor*B135</f>
        <v>29.588699999999999</v>
      </c>
      <c r="D135" s="69">
        <f t="shared" ref="D135:D198" si="14">KFactor/2-KFactor*B135</f>
        <v>14.588699999999999</v>
      </c>
      <c r="E135" s="70">
        <f t="shared" ref="E135:E198" si="15">0-KFactor*B135</f>
        <v>-0.4113</v>
      </c>
      <c r="F135" s="71">
        <f t="shared" ref="F135:F198" si="16">-C135</f>
        <v>-29.588699999999999</v>
      </c>
      <c r="G135" s="72">
        <f t="shared" ref="G135:G198" si="17">-D135</f>
        <v>-14.588699999999999</v>
      </c>
      <c r="H135" s="73">
        <f t="shared" ref="H135:H198" si="18">-E135</f>
        <v>0.4113</v>
      </c>
    </row>
    <row r="136" spans="1:8" x14ac:dyDescent="0.25">
      <c r="A136" s="26">
        <v>-604</v>
      </c>
      <c r="B136" s="25">
        <v>1.3860000000000001E-2</v>
      </c>
      <c r="C136" s="68">
        <f t="shared" si="13"/>
        <v>29.584199999999999</v>
      </c>
      <c r="D136" s="69">
        <f t="shared" si="14"/>
        <v>14.584199999999999</v>
      </c>
      <c r="E136" s="70">
        <f t="shared" si="15"/>
        <v>-0.4158</v>
      </c>
      <c r="F136" s="71">
        <f t="shared" si="16"/>
        <v>-29.584199999999999</v>
      </c>
      <c r="G136" s="72">
        <f t="shared" si="17"/>
        <v>-14.584199999999999</v>
      </c>
      <c r="H136" s="73">
        <f t="shared" si="18"/>
        <v>0.4158</v>
      </c>
    </row>
    <row r="137" spans="1:8" x14ac:dyDescent="0.25">
      <c r="A137" s="26">
        <v>-603</v>
      </c>
      <c r="B137" s="25">
        <v>1.4E-2</v>
      </c>
      <c r="C137" s="68">
        <f t="shared" si="13"/>
        <v>29.58</v>
      </c>
      <c r="D137" s="69">
        <f t="shared" si="14"/>
        <v>14.58</v>
      </c>
      <c r="E137" s="70">
        <f t="shared" si="15"/>
        <v>-0.42</v>
      </c>
      <c r="F137" s="71">
        <f t="shared" si="16"/>
        <v>-29.58</v>
      </c>
      <c r="G137" s="72">
        <f t="shared" si="17"/>
        <v>-14.58</v>
      </c>
      <c r="H137" s="73">
        <f t="shared" si="18"/>
        <v>0.42</v>
      </c>
    </row>
    <row r="138" spans="1:8" x14ac:dyDescent="0.25">
      <c r="A138" s="26">
        <v>-602</v>
      </c>
      <c r="B138" s="25">
        <v>1.414E-2</v>
      </c>
      <c r="C138" s="68">
        <f t="shared" si="13"/>
        <v>29.575800000000001</v>
      </c>
      <c r="D138" s="69">
        <f t="shared" si="14"/>
        <v>14.575799999999999</v>
      </c>
      <c r="E138" s="70">
        <f t="shared" si="15"/>
        <v>-0.42420000000000002</v>
      </c>
      <c r="F138" s="71">
        <f t="shared" si="16"/>
        <v>-29.575800000000001</v>
      </c>
      <c r="G138" s="72">
        <f t="shared" si="17"/>
        <v>-14.575799999999999</v>
      </c>
      <c r="H138" s="73">
        <f t="shared" si="18"/>
        <v>0.42420000000000002</v>
      </c>
    </row>
    <row r="139" spans="1:8" x14ac:dyDescent="0.25">
      <c r="A139" s="26">
        <v>-601</v>
      </c>
      <c r="B139" s="25">
        <v>1.4290000000000001E-2</v>
      </c>
      <c r="C139" s="68">
        <f t="shared" si="13"/>
        <v>29.571300000000001</v>
      </c>
      <c r="D139" s="69">
        <f t="shared" si="14"/>
        <v>14.571300000000001</v>
      </c>
      <c r="E139" s="70">
        <f t="shared" si="15"/>
        <v>-0.42870000000000003</v>
      </c>
      <c r="F139" s="71">
        <f t="shared" si="16"/>
        <v>-29.571300000000001</v>
      </c>
      <c r="G139" s="72">
        <f t="shared" si="17"/>
        <v>-14.571300000000001</v>
      </c>
      <c r="H139" s="73">
        <f t="shared" si="18"/>
        <v>0.42870000000000003</v>
      </c>
    </row>
    <row r="140" spans="1:8" x14ac:dyDescent="0.25">
      <c r="A140" s="26">
        <v>-600</v>
      </c>
      <c r="B140" s="25">
        <v>1.443E-2</v>
      </c>
      <c r="C140" s="68">
        <f t="shared" si="13"/>
        <v>29.5671</v>
      </c>
      <c r="D140" s="69">
        <f t="shared" si="14"/>
        <v>14.5671</v>
      </c>
      <c r="E140" s="70">
        <f t="shared" si="15"/>
        <v>-0.43290000000000001</v>
      </c>
      <c r="F140" s="71">
        <f t="shared" si="16"/>
        <v>-29.5671</v>
      </c>
      <c r="G140" s="72">
        <f t="shared" si="17"/>
        <v>-14.5671</v>
      </c>
      <c r="H140" s="73">
        <f t="shared" si="18"/>
        <v>0.43290000000000001</v>
      </c>
    </row>
    <row r="141" spans="1:8" x14ac:dyDescent="0.25">
      <c r="A141" s="26">
        <v>-599</v>
      </c>
      <c r="B141" s="25">
        <v>1.457E-2</v>
      </c>
      <c r="C141" s="68">
        <f t="shared" si="13"/>
        <v>29.562899999999999</v>
      </c>
      <c r="D141" s="69">
        <f t="shared" si="14"/>
        <v>14.562900000000001</v>
      </c>
      <c r="E141" s="70">
        <f t="shared" si="15"/>
        <v>-0.43709999999999999</v>
      </c>
      <c r="F141" s="71">
        <f t="shared" si="16"/>
        <v>-29.562899999999999</v>
      </c>
      <c r="G141" s="72">
        <f t="shared" si="17"/>
        <v>-14.562900000000001</v>
      </c>
      <c r="H141" s="73">
        <f t="shared" si="18"/>
        <v>0.43709999999999999</v>
      </c>
    </row>
    <row r="142" spans="1:8" x14ac:dyDescent="0.25">
      <c r="A142" s="26">
        <v>-598</v>
      </c>
      <c r="B142" s="25">
        <v>1.4710000000000001E-2</v>
      </c>
      <c r="C142" s="68">
        <f t="shared" si="13"/>
        <v>29.558700000000002</v>
      </c>
      <c r="D142" s="69">
        <f t="shared" si="14"/>
        <v>14.5587</v>
      </c>
      <c r="E142" s="70">
        <f t="shared" si="15"/>
        <v>-0.44130000000000003</v>
      </c>
      <c r="F142" s="71">
        <f t="shared" si="16"/>
        <v>-29.558700000000002</v>
      </c>
      <c r="G142" s="72">
        <f t="shared" si="17"/>
        <v>-14.5587</v>
      </c>
      <c r="H142" s="73">
        <f t="shared" si="18"/>
        <v>0.44130000000000003</v>
      </c>
    </row>
    <row r="143" spans="1:8" x14ac:dyDescent="0.25">
      <c r="A143" s="26">
        <v>-597</v>
      </c>
      <c r="B143" s="25">
        <v>1.486E-2</v>
      </c>
      <c r="C143" s="68">
        <f t="shared" si="13"/>
        <v>29.554200000000002</v>
      </c>
      <c r="D143" s="69">
        <f t="shared" si="14"/>
        <v>14.5542</v>
      </c>
      <c r="E143" s="70">
        <f t="shared" si="15"/>
        <v>-0.44579999999999997</v>
      </c>
      <c r="F143" s="71">
        <f t="shared" si="16"/>
        <v>-29.554200000000002</v>
      </c>
      <c r="G143" s="72">
        <f t="shared" si="17"/>
        <v>-14.5542</v>
      </c>
      <c r="H143" s="73">
        <f t="shared" si="18"/>
        <v>0.44579999999999997</v>
      </c>
    </row>
    <row r="144" spans="1:8" x14ac:dyDescent="0.25">
      <c r="A144" s="26">
        <v>-596</v>
      </c>
      <c r="B144" s="25">
        <v>1.4999999999999999E-2</v>
      </c>
      <c r="C144" s="68">
        <f t="shared" si="13"/>
        <v>29.55</v>
      </c>
      <c r="D144" s="69">
        <f t="shared" si="14"/>
        <v>14.55</v>
      </c>
      <c r="E144" s="70">
        <f t="shared" si="15"/>
        <v>-0.44999999999999996</v>
      </c>
      <c r="F144" s="71">
        <f t="shared" si="16"/>
        <v>-29.55</v>
      </c>
      <c r="G144" s="72">
        <f t="shared" si="17"/>
        <v>-14.55</v>
      </c>
      <c r="H144" s="73">
        <f t="shared" si="18"/>
        <v>0.44999999999999996</v>
      </c>
    </row>
    <row r="145" spans="1:8" x14ac:dyDescent="0.25">
      <c r="A145" s="26">
        <v>-595</v>
      </c>
      <c r="B145" s="25">
        <v>1.5140000000000001E-2</v>
      </c>
      <c r="C145" s="68">
        <f t="shared" si="13"/>
        <v>29.5458</v>
      </c>
      <c r="D145" s="69">
        <f t="shared" si="14"/>
        <v>14.5458</v>
      </c>
      <c r="E145" s="70">
        <f t="shared" si="15"/>
        <v>-0.45420000000000005</v>
      </c>
      <c r="F145" s="71">
        <f t="shared" si="16"/>
        <v>-29.5458</v>
      </c>
      <c r="G145" s="72">
        <f t="shared" si="17"/>
        <v>-14.5458</v>
      </c>
      <c r="H145" s="73">
        <f t="shared" si="18"/>
        <v>0.45420000000000005</v>
      </c>
    </row>
    <row r="146" spans="1:8" x14ac:dyDescent="0.25">
      <c r="A146" s="26">
        <v>-594</v>
      </c>
      <c r="B146" s="25">
        <v>1.529E-2</v>
      </c>
      <c r="C146" s="68">
        <f t="shared" si="13"/>
        <v>29.5413</v>
      </c>
      <c r="D146" s="69">
        <f t="shared" si="14"/>
        <v>14.5413</v>
      </c>
      <c r="E146" s="70">
        <f t="shared" si="15"/>
        <v>-0.4587</v>
      </c>
      <c r="F146" s="71">
        <f t="shared" si="16"/>
        <v>-29.5413</v>
      </c>
      <c r="G146" s="72">
        <f t="shared" si="17"/>
        <v>-14.5413</v>
      </c>
      <c r="H146" s="73">
        <f t="shared" si="18"/>
        <v>0.4587</v>
      </c>
    </row>
    <row r="147" spans="1:8" x14ac:dyDescent="0.25">
      <c r="A147" s="26">
        <v>-593</v>
      </c>
      <c r="B147" s="25">
        <v>1.5429999999999999E-2</v>
      </c>
      <c r="C147" s="68">
        <f t="shared" si="13"/>
        <v>29.537099999999999</v>
      </c>
      <c r="D147" s="69">
        <f t="shared" si="14"/>
        <v>14.537100000000001</v>
      </c>
      <c r="E147" s="70">
        <f t="shared" si="15"/>
        <v>-0.46289999999999998</v>
      </c>
      <c r="F147" s="71">
        <f t="shared" si="16"/>
        <v>-29.537099999999999</v>
      </c>
      <c r="G147" s="72">
        <f t="shared" si="17"/>
        <v>-14.537100000000001</v>
      </c>
      <c r="H147" s="73">
        <f t="shared" si="18"/>
        <v>0.46289999999999998</v>
      </c>
    </row>
    <row r="148" spans="1:8" x14ac:dyDescent="0.25">
      <c r="A148" s="26">
        <v>-592</v>
      </c>
      <c r="B148" s="25">
        <v>1.5570000000000001E-2</v>
      </c>
      <c r="C148" s="68">
        <f t="shared" si="13"/>
        <v>29.532900000000001</v>
      </c>
      <c r="D148" s="69">
        <f t="shared" si="14"/>
        <v>14.5329</v>
      </c>
      <c r="E148" s="70">
        <f t="shared" si="15"/>
        <v>-0.46710000000000002</v>
      </c>
      <c r="F148" s="71">
        <f t="shared" si="16"/>
        <v>-29.532900000000001</v>
      </c>
      <c r="G148" s="72">
        <f t="shared" si="17"/>
        <v>-14.5329</v>
      </c>
      <c r="H148" s="73">
        <f t="shared" si="18"/>
        <v>0.46710000000000002</v>
      </c>
    </row>
    <row r="149" spans="1:8" x14ac:dyDescent="0.25">
      <c r="A149" s="26">
        <v>-591</v>
      </c>
      <c r="B149" s="25">
        <v>1.5709999999999998E-2</v>
      </c>
      <c r="C149" s="68">
        <f t="shared" si="13"/>
        <v>29.528700000000001</v>
      </c>
      <c r="D149" s="69">
        <f t="shared" si="14"/>
        <v>14.528700000000001</v>
      </c>
      <c r="E149" s="70">
        <f t="shared" si="15"/>
        <v>-0.47129999999999994</v>
      </c>
      <c r="F149" s="71">
        <f t="shared" si="16"/>
        <v>-29.528700000000001</v>
      </c>
      <c r="G149" s="72">
        <f t="shared" si="17"/>
        <v>-14.528700000000001</v>
      </c>
      <c r="H149" s="73">
        <f t="shared" si="18"/>
        <v>0.47129999999999994</v>
      </c>
    </row>
    <row r="150" spans="1:8" x14ac:dyDescent="0.25">
      <c r="A150" s="26">
        <v>-590</v>
      </c>
      <c r="B150" s="25">
        <v>1.5859999999999999E-2</v>
      </c>
      <c r="C150" s="68">
        <f t="shared" si="13"/>
        <v>29.5242</v>
      </c>
      <c r="D150" s="69">
        <f t="shared" si="14"/>
        <v>14.5242</v>
      </c>
      <c r="E150" s="70">
        <f t="shared" si="15"/>
        <v>-0.4758</v>
      </c>
      <c r="F150" s="71">
        <f t="shared" si="16"/>
        <v>-29.5242</v>
      </c>
      <c r="G150" s="72">
        <f t="shared" si="17"/>
        <v>-14.5242</v>
      </c>
      <c r="H150" s="73">
        <f t="shared" si="18"/>
        <v>0.4758</v>
      </c>
    </row>
    <row r="151" spans="1:8" x14ac:dyDescent="0.25">
      <c r="A151" s="26">
        <v>-589</v>
      </c>
      <c r="B151" s="25">
        <v>1.6E-2</v>
      </c>
      <c r="C151" s="68">
        <f t="shared" si="13"/>
        <v>29.52</v>
      </c>
      <c r="D151" s="69">
        <f t="shared" si="14"/>
        <v>14.52</v>
      </c>
      <c r="E151" s="70">
        <f t="shared" si="15"/>
        <v>-0.48</v>
      </c>
      <c r="F151" s="71">
        <f t="shared" si="16"/>
        <v>-29.52</v>
      </c>
      <c r="G151" s="72">
        <f t="shared" si="17"/>
        <v>-14.52</v>
      </c>
      <c r="H151" s="73">
        <f t="shared" si="18"/>
        <v>0.48</v>
      </c>
    </row>
    <row r="152" spans="1:8" x14ac:dyDescent="0.25">
      <c r="A152" s="26">
        <v>-588</v>
      </c>
      <c r="B152" s="25">
        <v>1.6140000000000002E-2</v>
      </c>
      <c r="C152" s="68">
        <f t="shared" si="13"/>
        <v>29.515799999999999</v>
      </c>
      <c r="D152" s="69">
        <f t="shared" si="14"/>
        <v>14.5158</v>
      </c>
      <c r="E152" s="70">
        <f t="shared" si="15"/>
        <v>-0.48420000000000007</v>
      </c>
      <c r="F152" s="71">
        <f t="shared" si="16"/>
        <v>-29.515799999999999</v>
      </c>
      <c r="G152" s="72">
        <f t="shared" si="17"/>
        <v>-14.5158</v>
      </c>
      <c r="H152" s="73">
        <f t="shared" si="18"/>
        <v>0.48420000000000007</v>
      </c>
    </row>
    <row r="153" spans="1:8" x14ac:dyDescent="0.25">
      <c r="A153" s="26">
        <v>-587</v>
      </c>
      <c r="B153" s="25">
        <v>1.6289999999999999E-2</v>
      </c>
      <c r="C153" s="68">
        <f t="shared" si="13"/>
        <v>29.511299999999999</v>
      </c>
      <c r="D153" s="69">
        <f t="shared" si="14"/>
        <v>14.5113</v>
      </c>
      <c r="E153" s="70">
        <f t="shared" si="15"/>
        <v>-0.48869999999999997</v>
      </c>
      <c r="F153" s="71">
        <f t="shared" si="16"/>
        <v>-29.511299999999999</v>
      </c>
      <c r="G153" s="72">
        <f t="shared" si="17"/>
        <v>-14.5113</v>
      </c>
      <c r="H153" s="73">
        <f t="shared" si="18"/>
        <v>0.48869999999999997</v>
      </c>
    </row>
    <row r="154" spans="1:8" x14ac:dyDescent="0.25">
      <c r="A154" s="26">
        <v>-586</v>
      </c>
      <c r="B154" s="25">
        <v>1.643E-2</v>
      </c>
      <c r="C154" s="68">
        <f t="shared" si="13"/>
        <v>29.507100000000001</v>
      </c>
      <c r="D154" s="69">
        <f t="shared" si="14"/>
        <v>14.507099999999999</v>
      </c>
      <c r="E154" s="70">
        <f t="shared" si="15"/>
        <v>-0.4929</v>
      </c>
      <c r="F154" s="71">
        <f t="shared" si="16"/>
        <v>-29.507100000000001</v>
      </c>
      <c r="G154" s="72">
        <f t="shared" si="17"/>
        <v>-14.507099999999999</v>
      </c>
      <c r="H154" s="73">
        <f t="shared" si="18"/>
        <v>0.4929</v>
      </c>
    </row>
    <row r="155" spans="1:8" x14ac:dyDescent="0.25">
      <c r="A155" s="26">
        <v>-585</v>
      </c>
      <c r="B155" s="25">
        <v>1.6570000000000001E-2</v>
      </c>
      <c r="C155" s="68">
        <f t="shared" si="13"/>
        <v>29.5029</v>
      </c>
      <c r="D155" s="69">
        <f t="shared" si="14"/>
        <v>14.5029</v>
      </c>
      <c r="E155" s="70">
        <f t="shared" si="15"/>
        <v>-0.49710000000000004</v>
      </c>
      <c r="F155" s="71">
        <f t="shared" si="16"/>
        <v>-29.5029</v>
      </c>
      <c r="G155" s="72">
        <f t="shared" si="17"/>
        <v>-14.5029</v>
      </c>
      <c r="H155" s="73">
        <f t="shared" si="18"/>
        <v>0.49710000000000004</v>
      </c>
    </row>
    <row r="156" spans="1:8" x14ac:dyDescent="0.25">
      <c r="A156" s="26">
        <v>-584</v>
      </c>
      <c r="B156" s="25">
        <v>1.6709999999999999E-2</v>
      </c>
      <c r="C156" s="68">
        <f t="shared" si="13"/>
        <v>29.498699999999999</v>
      </c>
      <c r="D156" s="69">
        <f t="shared" si="14"/>
        <v>14.498699999999999</v>
      </c>
      <c r="E156" s="70">
        <f t="shared" si="15"/>
        <v>-0.50129999999999997</v>
      </c>
      <c r="F156" s="71">
        <f t="shared" si="16"/>
        <v>-29.498699999999999</v>
      </c>
      <c r="G156" s="72">
        <f t="shared" si="17"/>
        <v>-14.498699999999999</v>
      </c>
      <c r="H156" s="73">
        <f t="shared" si="18"/>
        <v>0.50129999999999997</v>
      </c>
    </row>
    <row r="157" spans="1:8" x14ac:dyDescent="0.25">
      <c r="A157" s="26">
        <v>-583</v>
      </c>
      <c r="B157" s="25">
        <v>1.686E-2</v>
      </c>
      <c r="C157" s="68">
        <f t="shared" si="13"/>
        <v>29.494199999999999</v>
      </c>
      <c r="D157" s="69">
        <f t="shared" si="14"/>
        <v>14.494199999999999</v>
      </c>
      <c r="E157" s="70">
        <f t="shared" si="15"/>
        <v>-0.50580000000000003</v>
      </c>
      <c r="F157" s="71">
        <f t="shared" si="16"/>
        <v>-29.494199999999999</v>
      </c>
      <c r="G157" s="72">
        <f t="shared" si="17"/>
        <v>-14.494199999999999</v>
      </c>
      <c r="H157" s="73">
        <f t="shared" si="18"/>
        <v>0.50580000000000003</v>
      </c>
    </row>
    <row r="158" spans="1:8" x14ac:dyDescent="0.25">
      <c r="A158" s="26">
        <v>-582</v>
      </c>
      <c r="B158" s="25">
        <v>1.7000000000000001E-2</v>
      </c>
      <c r="C158" s="68">
        <f t="shared" si="13"/>
        <v>29.49</v>
      </c>
      <c r="D158" s="69">
        <f t="shared" si="14"/>
        <v>14.49</v>
      </c>
      <c r="E158" s="70">
        <f t="shared" si="15"/>
        <v>-0.51</v>
      </c>
      <c r="F158" s="71">
        <f t="shared" si="16"/>
        <v>-29.49</v>
      </c>
      <c r="G158" s="72">
        <f t="shared" si="17"/>
        <v>-14.49</v>
      </c>
      <c r="H158" s="73">
        <f t="shared" si="18"/>
        <v>0.51</v>
      </c>
    </row>
    <row r="159" spans="1:8" x14ac:dyDescent="0.25">
      <c r="A159" s="26">
        <v>-581</v>
      </c>
      <c r="B159" s="25">
        <v>1.7139999999999999E-2</v>
      </c>
      <c r="C159" s="68">
        <f t="shared" si="13"/>
        <v>29.485800000000001</v>
      </c>
      <c r="D159" s="69">
        <f t="shared" si="14"/>
        <v>14.485799999999999</v>
      </c>
      <c r="E159" s="70">
        <f t="shared" si="15"/>
        <v>-0.51419999999999999</v>
      </c>
      <c r="F159" s="71">
        <f t="shared" si="16"/>
        <v>-29.485800000000001</v>
      </c>
      <c r="G159" s="72">
        <f t="shared" si="17"/>
        <v>-14.485799999999999</v>
      </c>
      <c r="H159" s="73">
        <f t="shared" si="18"/>
        <v>0.51419999999999999</v>
      </c>
    </row>
    <row r="160" spans="1:8" x14ac:dyDescent="0.25">
      <c r="A160" s="26">
        <v>-580</v>
      </c>
      <c r="B160" s="25">
        <v>1.729E-2</v>
      </c>
      <c r="C160" s="68">
        <f t="shared" si="13"/>
        <v>29.481300000000001</v>
      </c>
      <c r="D160" s="69">
        <f t="shared" si="14"/>
        <v>14.481300000000001</v>
      </c>
      <c r="E160" s="70">
        <f t="shared" si="15"/>
        <v>-0.51869999999999994</v>
      </c>
      <c r="F160" s="71">
        <f t="shared" si="16"/>
        <v>-29.481300000000001</v>
      </c>
      <c r="G160" s="72">
        <f t="shared" si="17"/>
        <v>-14.481300000000001</v>
      </c>
      <c r="H160" s="73">
        <f t="shared" si="18"/>
        <v>0.51869999999999994</v>
      </c>
    </row>
    <row r="161" spans="1:8" x14ac:dyDescent="0.25">
      <c r="A161" s="26">
        <v>-579</v>
      </c>
      <c r="B161" s="25">
        <v>1.7430000000000001E-2</v>
      </c>
      <c r="C161" s="68">
        <f t="shared" si="13"/>
        <v>29.4771</v>
      </c>
      <c r="D161" s="69">
        <f t="shared" si="14"/>
        <v>14.4771</v>
      </c>
      <c r="E161" s="70">
        <f t="shared" si="15"/>
        <v>-0.52290000000000003</v>
      </c>
      <c r="F161" s="71">
        <f t="shared" si="16"/>
        <v>-29.4771</v>
      </c>
      <c r="G161" s="72">
        <f t="shared" si="17"/>
        <v>-14.4771</v>
      </c>
      <c r="H161" s="73">
        <f t="shared" si="18"/>
        <v>0.52290000000000003</v>
      </c>
    </row>
    <row r="162" spans="1:8" x14ac:dyDescent="0.25">
      <c r="A162" s="26">
        <v>-578</v>
      </c>
      <c r="B162" s="25">
        <v>1.7569999999999999E-2</v>
      </c>
      <c r="C162" s="68">
        <f t="shared" si="13"/>
        <v>29.472899999999999</v>
      </c>
      <c r="D162" s="69">
        <f t="shared" si="14"/>
        <v>14.472899999999999</v>
      </c>
      <c r="E162" s="70">
        <f t="shared" si="15"/>
        <v>-0.52710000000000001</v>
      </c>
      <c r="F162" s="71">
        <f t="shared" si="16"/>
        <v>-29.472899999999999</v>
      </c>
      <c r="G162" s="72">
        <f t="shared" si="17"/>
        <v>-14.472899999999999</v>
      </c>
      <c r="H162" s="73">
        <f t="shared" si="18"/>
        <v>0.52710000000000001</v>
      </c>
    </row>
    <row r="163" spans="1:8" x14ac:dyDescent="0.25">
      <c r="A163" s="26">
        <v>-577</v>
      </c>
      <c r="B163" s="25">
        <v>1.771E-2</v>
      </c>
      <c r="C163" s="68">
        <f t="shared" si="13"/>
        <v>29.468699999999998</v>
      </c>
      <c r="D163" s="69">
        <f t="shared" si="14"/>
        <v>14.4687</v>
      </c>
      <c r="E163" s="70">
        <f t="shared" si="15"/>
        <v>-0.53129999999999999</v>
      </c>
      <c r="F163" s="71">
        <f t="shared" si="16"/>
        <v>-29.468699999999998</v>
      </c>
      <c r="G163" s="72">
        <f t="shared" si="17"/>
        <v>-14.4687</v>
      </c>
      <c r="H163" s="73">
        <f t="shared" si="18"/>
        <v>0.53129999999999999</v>
      </c>
    </row>
    <row r="164" spans="1:8" x14ac:dyDescent="0.25">
      <c r="A164" s="26">
        <v>-576</v>
      </c>
      <c r="B164" s="25">
        <v>1.7860000000000001E-2</v>
      </c>
      <c r="C164" s="68">
        <f t="shared" si="13"/>
        <v>29.464199999999998</v>
      </c>
      <c r="D164" s="69">
        <f t="shared" si="14"/>
        <v>14.4642</v>
      </c>
      <c r="E164" s="70">
        <f t="shared" si="15"/>
        <v>-0.53580000000000005</v>
      </c>
      <c r="F164" s="71">
        <f t="shared" si="16"/>
        <v>-29.464199999999998</v>
      </c>
      <c r="G164" s="72">
        <f t="shared" si="17"/>
        <v>-14.4642</v>
      </c>
      <c r="H164" s="73">
        <f t="shared" si="18"/>
        <v>0.53580000000000005</v>
      </c>
    </row>
    <row r="165" spans="1:8" x14ac:dyDescent="0.25">
      <c r="A165" s="26">
        <v>-575</v>
      </c>
      <c r="B165" s="25">
        <v>1.7999999999999999E-2</v>
      </c>
      <c r="C165" s="68">
        <f t="shared" si="13"/>
        <v>29.46</v>
      </c>
      <c r="D165" s="69">
        <f t="shared" si="14"/>
        <v>14.46</v>
      </c>
      <c r="E165" s="70">
        <f t="shared" si="15"/>
        <v>-0.53999999999999992</v>
      </c>
      <c r="F165" s="71">
        <f t="shared" si="16"/>
        <v>-29.46</v>
      </c>
      <c r="G165" s="72">
        <f t="shared" si="17"/>
        <v>-14.46</v>
      </c>
      <c r="H165" s="73">
        <f t="shared" si="18"/>
        <v>0.53999999999999992</v>
      </c>
    </row>
    <row r="166" spans="1:8" x14ac:dyDescent="0.25">
      <c r="A166" s="26">
        <v>-574</v>
      </c>
      <c r="B166" s="25">
        <v>1.814E-2</v>
      </c>
      <c r="C166" s="68">
        <f t="shared" si="13"/>
        <v>29.4558</v>
      </c>
      <c r="D166" s="69">
        <f t="shared" si="14"/>
        <v>14.4558</v>
      </c>
      <c r="E166" s="70">
        <f t="shared" si="15"/>
        <v>-0.54420000000000002</v>
      </c>
      <c r="F166" s="71">
        <f t="shared" si="16"/>
        <v>-29.4558</v>
      </c>
      <c r="G166" s="72">
        <f t="shared" si="17"/>
        <v>-14.4558</v>
      </c>
      <c r="H166" s="73">
        <f t="shared" si="18"/>
        <v>0.54420000000000002</v>
      </c>
    </row>
    <row r="167" spans="1:8" x14ac:dyDescent="0.25">
      <c r="A167" s="26">
        <v>-573</v>
      </c>
      <c r="B167" s="25">
        <v>1.8290000000000001E-2</v>
      </c>
      <c r="C167" s="68">
        <f t="shared" si="13"/>
        <v>29.4513</v>
      </c>
      <c r="D167" s="69">
        <f t="shared" si="14"/>
        <v>14.4513</v>
      </c>
      <c r="E167" s="70">
        <f t="shared" si="15"/>
        <v>-0.54869999999999997</v>
      </c>
      <c r="F167" s="71">
        <f t="shared" si="16"/>
        <v>-29.4513</v>
      </c>
      <c r="G167" s="72">
        <f t="shared" si="17"/>
        <v>-14.4513</v>
      </c>
      <c r="H167" s="73">
        <f t="shared" si="18"/>
        <v>0.54869999999999997</v>
      </c>
    </row>
    <row r="168" spans="1:8" x14ac:dyDescent="0.25">
      <c r="A168" s="26">
        <v>-572</v>
      </c>
      <c r="B168" s="25">
        <v>1.8429999999999998E-2</v>
      </c>
      <c r="C168" s="68">
        <f t="shared" si="13"/>
        <v>29.447099999999999</v>
      </c>
      <c r="D168" s="69">
        <f t="shared" si="14"/>
        <v>14.447100000000001</v>
      </c>
      <c r="E168" s="70">
        <f t="shared" si="15"/>
        <v>-0.55289999999999995</v>
      </c>
      <c r="F168" s="71">
        <f t="shared" si="16"/>
        <v>-29.447099999999999</v>
      </c>
      <c r="G168" s="72">
        <f t="shared" si="17"/>
        <v>-14.447100000000001</v>
      </c>
      <c r="H168" s="73">
        <f t="shared" si="18"/>
        <v>0.55289999999999995</v>
      </c>
    </row>
    <row r="169" spans="1:8" x14ac:dyDescent="0.25">
      <c r="A169" s="26">
        <v>-571</v>
      </c>
      <c r="B169" s="25">
        <v>1.857E-2</v>
      </c>
      <c r="C169" s="68">
        <f t="shared" si="13"/>
        <v>29.442900000000002</v>
      </c>
      <c r="D169" s="69">
        <f t="shared" si="14"/>
        <v>14.4429</v>
      </c>
      <c r="E169" s="70">
        <f t="shared" si="15"/>
        <v>-0.55710000000000004</v>
      </c>
      <c r="F169" s="71">
        <f t="shared" si="16"/>
        <v>-29.442900000000002</v>
      </c>
      <c r="G169" s="72">
        <f t="shared" si="17"/>
        <v>-14.4429</v>
      </c>
      <c r="H169" s="73">
        <f t="shared" si="18"/>
        <v>0.55710000000000004</v>
      </c>
    </row>
    <row r="170" spans="1:8" x14ac:dyDescent="0.25">
      <c r="A170" s="26">
        <v>-570</v>
      </c>
      <c r="B170" s="25">
        <v>1.8710000000000001E-2</v>
      </c>
      <c r="C170" s="68">
        <f t="shared" si="13"/>
        <v>29.438700000000001</v>
      </c>
      <c r="D170" s="69">
        <f t="shared" si="14"/>
        <v>14.438700000000001</v>
      </c>
      <c r="E170" s="70">
        <f t="shared" si="15"/>
        <v>-0.56130000000000002</v>
      </c>
      <c r="F170" s="71">
        <f t="shared" si="16"/>
        <v>-29.438700000000001</v>
      </c>
      <c r="G170" s="72">
        <f t="shared" si="17"/>
        <v>-14.438700000000001</v>
      </c>
      <c r="H170" s="73">
        <f t="shared" si="18"/>
        <v>0.56130000000000002</v>
      </c>
    </row>
    <row r="171" spans="1:8" x14ac:dyDescent="0.25">
      <c r="A171" s="26">
        <v>-569</v>
      </c>
      <c r="B171" s="25">
        <v>1.8859999999999998E-2</v>
      </c>
      <c r="C171" s="68">
        <f t="shared" si="13"/>
        <v>29.434200000000001</v>
      </c>
      <c r="D171" s="69">
        <f t="shared" si="14"/>
        <v>14.434200000000001</v>
      </c>
      <c r="E171" s="70">
        <f t="shared" si="15"/>
        <v>-0.56579999999999997</v>
      </c>
      <c r="F171" s="71">
        <f t="shared" si="16"/>
        <v>-29.434200000000001</v>
      </c>
      <c r="G171" s="72">
        <f t="shared" si="17"/>
        <v>-14.434200000000001</v>
      </c>
      <c r="H171" s="73">
        <f t="shared" si="18"/>
        <v>0.56579999999999997</v>
      </c>
    </row>
    <row r="172" spans="1:8" x14ac:dyDescent="0.25">
      <c r="A172" s="26">
        <v>-568</v>
      </c>
      <c r="B172" s="25">
        <v>1.9E-2</v>
      </c>
      <c r="C172" s="68">
        <f t="shared" si="13"/>
        <v>29.43</v>
      </c>
      <c r="D172" s="69">
        <f t="shared" si="14"/>
        <v>14.43</v>
      </c>
      <c r="E172" s="70">
        <f t="shared" si="15"/>
        <v>-0.56999999999999995</v>
      </c>
      <c r="F172" s="71">
        <f t="shared" si="16"/>
        <v>-29.43</v>
      </c>
      <c r="G172" s="72">
        <f t="shared" si="17"/>
        <v>-14.43</v>
      </c>
      <c r="H172" s="73">
        <f t="shared" si="18"/>
        <v>0.56999999999999995</v>
      </c>
    </row>
    <row r="173" spans="1:8" x14ac:dyDescent="0.25">
      <c r="A173" s="26">
        <v>-567</v>
      </c>
      <c r="B173" s="25">
        <v>1.9140000000000001E-2</v>
      </c>
      <c r="C173" s="68">
        <f t="shared" si="13"/>
        <v>29.425799999999999</v>
      </c>
      <c r="D173" s="69">
        <f t="shared" si="14"/>
        <v>14.425800000000001</v>
      </c>
      <c r="E173" s="70">
        <f t="shared" si="15"/>
        <v>-0.57420000000000004</v>
      </c>
      <c r="F173" s="71">
        <f t="shared" si="16"/>
        <v>-29.425799999999999</v>
      </c>
      <c r="G173" s="72">
        <f t="shared" si="17"/>
        <v>-14.425800000000001</v>
      </c>
      <c r="H173" s="73">
        <f t="shared" si="18"/>
        <v>0.57420000000000004</v>
      </c>
    </row>
    <row r="174" spans="1:8" x14ac:dyDescent="0.25">
      <c r="A174" s="26">
        <v>-566</v>
      </c>
      <c r="B174" s="25">
        <v>1.9290000000000002E-2</v>
      </c>
      <c r="C174" s="68">
        <f t="shared" si="13"/>
        <v>29.421299999999999</v>
      </c>
      <c r="D174" s="69">
        <f t="shared" si="14"/>
        <v>14.4213</v>
      </c>
      <c r="E174" s="70">
        <f t="shared" si="15"/>
        <v>-0.57869999999999999</v>
      </c>
      <c r="F174" s="71">
        <f t="shared" si="16"/>
        <v>-29.421299999999999</v>
      </c>
      <c r="G174" s="72">
        <f t="shared" si="17"/>
        <v>-14.4213</v>
      </c>
      <c r="H174" s="73">
        <f t="shared" si="18"/>
        <v>0.57869999999999999</v>
      </c>
    </row>
    <row r="175" spans="1:8" x14ac:dyDescent="0.25">
      <c r="A175" s="26">
        <v>-565</v>
      </c>
      <c r="B175" s="25">
        <v>1.9429999999999999E-2</v>
      </c>
      <c r="C175" s="68">
        <f t="shared" si="13"/>
        <v>29.417100000000001</v>
      </c>
      <c r="D175" s="69">
        <f t="shared" si="14"/>
        <v>14.4171</v>
      </c>
      <c r="E175" s="70">
        <f t="shared" si="15"/>
        <v>-0.58289999999999997</v>
      </c>
      <c r="F175" s="71">
        <f t="shared" si="16"/>
        <v>-29.417100000000001</v>
      </c>
      <c r="G175" s="72">
        <f t="shared" si="17"/>
        <v>-14.4171</v>
      </c>
      <c r="H175" s="73">
        <f t="shared" si="18"/>
        <v>0.58289999999999997</v>
      </c>
    </row>
    <row r="176" spans="1:8" x14ac:dyDescent="0.25">
      <c r="A176" s="26">
        <v>-564</v>
      </c>
      <c r="B176" s="25">
        <v>1.9570000000000001E-2</v>
      </c>
      <c r="C176" s="68">
        <f t="shared" si="13"/>
        <v>29.4129</v>
      </c>
      <c r="D176" s="69">
        <f t="shared" si="14"/>
        <v>14.4129</v>
      </c>
      <c r="E176" s="70">
        <f t="shared" si="15"/>
        <v>-0.58710000000000007</v>
      </c>
      <c r="F176" s="71">
        <f t="shared" si="16"/>
        <v>-29.4129</v>
      </c>
      <c r="G176" s="72">
        <f t="shared" si="17"/>
        <v>-14.4129</v>
      </c>
      <c r="H176" s="73">
        <f t="shared" si="18"/>
        <v>0.58710000000000007</v>
      </c>
    </row>
    <row r="177" spans="1:8" x14ac:dyDescent="0.25">
      <c r="A177" s="26">
        <v>-563</v>
      </c>
      <c r="B177" s="25">
        <v>1.9709999999999998E-2</v>
      </c>
      <c r="C177" s="68">
        <f t="shared" si="13"/>
        <v>29.4087</v>
      </c>
      <c r="D177" s="69">
        <f t="shared" si="14"/>
        <v>14.4087</v>
      </c>
      <c r="E177" s="70">
        <f t="shared" si="15"/>
        <v>-0.59129999999999994</v>
      </c>
      <c r="F177" s="71">
        <f t="shared" si="16"/>
        <v>-29.4087</v>
      </c>
      <c r="G177" s="72">
        <f t="shared" si="17"/>
        <v>-14.4087</v>
      </c>
      <c r="H177" s="73">
        <f t="shared" si="18"/>
        <v>0.59129999999999994</v>
      </c>
    </row>
    <row r="178" spans="1:8" x14ac:dyDescent="0.25">
      <c r="A178" s="26">
        <v>-562</v>
      </c>
      <c r="B178" s="25">
        <v>1.9859999999999999E-2</v>
      </c>
      <c r="C178" s="68">
        <f t="shared" si="13"/>
        <v>29.404199999999999</v>
      </c>
      <c r="D178" s="69">
        <f t="shared" si="14"/>
        <v>14.404199999999999</v>
      </c>
      <c r="E178" s="70">
        <f t="shared" si="15"/>
        <v>-0.5958</v>
      </c>
      <c r="F178" s="71">
        <f t="shared" si="16"/>
        <v>-29.404199999999999</v>
      </c>
      <c r="G178" s="72">
        <f t="shared" si="17"/>
        <v>-14.404199999999999</v>
      </c>
      <c r="H178" s="73">
        <f t="shared" si="18"/>
        <v>0.5958</v>
      </c>
    </row>
    <row r="179" spans="1:8" x14ac:dyDescent="0.25">
      <c r="A179" s="26">
        <v>-561</v>
      </c>
      <c r="B179" s="25">
        <v>0.02</v>
      </c>
      <c r="C179" s="68">
        <f t="shared" si="13"/>
        <v>29.4</v>
      </c>
      <c r="D179" s="69">
        <f t="shared" si="14"/>
        <v>14.4</v>
      </c>
      <c r="E179" s="70">
        <f t="shared" si="15"/>
        <v>-0.6</v>
      </c>
      <c r="F179" s="71">
        <f t="shared" si="16"/>
        <v>-29.4</v>
      </c>
      <c r="G179" s="72">
        <f t="shared" si="17"/>
        <v>-14.4</v>
      </c>
      <c r="H179" s="73">
        <f t="shared" si="18"/>
        <v>0.6</v>
      </c>
    </row>
    <row r="180" spans="1:8" x14ac:dyDescent="0.25">
      <c r="A180" s="26">
        <v>-560</v>
      </c>
      <c r="B180" s="25">
        <v>2.0240000000000001E-2</v>
      </c>
      <c r="C180" s="68">
        <f t="shared" si="13"/>
        <v>29.392800000000001</v>
      </c>
      <c r="D180" s="69">
        <f t="shared" si="14"/>
        <v>14.392799999999999</v>
      </c>
      <c r="E180" s="70">
        <f t="shared" si="15"/>
        <v>-0.60720000000000007</v>
      </c>
      <c r="F180" s="71">
        <f t="shared" si="16"/>
        <v>-29.392800000000001</v>
      </c>
      <c r="G180" s="72">
        <f t="shared" si="17"/>
        <v>-14.392799999999999</v>
      </c>
      <c r="H180" s="73">
        <f t="shared" si="18"/>
        <v>0.60720000000000007</v>
      </c>
    </row>
    <row r="181" spans="1:8" x14ac:dyDescent="0.25">
      <c r="A181" s="26">
        <v>-559</v>
      </c>
      <c r="B181" s="25">
        <v>2.0480000000000002E-2</v>
      </c>
      <c r="C181" s="68">
        <f t="shared" si="13"/>
        <v>29.3856</v>
      </c>
      <c r="D181" s="69">
        <f t="shared" si="14"/>
        <v>14.3856</v>
      </c>
      <c r="E181" s="70">
        <f t="shared" si="15"/>
        <v>-0.61440000000000006</v>
      </c>
      <c r="F181" s="71">
        <f t="shared" si="16"/>
        <v>-29.3856</v>
      </c>
      <c r="G181" s="72">
        <f t="shared" si="17"/>
        <v>-14.3856</v>
      </c>
      <c r="H181" s="73">
        <f t="shared" si="18"/>
        <v>0.61440000000000006</v>
      </c>
    </row>
    <row r="182" spans="1:8" x14ac:dyDescent="0.25">
      <c r="A182" s="26">
        <v>-558</v>
      </c>
      <c r="B182" s="25">
        <v>2.0709999999999999E-2</v>
      </c>
      <c r="C182" s="68">
        <f t="shared" si="13"/>
        <v>29.378699999999998</v>
      </c>
      <c r="D182" s="69">
        <f t="shared" si="14"/>
        <v>14.3787</v>
      </c>
      <c r="E182" s="70">
        <f t="shared" si="15"/>
        <v>-0.62129999999999996</v>
      </c>
      <c r="F182" s="71">
        <f t="shared" si="16"/>
        <v>-29.378699999999998</v>
      </c>
      <c r="G182" s="72">
        <f t="shared" si="17"/>
        <v>-14.3787</v>
      </c>
      <c r="H182" s="73">
        <f t="shared" si="18"/>
        <v>0.62129999999999996</v>
      </c>
    </row>
    <row r="183" spans="1:8" x14ac:dyDescent="0.25">
      <c r="A183" s="26">
        <v>-557</v>
      </c>
      <c r="B183" s="25">
        <v>2.095E-2</v>
      </c>
      <c r="C183" s="68">
        <f t="shared" si="13"/>
        <v>29.371500000000001</v>
      </c>
      <c r="D183" s="69">
        <f t="shared" si="14"/>
        <v>14.371499999999999</v>
      </c>
      <c r="E183" s="70">
        <f t="shared" si="15"/>
        <v>-0.62849999999999995</v>
      </c>
      <c r="F183" s="71">
        <f t="shared" si="16"/>
        <v>-29.371500000000001</v>
      </c>
      <c r="G183" s="72">
        <f t="shared" si="17"/>
        <v>-14.371499999999999</v>
      </c>
      <c r="H183" s="73">
        <f t="shared" si="18"/>
        <v>0.62849999999999995</v>
      </c>
    </row>
    <row r="184" spans="1:8" x14ac:dyDescent="0.25">
      <c r="A184" s="26">
        <v>-556</v>
      </c>
      <c r="B184" s="25">
        <v>2.1190000000000001E-2</v>
      </c>
      <c r="C184" s="68">
        <f t="shared" si="13"/>
        <v>29.3643</v>
      </c>
      <c r="D184" s="69">
        <f t="shared" si="14"/>
        <v>14.3643</v>
      </c>
      <c r="E184" s="70">
        <f t="shared" si="15"/>
        <v>-0.63570000000000004</v>
      </c>
      <c r="F184" s="71">
        <f t="shared" si="16"/>
        <v>-29.3643</v>
      </c>
      <c r="G184" s="72">
        <f t="shared" si="17"/>
        <v>-14.3643</v>
      </c>
      <c r="H184" s="73">
        <f t="shared" si="18"/>
        <v>0.63570000000000004</v>
      </c>
    </row>
    <row r="185" spans="1:8" x14ac:dyDescent="0.25">
      <c r="A185" s="26">
        <v>-555</v>
      </c>
      <c r="B185" s="25">
        <v>2.1430000000000001E-2</v>
      </c>
      <c r="C185" s="68">
        <f t="shared" si="13"/>
        <v>29.357099999999999</v>
      </c>
      <c r="D185" s="69">
        <f t="shared" si="14"/>
        <v>14.357099999999999</v>
      </c>
      <c r="E185" s="70">
        <f t="shared" si="15"/>
        <v>-0.64290000000000003</v>
      </c>
      <c r="F185" s="71">
        <f t="shared" si="16"/>
        <v>-29.357099999999999</v>
      </c>
      <c r="G185" s="72">
        <f t="shared" si="17"/>
        <v>-14.357099999999999</v>
      </c>
      <c r="H185" s="73">
        <f t="shared" si="18"/>
        <v>0.64290000000000003</v>
      </c>
    </row>
    <row r="186" spans="1:8" x14ac:dyDescent="0.25">
      <c r="A186" s="26">
        <v>-554</v>
      </c>
      <c r="B186" s="25">
        <v>2.1669999999999998E-2</v>
      </c>
      <c r="C186" s="68">
        <f t="shared" si="13"/>
        <v>29.349900000000002</v>
      </c>
      <c r="D186" s="69">
        <f t="shared" si="14"/>
        <v>14.3499</v>
      </c>
      <c r="E186" s="70">
        <f t="shared" si="15"/>
        <v>-0.6500999999999999</v>
      </c>
      <c r="F186" s="71">
        <f t="shared" si="16"/>
        <v>-29.349900000000002</v>
      </c>
      <c r="G186" s="72">
        <f t="shared" si="17"/>
        <v>-14.3499</v>
      </c>
      <c r="H186" s="73">
        <f t="shared" si="18"/>
        <v>0.6500999999999999</v>
      </c>
    </row>
    <row r="187" spans="1:8" x14ac:dyDescent="0.25">
      <c r="A187" s="26">
        <v>-553</v>
      </c>
      <c r="B187" s="25">
        <v>2.1899999999999999E-2</v>
      </c>
      <c r="C187" s="68">
        <f t="shared" si="13"/>
        <v>29.343</v>
      </c>
      <c r="D187" s="69">
        <f t="shared" si="14"/>
        <v>14.343</v>
      </c>
      <c r="E187" s="70">
        <f t="shared" si="15"/>
        <v>-0.65700000000000003</v>
      </c>
      <c r="F187" s="71">
        <f t="shared" si="16"/>
        <v>-29.343</v>
      </c>
      <c r="G187" s="72">
        <f t="shared" si="17"/>
        <v>-14.343</v>
      </c>
      <c r="H187" s="73">
        <f t="shared" si="18"/>
        <v>0.65700000000000003</v>
      </c>
    </row>
    <row r="188" spans="1:8" x14ac:dyDescent="0.25">
      <c r="A188" s="26">
        <v>-552</v>
      </c>
      <c r="B188" s="25">
        <v>2.214E-2</v>
      </c>
      <c r="C188" s="68">
        <f t="shared" si="13"/>
        <v>29.335799999999999</v>
      </c>
      <c r="D188" s="69">
        <f t="shared" si="14"/>
        <v>14.335800000000001</v>
      </c>
      <c r="E188" s="70">
        <f t="shared" si="15"/>
        <v>-0.66420000000000001</v>
      </c>
      <c r="F188" s="71">
        <f t="shared" si="16"/>
        <v>-29.335799999999999</v>
      </c>
      <c r="G188" s="72">
        <f t="shared" si="17"/>
        <v>-14.335800000000001</v>
      </c>
      <c r="H188" s="73">
        <f t="shared" si="18"/>
        <v>0.66420000000000001</v>
      </c>
    </row>
    <row r="189" spans="1:8" x14ac:dyDescent="0.25">
      <c r="A189" s="26">
        <v>-551</v>
      </c>
      <c r="B189" s="25">
        <v>2.2380000000000001E-2</v>
      </c>
      <c r="C189" s="68">
        <f t="shared" si="13"/>
        <v>29.328600000000002</v>
      </c>
      <c r="D189" s="69">
        <f t="shared" si="14"/>
        <v>14.3286</v>
      </c>
      <c r="E189" s="70">
        <f t="shared" si="15"/>
        <v>-0.6714</v>
      </c>
      <c r="F189" s="71">
        <f t="shared" si="16"/>
        <v>-29.328600000000002</v>
      </c>
      <c r="G189" s="72">
        <f t="shared" si="17"/>
        <v>-14.3286</v>
      </c>
      <c r="H189" s="73">
        <f t="shared" si="18"/>
        <v>0.6714</v>
      </c>
    </row>
    <row r="190" spans="1:8" x14ac:dyDescent="0.25">
      <c r="A190" s="26">
        <v>-550</v>
      </c>
      <c r="B190" s="25">
        <v>2.2620000000000001E-2</v>
      </c>
      <c r="C190" s="68">
        <f t="shared" si="13"/>
        <v>29.321400000000001</v>
      </c>
      <c r="D190" s="69">
        <f t="shared" si="14"/>
        <v>14.321400000000001</v>
      </c>
      <c r="E190" s="70">
        <f t="shared" si="15"/>
        <v>-0.67860000000000009</v>
      </c>
      <c r="F190" s="71">
        <f t="shared" si="16"/>
        <v>-29.321400000000001</v>
      </c>
      <c r="G190" s="72">
        <f t="shared" si="17"/>
        <v>-14.321400000000001</v>
      </c>
      <c r="H190" s="73">
        <f t="shared" si="18"/>
        <v>0.67860000000000009</v>
      </c>
    </row>
    <row r="191" spans="1:8" x14ac:dyDescent="0.25">
      <c r="A191" s="26">
        <v>-549</v>
      </c>
      <c r="B191" s="25">
        <v>2.2859999999999998E-2</v>
      </c>
      <c r="C191" s="68">
        <f t="shared" si="13"/>
        <v>29.3142</v>
      </c>
      <c r="D191" s="69">
        <f t="shared" si="14"/>
        <v>14.3142</v>
      </c>
      <c r="E191" s="70">
        <f t="shared" si="15"/>
        <v>-0.68579999999999997</v>
      </c>
      <c r="F191" s="71">
        <f t="shared" si="16"/>
        <v>-29.3142</v>
      </c>
      <c r="G191" s="72">
        <f t="shared" si="17"/>
        <v>-14.3142</v>
      </c>
      <c r="H191" s="73">
        <f t="shared" si="18"/>
        <v>0.68579999999999997</v>
      </c>
    </row>
    <row r="192" spans="1:8" x14ac:dyDescent="0.25">
      <c r="A192" s="26">
        <v>-548</v>
      </c>
      <c r="B192" s="25">
        <v>2.3099999999999999E-2</v>
      </c>
      <c r="C192" s="68">
        <f t="shared" si="13"/>
        <v>29.306999999999999</v>
      </c>
      <c r="D192" s="69">
        <f t="shared" si="14"/>
        <v>14.307</v>
      </c>
      <c r="E192" s="70">
        <f t="shared" si="15"/>
        <v>-0.69299999999999995</v>
      </c>
      <c r="F192" s="71">
        <f t="shared" si="16"/>
        <v>-29.306999999999999</v>
      </c>
      <c r="G192" s="72">
        <f t="shared" si="17"/>
        <v>-14.307</v>
      </c>
      <c r="H192" s="73">
        <f t="shared" si="18"/>
        <v>0.69299999999999995</v>
      </c>
    </row>
    <row r="193" spans="1:8" x14ac:dyDescent="0.25">
      <c r="A193" s="26">
        <v>-547</v>
      </c>
      <c r="B193" s="25">
        <v>2.333E-2</v>
      </c>
      <c r="C193" s="68">
        <f t="shared" si="13"/>
        <v>29.3001</v>
      </c>
      <c r="D193" s="69">
        <f t="shared" si="14"/>
        <v>14.3001</v>
      </c>
      <c r="E193" s="70">
        <f t="shared" si="15"/>
        <v>-0.69989999999999997</v>
      </c>
      <c r="F193" s="71">
        <f t="shared" si="16"/>
        <v>-29.3001</v>
      </c>
      <c r="G193" s="72">
        <f t="shared" si="17"/>
        <v>-14.3001</v>
      </c>
      <c r="H193" s="73">
        <f t="shared" si="18"/>
        <v>0.69989999999999997</v>
      </c>
    </row>
    <row r="194" spans="1:8" x14ac:dyDescent="0.25">
      <c r="A194" s="26">
        <v>-546</v>
      </c>
      <c r="B194" s="25">
        <v>2.3570000000000001E-2</v>
      </c>
      <c r="C194" s="68">
        <f t="shared" si="13"/>
        <v>29.292899999999999</v>
      </c>
      <c r="D194" s="69">
        <f t="shared" si="14"/>
        <v>14.292899999999999</v>
      </c>
      <c r="E194" s="70">
        <f t="shared" si="15"/>
        <v>-0.70710000000000006</v>
      </c>
      <c r="F194" s="71">
        <f t="shared" si="16"/>
        <v>-29.292899999999999</v>
      </c>
      <c r="G194" s="72">
        <f t="shared" si="17"/>
        <v>-14.292899999999999</v>
      </c>
      <c r="H194" s="73">
        <f t="shared" si="18"/>
        <v>0.70710000000000006</v>
      </c>
    </row>
    <row r="195" spans="1:8" x14ac:dyDescent="0.25">
      <c r="A195" s="26">
        <v>-545</v>
      </c>
      <c r="B195" s="25">
        <v>2.3810000000000001E-2</v>
      </c>
      <c r="C195" s="68">
        <f t="shared" si="13"/>
        <v>29.285699999999999</v>
      </c>
      <c r="D195" s="69">
        <f t="shared" si="14"/>
        <v>14.2857</v>
      </c>
      <c r="E195" s="70">
        <f t="shared" si="15"/>
        <v>-0.71430000000000005</v>
      </c>
      <c r="F195" s="71">
        <f t="shared" si="16"/>
        <v>-29.285699999999999</v>
      </c>
      <c r="G195" s="72">
        <f t="shared" si="17"/>
        <v>-14.2857</v>
      </c>
      <c r="H195" s="73">
        <f t="shared" si="18"/>
        <v>0.71430000000000005</v>
      </c>
    </row>
    <row r="196" spans="1:8" x14ac:dyDescent="0.25">
      <c r="A196" s="26">
        <v>-544</v>
      </c>
      <c r="B196" s="25">
        <v>2.4049999999999998E-2</v>
      </c>
      <c r="C196" s="68">
        <f t="shared" si="13"/>
        <v>29.278500000000001</v>
      </c>
      <c r="D196" s="69">
        <f t="shared" si="14"/>
        <v>14.278499999999999</v>
      </c>
      <c r="E196" s="70">
        <f t="shared" si="15"/>
        <v>-0.72149999999999992</v>
      </c>
      <c r="F196" s="71">
        <f t="shared" si="16"/>
        <v>-29.278500000000001</v>
      </c>
      <c r="G196" s="72">
        <f t="shared" si="17"/>
        <v>-14.278499999999999</v>
      </c>
      <c r="H196" s="73">
        <f t="shared" si="18"/>
        <v>0.72149999999999992</v>
      </c>
    </row>
    <row r="197" spans="1:8" x14ac:dyDescent="0.25">
      <c r="A197" s="26">
        <v>-543</v>
      </c>
      <c r="B197" s="25">
        <v>2.4289999999999999E-2</v>
      </c>
      <c r="C197" s="68">
        <f t="shared" si="13"/>
        <v>29.2713</v>
      </c>
      <c r="D197" s="69">
        <f t="shared" si="14"/>
        <v>14.2713</v>
      </c>
      <c r="E197" s="70">
        <f t="shared" si="15"/>
        <v>-0.72870000000000001</v>
      </c>
      <c r="F197" s="71">
        <f t="shared" si="16"/>
        <v>-29.2713</v>
      </c>
      <c r="G197" s="72">
        <f t="shared" si="17"/>
        <v>-14.2713</v>
      </c>
      <c r="H197" s="73">
        <f t="shared" si="18"/>
        <v>0.72870000000000001</v>
      </c>
    </row>
    <row r="198" spans="1:8" x14ac:dyDescent="0.25">
      <c r="A198" s="26">
        <v>-542</v>
      </c>
      <c r="B198" s="25">
        <v>2.452E-2</v>
      </c>
      <c r="C198" s="68">
        <f t="shared" si="13"/>
        <v>29.264399999999998</v>
      </c>
      <c r="D198" s="69">
        <f t="shared" si="14"/>
        <v>14.2644</v>
      </c>
      <c r="E198" s="70">
        <f t="shared" si="15"/>
        <v>-0.73560000000000003</v>
      </c>
      <c r="F198" s="71">
        <f t="shared" si="16"/>
        <v>-29.264399999999998</v>
      </c>
      <c r="G198" s="72">
        <f t="shared" si="17"/>
        <v>-14.2644</v>
      </c>
      <c r="H198" s="73">
        <f t="shared" si="18"/>
        <v>0.73560000000000003</v>
      </c>
    </row>
    <row r="199" spans="1:8" x14ac:dyDescent="0.25">
      <c r="A199" s="26">
        <v>-541</v>
      </c>
      <c r="B199" s="25">
        <v>2.4760000000000001E-2</v>
      </c>
      <c r="C199" s="68">
        <f t="shared" ref="C199:C262" si="19">KFactor-KFactor*B199</f>
        <v>29.257200000000001</v>
      </c>
      <c r="D199" s="69">
        <f t="shared" ref="D199:D262" si="20">KFactor/2-KFactor*B199</f>
        <v>14.257199999999999</v>
      </c>
      <c r="E199" s="70">
        <f t="shared" ref="E199:E262" si="21">0-KFactor*B199</f>
        <v>-0.74280000000000002</v>
      </c>
      <c r="F199" s="71">
        <f t="shared" ref="F199:F262" si="22">-C199</f>
        <v>-29.257200000000001</v>
      </c>
      <c r="G199" s="72">
        <f t="shared" ref="G199:G262" si="23">-D199</f>
        <v>-14.257199999999999</v>
      </c>
      <c r="H199" s="73">
        <f t="shared" ref="H199:H262" si="24">-E199</f>
        <v>0.74280000000000002</v>
      </c>
    </row>
    <row r="200" spans="1:8" x14ac:dyDescent="0.25">
      <c r="A200" s="26">
        <v>-540</v>
      </c>
      <c r="B200" s="25">
        <v>2.5000000000000001E-2</v>
      </c>
      <c r="C200" s="68">
        <f t="shared" si="19"/>
        <v>29.25</v>
      </c>
      <c r="D200" s="69">
        <f t="shared" si="20"/>
        <v>14.25</v>
      </c>
      <c r="E200" s="70">
        <f t="shared" si="21"/>
        <v>-0.75</v>
      </c>
      <c r="F200" s="71">
        <f t="shared" si="22"/>
        <v>-29.25</v>
      </c>
      <c r="G200" s="72">
        <f t="shared" si="23"/>
        <v>-14.25</v>
      </c>
      <c r="H200" s="73">
        <f t="shared" si="24"/>
        <v>0.75</v>
      </c>
    </row>
    <row r="201" spans="1:8" x14ac:dyDescent="0.25">
      <c r="A201" s="26">
        <v>-539</v>
      </c>
      <c r="B201" s="25">
        <v>2.5239999999999999E-2</v>
      </c>
      <c r="C201" s="68">
        <f t="shared" si="19"/>
        <v>29.242799999999999</v>
      </c>
      <c r="D201" s="69">
        <f t="shared" si="20"/>
        <v>14.242800000000001</v>
      </c>
      <c r="E201" s="70">
        <f t="shared" si="21"/>
        <v>-0.75719999999999998</v>
      </c>
      <c r="F201" s="71">
        <f t="shared" si="22"/>
        <v>-29.242799999999999</v>
      </c>
      <c r="G201" s="72">
        <f t="shared" si="23"/>
        <v>-14.242800000000001</v>
      </c>
      <c r="H201" s="73">
        <f t="shared" si="24"/>
        <v>0.75719999999999998</v>
      </c>
    </row>
    <row r="202" spans="1:8" x14ac:dyDescent="0.25">
      <c r="A202" s="26">
        <v>-538</v>
      </c>
      <c r="B202" s="25">
        <v>2.5479999999999999E-2</v>
      </c>
      <c r="C202" s="68">
        <f t="shared" si="19"/>
        <v>29.235600000000002</v>
      </c>
      <c r="D202" s="69">
        <f t="shared" si="20"/>
        <v>14.2356</v>
      </c>
      <c r="E202" s="70">
        <f t="shared" si="21"/>
        <v>-0.76439999999999997</v>
      </c>
      <c r="F202" s="71">
        <f t="shared" si="22"/>
        <v>-29.235600000000002</v>
      </c>
      <c r="G202" s="72">
        <f t="shared" si="23"/>
        <v>-14.2356</v>
      </c>
      <c r="H202" s="73">
        <f t="shared" si="24"/>
        <v>0.76439999999999997</v>
      </c>
    </row>
    <row r="203" spans="1:8" x14ac:dyDescent="0.25">
      <c r="A203" s="26">
        <v>-537</v>
      </c>
      <c r="B203" s="25">
        <v>2.571E-2</v>
      </c>
      <c r="C203" s="68">
        <f t="shared" si="19"/>
        <v>29.2287</v>
      </c>
      <c r="D203" s="69">
        <f t="shared" si="20"/>
        <v>14.2287</v>
      </c>
      <c r="E203" s="70">
        <f t="shared" si="21"/>
        <v>-0.77129999999999999</v>
      </c>
      <c r="F203" s="71">
        <f t="shared" si="22"/>
        <v>-29.2287</v>
      </c>
      <c r="G203" s="72">
        <f t="shared" si="23"/>
        <v>-14.2287</v>
      </c>
      <c r="H203" s="73">
        <f t="shared" si="24"/>
        <v>0.77129999999999999</v>
      </c>
    </row>
    <row r="204" spans="1:8" x14ac:dyDescent="0.25">
      <c r="A204" s="26">
        <v>-536</v>
      </c>
      <c r="B204" s="25">
        <v>2.5950000000000001E-2</v>
      </c>
      <c r="C204" s="68">
        <f t="shared" si="19"/>
        <v>29.221499999999999</v>
      </c>
      <c r="D204" s="69">
        <f t="shared" si="20"/>
        <v>14.221500000000001</v>
      </c>
      <c r="E204" s="70">
        <f t="shared" si="21"/>
        <v>-0.77849999999999997</v>
      </c>
      <c r="F204" s="71">
        <f t="shared" si="22"/>
        <v>-29.221499999999999</v>
      </c>
      <c r="G204" s="72">
        <f t="shared" si="23"/>
        <v>-14.221500000000001</v>
      </c>
      <c r="H204" s="73">
        <f t="shared" si="24"/>
        <v>0.77849999999999997</v>
      </c>
    </row>
    <row r="205" spans="1:8" x14ac:dyDescent="0.25">
      <c r="A205" s="26">
        <v>-535</v>
      </c>
      <c r="B205" s="25">
        <v>2.6190000000000001E-2</v>
      </c>
      <c r="C205" s="68">
        <f t="shared" si="19"/>
        <v>29.214300000000001</v>
      </c>
      <c r="D205" s="69">
        <f t="shared" si="20"/>
        <v>14.2143</v>
      </c>
      <c r="E205" s="70">
        <f t="shared" si="21"/>
        <v>-0.78570000000000007</v>
      </c>
      <c r="F205" s="71">
        <f t="shared" si="22"/>
        <v>-29.214300000000001</v>
      </c>
      <c r="G205" s="72">
        <f t="shared" si="23"/>
        <v>-14.2143</v>
      </c>
      <c r="H205" s="73">
        <f t="shared" si="24"/>
        <v>0.78570000000000007</v>
      </c>
    </row>
    <row r="206" spans="1:8" x14ac:dyDescent="0.25">
      <c r="A206" s="26">
        <v>-534</v>
      </c>
      <c r="B206" s="25">
        <v>2.6429999999999999E-2</v>
      </c>
      <c r="C206" s="68">
        <f t="shared" si="19"/>
        <v>29.207100000000001</v>
      </c>
      <c r="D206" s="69">
        <f t="shared" si="20"/>
        <v>14.207100000000001</v>
      </c>
      <c r="E206" s="70">
        <f t="shared" si="21"/>
        <v>-0.79289999999999994</v>
      </c>
      <c r="F206" s="71">
        <f t="shared" si="22"/>
        <v>-29.207100000000001</v>
      </c>
      <c r="G206" s="72">
        <f t="shared" si="23"/>
        <v>-14.207100000000001</v>
      </c>
      <c r="H206" s="73">
        <f t="shared" si="24"/>
        <v>0.79289999999999994</v>
      </c>
    </row>
    <row r="207" spans="1:8" x14ac:dyDescent="0.25">
      <c r="A207" s="26">
        <v>-533</v>
      </c>
      <c r="B207" s="25">
        <v>2.6669999999999999E-2</v>
      </c>
      <c r="C207" s="68">
        <f t="shared" si="19"/>
        <v>29.1999</v>
      </c>
      <c r="D207" s="69">
        <f t="shared" si="20"/>
        <v>14.1999</v>
      </c>
      <c r="E207" s="70">
        <f t="shared" si="21"/>
        <v>-0.80010000000000003</v>
      </c>
      <c r="F207" s="71">
        <f t="shared" si="22"/>
        <v>-29.1999</v>
      </c>
      <c r="G207" s="72">
        <f t="shared" si="23"/>
        <v>-14.1999</v>
      </c>
      <c r="H207" s="73">
        <f t="shared" si="24"/>
        <v>0.80010000000000003</v>
      </c>
    </row>
    <row r="208" spans="1:8" x14ac:dyDescent="0.25">
      <c r="A208" s="26">
        <v>-532</v>
      </c>
      <c r="B208" s="25">
        <v>2.69E-2</v>
      </c>
      <c r="C208" s="68">
        <f t="shared" si="19"/>
        <v>29.193000000000001</v>
      </c>
      <c r="D208" s="69">
        <f t="shared" si="20"/>
        <v>14.193</v>
      </c>
      <c r="E208" s="70">
        <f t="shared" si="21"/>
        <v>-0.80700000000000005</v>
      </c>
      <c r="F208" s="71">
        <f t="shared" si="22"/>
        <v>-29.193000000000001</v>
      </c>
      <c r="G208" s="72">
        <f t="shared" si="23"/>
        <v>-14.193</v>
      </c>
      <c r="H208" s="73">
        <f t="shared" si="24"/>
        <v>0.80700000000000005</v>
      </c>
    </row>
    <row r="209" spans="1:8" x14ac:dyDescent="0.25">
      <c r="A209" s="26">
        <v>-531</v>
      </c>
      <c r="B209" s="25">
        <v>2.7140000000000001E-2</v>
      </c>
      <c r="C209" s="68">
        <f t="shared" si="19"/>
        <v>29.1858</v>
      </c>
      <c r="D209" s="69">
        <f t="shared" si="20"/>
        <v>14.1858</v>
      </c>
      <c r="E209" s="70">
        <f t="shared" si="21"/>
        <v>-0.81420000000000003</v>
      </c>
      <c r="F209" s="71">
        <f t="shared" si="22"/>
        <v>-29.1858</v>
      </c>
      <c r="G209" s="72">
        <f t="shared" si="23"/>
        <v>-14.1858</v>
      </c>
      <c r="H209" s="73">
        <f t="shared" si="24"/>
        <v>0.81420000000000003</v>
      </c>
    </row>
    <row r="210" spans="1:8" x14ac:dyDescent="0.25">
      <c r="A210" s="26">
        <v>-530</v>
      </c>
      <c r="B210" s="25">
        <v>2.7380000000000002E-2</v>
      </c>
      <c r="C210" s="68">
        <f t="shared" si="19"/>
        <v>29.178599999999999</v>
      </c>
      <c r="D210" s="69">
        <f t="shared" si="20"/>
        <v>14.178599999999999</v>
      </c>
      <c r="E210" s="70">
        <f t="shared" si="21"/>
        <v>-0.82140000000000002</v>
      </c>
      <c r="F210" s="71">
        <f t="shared" si="22"/>
        <v>-29.178599999999999</v>
      </c>
      <c r="G210" s="72">
        <f t="shared" si="23"/>
        <v>-14.178599999999999</v>
      </c>
      <c r="H210" s="73">
        <f t="shared" si="24"/>
        <v>0.82140000000000002</v>
      </c>
    </row>
    <row r="211" spans="1:8" x14ac:dyDescent="0.25">
      <c r="A211" s="26">
        <v>-529</v>
      </c>
      <c r="B211" s="25">
        <v>2.7619999999999999E-2</v>
      </c>
      <c r="C211" s="68">
        <f t="shared" si="19"/>
        <v>29.171399999999998</v>
      </c>
      <c r="D211" s="69">
        <f t="shared" si="20"/>
        <v>14.1714</v>
      </c>
      <c r="E211" s="70">
        <f t="shared" si="21"/>
        <v>-0.8286</v>
      </c>
      <c r="F211" s="71">
        <f t="shared" si="22"/>
        <v>-29.171399999999998</v>
      </c>
      <c r="G211" s="72">
        <f t="shared" si="23"/>
        <v>-14.1714</v>
      </c>
      <c r="H211" s="73">
        <f t="shared" si="24"/>
        <v>0.8286</v>
      </c>
    </row>
    <row r="212" spans="1:8" x14ac:dyDescent="0.25">
      <c r="A212" s="26">
        <v>-528</v>
      </c>
      <c r="B212" s="25">
        <v>2.7859999999999999E-2</v>
      </c>
      <c r="C212" s="68">
        <f t="shared" si="19"/>
        <v>29.164200000000001</v>
      </c>
      <c r="D212" s="69">
        <f t="shared" si="20"/>
        <v>14.164199999999999</v>
      </c>
      <c r="E212" s="70">
        <f t="shared" si="21"/>
        <v>-0.83579999999999999</v>
      </c>
      <c r="F212" s="71">
        <f t="shared" si="22"/>
        <v>-29.164200000000001</v>
      </c>
      <c r="G212" s="72">
        <f t="shared" si="23"/>
        <v>-14.164199999999999</v>
      </c>
      <c r="H212" s="73">
        <f t="shared" si="24"/>
        <v>0.83579999999999999</v>
      </c>
    </row>
    <row r="213" spans="1:8" x14ac:dyDescent="0.25">
      <c r="A213" s="26">
        <v>-527</v>
      </c>
      <c r="B213" s="25">
        <v>2.81E-2</v>
      </c>
      <c r="C213" s="68">
        <f t="shared" si="19"/>
        <v>29.157</v>
      </c>
      <c r="D213" s="69">
        <f t="shared" si="20"/>
        <v>14.157</v>
      </c>
      <c r="E213" s="70">
        <f t="shared" si="21"/>
        <v>-0.84299999999999997</v>
      </c>
      <c r="F213" s="71">
        <f t="shared" si="22"/>
        <v>-29.157</v>
      </c>
      <c r="G213" s="72">
        <f t="shared" si="23"/>
        <v>-14.157</v>
      </c>
      <c r="H213" s="73">
        <f t="shared" si="24"/>
        <v>0.84299999999999997</v>
      </c>
    </row>
    <row r="214" spans="1:8" x14ac:dyDescent="0.25">
      <c r="A214" s="26">
        <v>-526</v>
      </c>
      <c r="B214" s="25">
        <v>2.8330000000000001E-2</v>
      </c>
      <c r="C214" s="68">
        <f t="shared" si="19"/>
        <v>29.150099999999998</v>
      </c>
      <c r="D214" s="69">
        <f t="shared" si="20"/>
        <v>14.1501</v>
      </c>
      <c r="E214" s="70">
        <f t="shared" si="21"/>
        <v>-0.84989999999999999</v>
      </c>
      <c r="F214" s="71">
        <f t="shared" si="22"/>
        <v>-29.150099999999998</v>
      </c>
      <c r="G214" s="72">
        <f t="shared" si="23"/>
        <v>-14.1501</v>
      </c>
      <c r="H214" s="73">
        <f t="shared" si="24"/>
        <v>0.84989999999999999</v>
      </c>
    </row>
    <row r="215" spans="1:8" x14ac:dyDescent="0.25">
      <c r="A215" s="26">
        <v>-525</v>
      </c>
      <c r="B215" s="25">
        <v>2.8570000000000002E-2</v>
      </c>
      <c r="C215" s="68">
        <f t="shared" si="19"/>
        <v>29.142900000000001</v>
      </c>
      <c r="D215" s="69">
        <f t="shared" si="20"/>
        <v>14.142899999999999</v>
      </c>
      <c r="E215" s="70">
        <f t="shared" si="21"/>
        <v>-0.85710000000000008</v>
      </c>
      <c r="F215" s="71">
        <f t="shared" si="22"/>
        <v>-29.142900000000001</v>
      </c>
      <c r="G215" s="72">
        <f t="shared" si="23"/>
        <v>-14.142899999999999</v>
      </c>
      <c r="H215" s="73">
        <f t="shared" si="24"/>
        <v>0.85710000000000008</v>
      </c>
    </row>
    <row r="216" spans="1:8" x14ac:dyDescent="0.25">
      <c r="A216" s="26">
        <v>-524</v>
      </c>
      <c r="B216" s="25">
        <v>2.8809999999999999E-2</v>
      </c>
      <c r="C216" s="68">
        <f t="shared" si="19"/>
        <v>29.1357</v>
      </c>
      <c r="D216" s="69">
        <f t="shared" si="20"/>
        <v>14.1357</v>
      </c>
      <c r="E216" s="70">
        <f t="shared" si="21"/>
        <v>-0.86429999999999996</v>
      </c>
      <c r="F216" s="71">
        <f t="shared" si="22"/>
        <v>-29.1357</v>
      </c>
      <c r="G216" s="72">
        <f t="shared" si="23"/>
        <v>-14.1357</v>
      </c>
      <c r="H216" s="73">
        <f t="shared" si="24"/>
        <v>0.86429999999999996</v>
      </c>
    </row>
    <row r="217" spans="1:8" x14ac:dyDescent="0.25">
      <c r="A217" s="26">
        <v>-523</v>
      </c>
      <c r="B217" s="25">
        <v>2.9049999999999999E-2</v>
      </c>
      <c r="C217" s="68">
        <f t="shared" si="19"/>
        <v>29.128499999999999</v>
      </c>
      <c r="D217" s="69">
        <f t="shared" si="20"/>
        <v>14.128500000000001</v>
      </c>
      <c r="E217" s="70">
        <f t="shared" si="21"/>
        <v>-0.87149999999999994</v>
      </c>
      <c r="F217" s="71">
        <f t="shared" si="22"/>
        <v>-29.128499999999999</v>
      </c>
      <c r="G217" s="72">
        <f t="shared" si="23"/>
        <v>-14.128500000000001</v>
      </c>
      <c r="H217" s="73">
        <f t="shared" si="24"/>
        <v>0.87149999999999994</v>
      </c>
    </row>
    <row r="218" spans="1:8" x14ac:dyDescent="0.25">
      <c r="A218" s="26">
        <v>-522</v>
      </c>
      <c r="B218" s="25">
        <v>2.929E-2</v>
      </c>
      <c r="C218" s="68">
        <f t="shared" si="19"/>
        <v>29.121300000000002</v>
      </c>
      <c r="D218" s="69">
        <f t="shared" si="20"/>
        <v>14.1213</v>
      </c>
      <c r="E218" s="70">
        <f t="shared" si="21"/>
        <v>-0.87870000000000004</v>
      </c>
      <c r="F218" s="71">
        <f t="shared" si="22"/>
        <v>-29.121300000000002</v>
      </c>
      <c r="G218" s="72">
        <f t="shared" si="23"/>
        <v>-14.1213</v>
      </c>
      <c r="H218" s="73">
        <f t="shared" si="24"/>
        <v>0.87870000000000004</v>
      </c>
    </row>
    <row r="219" spans="1:8" x14ac:dyDescent="0.25">
      <c r="A219" s="26">
        <v>-521</v>
      </c>
      <c r="B219" s="25">
        <v>2.9520000000000001E-2</v>
      </c>
      <c r="C219" s="68">
        <f t="shared" si="19"/>
        <v>29.1144</v>
      </c>
      <c r="D219" s="69">
        <f t="shared" si="20"/>
        <v>14.1144</v>
      </c>
      <c r="E219" s="70">
        <f t="shared" si="21"/>
        <v>-0.88560000000000005</v>
      </c>
      <c r="F219" s="71">
        <f t="shared" si="22"/>
        <v>-29.1144</v>
      </c>
      <c r="G219" s="72">
        <f t="shared" si="23"/>
        <v>-14.1144</v>
      </c>
      <c r="H219" s="73">
        <f t="shared" si="24"/>
        <v>0.88560000000000005</v>
      </c>
    </row>
    <row r="220" spans="1:8" x14ac:dyDescent="0.25">
      <c r="A220" s="26">
        <v>-520</v>
      </c>
      <c r="B220" s="25">
        <v>2.9760000000000002E-2</v>
      </c>
      <c r="C220" s="68">
        <f t="shared" si="19"/>
        <v>29.107199999999999</v>
      </c>
      <c r="D220" s="69">
        <f t="shared" si="20"/>
        <v>14.107200000000001</v>
      </c>
      <c r="E220" s="70">
        <f t="shared" si="21"/>
        <v>-0.89280000000000004</v>
      </c>
      <c r="F220" s="71">
        <f t="shared" si="22"/>
        <v>-29.107199999999999</v>
      </c>
      <c r="G220" s="72">
        <f t="shared" si="23"/>
        <v>-14.107200000000001</v>
      </c>
      <c r="H220" s="73">
        <f t="shared" si="24"/>
        <v>0.89280000000000004</v>
      </c>
    </row>
    <row r="221" spans="1:8" x14ac:dyDescent="0.25">
      <c r="A221" s="26">
        <v>-519</v>
      </c>
      <c r="B221" s="25">
        <v>0.03</v>
      </c>
      <c r="C221" s="68">
        <f t="shared" si="19"/>
        <v>29.1</v>
      </c>
      <c r="D221" s="69">
        <f t="shared" si="20"/>
        <v>14.1</v>
      </c>
      <c r="E221" s="70">
        <f t="shared" si="21"/>
        <v>-0.89999999999999991</v>
      </c>
      <c r="F221" s="71">
        <f t="shared" si="22"/>
        <v>-29.1</v>
      </c>
      <c r="G221" s="72">
        <f t="shared" si="23"/>
        <v>-14.1</v>
      </c>
      <c r="H221" s="73">
        <f t="shared" si="24"/>
        <v>0.89999999999999991</v>
      </c>
    </row>
    <row r="222" spans="1:8" x14ac:dyDescent="0.25">
      <c r="A222" s="26">
        <v>-518</v>
      </c>
      <c r="B222" s="25">
        <v>3.0300000000000001E-2</v>
      </c>
      <c r="C222" s="68">
        <f t="shared" si="19"/>
        <v>29.091000000000001</v>
      </c>
      <c r="D222" s="69">
        <f t="shared" si="20"/>
        <v>14.090999999999999</v>
      </c>
      <c r="E222" s="70">
        <f t="shared" si="21"/>
        <v>-0.90900000000000003</v>
      </c>
      <c r="F222" s="71">
        <f t="shared" si="22"/>
        <v>-29.091000000000001</v>
      </c>
      <c r="G222" s="72">
        <f t="shared" si="23"/>
        <v>-14.090999999999999</v>
      </c>
      <c r="H222" s="73">
        <f t="shared" si="24"/>
        <v>0.90900000000000003</v>
      </c>
    </row>
    <row r="223" spans="1:8" x14ac:dyDescent="0.25">
      <c r="A223" s="26">
        <v>-517</v>
      </c>
      <c r="B223" s="25">
        <v>3.0609999999999998E-2</v>
      </c>
      <c r="C223" s="68">
        <f t="shared" si="19"/>
        <v>29.081700000000001</v>
      </c>
      <c r="D223" s="69">
        <f t="shared" si="20"/>
        <v>14.0817</v>
      </c>
      <c r="E223" s="70">
        <f t="shared" si="21"/>
        <v>-0.91829999999999989</v>
      </c>
      <c r="F223" s="71">
        <f t="shared" si="22"/>
        <v>-29.081700000000001</v>
      </c>
      <c r="G223" s="72">
        <f t="shared" si="23"/>
        <v>-14.0817</v>
      </c>
      <c r="H223" s="73">
        <f t="shared" si="24"/>
        <v>0.91829999999999989</v>
      </c>
    </row>
    <row r="224" spans="1:8" x14ac:dyDescent="0.25">
      <c r="A224" s="26">
        <v>-516</v>
      </c>
      <c r="B224" s="25">
        <v>3.091E-2</v>
      </c>
      <c r="C224" s="68">
        <f t="shared" si="19"/>
        <v>29.072700000000001</v>
      </c>
      <c r="D224" s="69">
        <f t="shared" si="20"/>
        <v>14.072699999999999</v>
      </c>
      <c r="E224" s="70">
        <f t="shared" si="21"/>
        <v>-0.92730000000000001</v>
      </c>
      <c r="F224" s="71">
        <f t="shared" si="22"/>
        <v>-29.072700000000001</v>
      </c>
      <c r="G224" s="72">
        <f t="shared" si="23"/>
        <v>-14.072699999999999</v>
      </c>
      <c r="H224" s="73">
        <f t="shared" si="24"/>
        <v>0.92730000000000001</v>
      </c>
    </row>
    <row r="225" spans="1:8" x14ac:dyDescent="0.25">
      <c r="A225" s="26">
        <v>-515</v>
      </c>
      <c r="B225" s="25">
        <v>3.1210000000000002E-2</v>
      </c>
      <c r="C225" s="68">
        <f t="shared" si="19"/>
        <v>29.063700000000001</v>
      </c>
      <c r="D225" s="69">
        <f t="shared" si="20"/>
        <v>14.063700000000001</v>
      </c>
      <c r="E225" s="70">
        <f t="shared" si="21"/>
        <v>-0.93630000000000002</v>
      </c>
      <c r="F225" s="71">
        <f t="shared" si="22"/>
        <v>-29.063700000000001</v>
      </c>
      <c r="G225" s="72">
        <f t="shared" si="23"/>
        <v>-14.063700000000001</v>
      </c>
      <c r="H225" s="73">
        <f t="shared" si="24"/>
        <v>0.93630000000000002</v>
      </c>
    </row>
    <row r="226" spans="1:8" x14ac:dyDescent="0.25">
      <c r="A226" s="26">
        <v>-514</v>
      </c>
      <c r="B226" s="25">
        <v>3.1519999999999999E-2</v>
      </c>
      <c r="C226" s="68">
        <f t="shared" si="19"/>
        <v>29.054400000000001</v>
      </c>
      <c r="D226" s="69">
        <f t="shared" si="20"/>
        <v>14.054399999999999</v>
      </c>
      <c r="E226" s="70">
        <f t="shared" si="21"/>
        <v>-0.9456</v>
      </c>
      <c r="F226" s="71">
        <f t="shared" si="22"/>
        <v>-29.054400000000001</v>
      </c>
      <c r="G226" s="72">
        <f t="shared" si="23"/>
        <v>-14.054399999999999</v>
      </c>
      <c r="H226" s="73">
        <f t="shared" si="24"/>
        <v>0.9456</v>
      </c>
    </row>
    <row r="227" spans="1:8" x14ac:dyDescent="0.25">
      <c r="A227" s="26">
        <v>-513</v>
      </c>
      <c r="B227" s="25">
        <v>3.1820000000000001E-2</v>
      </c>
      <c r="C227" s="68">
        <f t="shared" si="19"/>
        <v>29.045400000000001</v>
      </c>
      <c r="D227" s="69">
        <f t="shared" si="20"/>
        <v>14.045400000000001</v>
      </c>
      <c r="E227" s="70">
        <f t="shared" si="21"/>
        <v>-0.9546</v>
      </c>
      <c r="F227" s="71">
        <f t="shared" si="22"/>
        <v>-29.045400000000001</v>
      </c>
      <c r="G227" s="72">
        <f t="shared" si="23"/>
        <v>-14.045400000000001</v>
      </c>
      <c r="H227" s="73">
        <f t="shared" si="24"/>
        <v>0.9546</v>
      </c>
    </row>
    <row r="228" spans="1:8" x14ac:dyDescent="0.25">
      <c r="A228" s="26">
        <v>-512</v>
      </c>
      <c r="B228" s="25">
        <v>3.2120000000000003E-2</v>
      </c>
      <c r="C228" s="68">
        <f t="shared" si="19"/>
        <v>29.0364</v>
      </c>
      <c r="D228" s="69">
        <f t="shared" si="20"/>
        <v>14.0364</v>
      </c>
      <c r="E228" s="70">
        <f t="shared" si="21"/>
        <v>-0.96360000000000012</v>
      </c>
      <c r="F228" s="71">
        <f t="shared" si="22"/>
        <v>-29.0364</v>
      </c>
      <c r="G228" s="72">
        <f t="shared" si="23"/>
        <v>-14.0364</v>
      </c>
      <c r="H228" s="73">
        <f t="shared" si="24"/>
        <v>0.96360000000000012</v>
      </c>
    </row>
    <row r="229" spans="1:8" x14ac:dyDescent="0.25">
      <c r="A229" s="26">
        <v>-511</v>
      </c>
      <c r="B229" s="25">
        <v>3.2419999999999997E-2</v>
      </c>
      <c r="C229" s="68">
        <f t="shared" si="19"/>
        <v>29.0274</v>
      </c>
      <c r="D229" s="69">
        <f t="shared" si="20"/>
        <v>14.0274</v>
      </c>
      <c r="E229" s="70">
        <f t="shared" si="21"/>
        <v>-0.97259999999999991</v>
      </c>
      <c r="F229" s="71">
        <f t="shared" si="22"/>
        <v>-29.0274</v>
      </c>
      <c r="G229" s="72">
        <f t="shared" si="23"/>
        <v>-14.0274</v>
      </c>
      <c r="H229" s="73">
        <f t="shared" si="24"/>
        <v>0.97259999999999991</v>
      </c>
    </row>
    <row r="230" spans="1:8" x14ac:dyDescent="0.25">
      <c r="A230" s="26">
        <v>-510</v>
      </c>
      <c r="B230" s="25">
        <v>3.2730000000000002E-2</v>
      </c>
      <c r="C230" s="68">
        <f t="shared" si="19"/>
        <v>29.0181</v>
      </c>
      <c r="D230" s="69">
        <f t="shared" si="20"/>
        <v>14.0181</v>
      </c>
      <c r="E230" s="70">
        <f t="shared" si="21"/>
        <v>-0.98190000000000011</v>
      </c>
      <c r="F230" s="71">
        <f t="shared" si="22"/>
        <v>-29.0181</v>
      </c>
      <c r="G230" s="72">
        <f t="shared" si="23"/>
        <v>-14.0181</v>
      </c>
      <c r="H230" s="73">
        <f t="shared" si="24"/>
        <v>0.98190000000000011</v>
      </c>
    </row>
    <row r="231" spans="1:8" x14ac:dyDescent="0.25">
      <c r="A231" s="26">
        <v>-509</v>
      </c>
      <c r="B231" s="25">
        <v>3.3029999999999997E-2</v>
      </c>
      <c r="C231" s="68">
        <f t="shared" si="19"/>
        <v>29.0091</v>
      </c>
      <c r="D231" s="69">
        <f t="shared" si="20"/>
        <v>14.0091</v>
      </c>
      <c r="E231" s="70">
        <f t="shared" si="21"/>
        <v>-0.99089999999999989</v>
      </c>
      <c r="F231" s="71">
        <f t="shared" si="22"/>
        <v>-29.0091</v>
      </c>
      <c r="G231" s="72">
        <f t="shared" si="23"/>
        <v>-14.0091</v>
      </c>
      <c r="H231" s="73">
        <f t="shared" si="24"/>
        <v>0.99089999999999989</v>
      </c>
    </row>
    <row r="232" spans="1:8" x14ac:dyDescent="0.25">
      <c r="A232" s="26">
        <v>-508</v>
      </c>
      <c r="B232" s="25">
        <v>3.3329999999999999E-2</v>
      </c>
      <c r="C232" s="68">
        <f t="shared" si="19"/>
        <v>29.0001</v>
      </c>
      <c r="D232" s="69">
        <f t="shared" si="20"/>
        <v>14.0001</v>
      </c>
      <c r="E232" s="70">
        <f t="shared" si="21"/>
        <v>-0.99990000000000001</v>
      </c>
      <c r="F232" s="71">
        <f t="shared" si="22"/>
        <v>-29.0001</v>
      </c>
      <c r="G232" s="72">
        <f t="shared" si="23"/>
        <v>-14.0001</v>
      </c>
      <c r="H232" s="73">
        <f t="shared" si="24"/>
        <v>0.99990000000000001</v>
      </c>
    </row>
    <row r="233" spans="1:8" x14ac:dyDescent="0.25">
      <c r="A233" s="26">
        <v>-507</v>
      </c>
      <c r="B233" s="25">
        <v>3.3640000000000003E-2</v>
      </c>
      <c r="C233" s="68">
        <f t="shared" si="19"/>
        <v>28.9908</v>
      </c>
      <c r="D233" s="69">
        <f t="shared" si="20"/>
        <v>13.9908</v>
      </c>
      <c r="E233" s="70">
        <f t="shared" si="21"/>
        <v>-1.0092000000000001</v>
      </c>
      <c r="F233" s="71">
        <f t="shared" si="22"/>
        <v>-28.9908</v>
      </c>
      <c r="G233" s="72">
        <f t="shared" si="23"/>
        <v>-13.9908</v>
      </c>
      <c r="H233" s="73">
        <f t="shared" si="24"/>
        <v>1.0092000000000001</v>
      </c>
    </row>
    <row r="234" spans="1:8" x14ac:dyDescent="0.25">
      <c r="A234" s="26">
        <v>-506</v>
      </c>
      <c r="B234" s="25">
        <v>3.3939999999999998E-2</v>
      </c>
      <c r="C234" s="68">
        <f t="shared" si="19"/>
        <v>28.9818</v>
      </c>
      <c r="D234" s="69">
        <f t="shared" si="20"/>
        <v>13.9818</v>
      </c>
      <c r="E234" s="70">
        <f t="shared" si="21"/>
        <v>-1.0182</v>
      </c>
      <c r="F234" s="71">
        <f t="shared" si="22"/>
        <v>-28.9818</v>
      </c>
      <c r="G234" s="72">
        <f t="shared" si="23"/>
        <v>-13.9818</v>
      </c>
      <c r="H234" s="73">
        <f t="shared" si="24"/>
        <v>1.0182</v>
      </c>
    </row>
    <row r="235" spans="1:8" x14ac:dyDescent="0.25">
      <c r="A235" s="26">
        <v>-505</v>
      </c>
      <c r="B235" s="25">
        <v>3.424E-2</v>
      </c>
      <c r="C235" s="68">
        <f t="shared" si="19"/>
        <v>28.972799999999999</v>
      </c>
      <c r="D235" s="69">
        <f t="shared" si="20"/>
        <v>13.972799999999999</v>
      </c>
      <c r="E235" s="70">
        <f t="shared" si="21"/>
        <v>-1.0271999999999999</v>
      </c>
      <c r="F235" s="71">
        <f t="shared" si="22"/>
        <v>-28.972799999999999</v>
      </c>
      <c r="G235" s="72">
        <f t="shared" si="23"/>
        <v>-13.972799999999999</v>
      </c>
      <c r="H235" s="73">
        <f t="shared" si="24"/>
        <v>1.0271999999999999</v>
      </c>
    </row>
    <row r="236" spans="1:8" x14ac:dyDescent="0.25">
      <c r="A236" s="26">
        <v>-504</v>
      </c>
      <c r="B236" s="25">
        <v>3.4549999999999997E-2</v>
      </c>
      <c r="C236" s="68">
        <f t="shared" si="19"/>
        <v>28.9635</v>
      </c>
      <c r="D236" s="69">
        <f t="shared" si="20"/>
        <v>13.9635</v>
      </c>
      <c r="E236" s="70">
        <f t="shared" si="21"/>
        <v>-1.0365</v>
      </c>
      <c r="F236" s="71">
        <f t="shared" si="22"/>
        <v>-28.9635</v>
      </c>
      <c r="G236" s="72">
        <f t="shared" si="23"/>
        <v>-13.9635</v>
      </c>
      <c r="H236" s="73">
        <f t="shared" si="24"/>
        <v>1.0365</v>
      </c>
    </row>
    <row r="237" spans="1:8" x14ac:dyDescent="0.25">
      <c r="A237" s="26">
        <v>-503</v>
      </c>
      <c r="B237" s="25">
        <v>3.4849999999999999E-2</v>
      </c>
      <c r="C237" s="68">
        <f t="shared" si="19"/>
        <v>28.954499999999999</v>
      </c>
      <c r="D237" s="69">
        <f t="shared" si="20"/>
        <v>13.954499999999999</v>
      </c>
      <c r="E237" s="70">
        <f t="shared" si="21"/>
        <v>-1.0454999999999999</v>
      </c>
      <c r="F237" s="71">
        <f t="shared" si="22"/>
        <v>-28.954499999999999</v>
      </c>
      <c r="G237" s="72">
        <f t="shared" si="23"/>
        <v>-13.954499999999999</v>
      </c>
      <c r="H237" s="73">
        <f t="shared" si="24"/>
        <v>1.0454999999999999</v>
      </c>
    </row>
    <row r="238" spans="1:8" x14ac:dyDescent="0.25">
      <c r="A238" s="26">
        <v>-502</v>
      </c>
      <c r="B238" s="25">
        <v>3.5150000000000001E-2</v>
      </c>
      <c r="C238" s="68">
        <f t="shared" si="19"/>
        <v>28.945499999999999</v>
      </c>
      <c r="D238" s="69">
        <f t="shared" si="20"/>
        <v>13.945499999999999</v>
      </c>
      <c r="E238" s="70">
        <f t="shared" si="21"/>
        <v>-1.0545</v>
      </c>
      <c r="F238" s="71">
        <f t="shared" si="22"/>
        <v>-28.945499999999999</v>
      </c>
      <c r="G238" s="72">
        <f t="shared" si="23"/>
        <v>-13.945499999999999</v>
      </c>
      <c r="H238" s="73">
        <f t="shared" si="24"/>
        <v>1.0545</v>
      </c>
    </row>
    <row r="239" spans="1:8" x14ac:dyDescent="0.25">
      <c r="A239" s="26">
        <v>-501</v>
      </c>
      <c r="B239" s="25">
        <v>3.5450000000000002E-2</v>
      </c>
      <c r="C239" s="68">
        <f t="shared" si="19"/>
        <v>28.936499999999999</v>
      </c>
      <c r="D239" s="69">
        <f t="shared" si="20"/>
        <v>13.936500000000001</v>
      </c>
      <c r="E239" s="70">
        <f t="shared" si="21"/>
        <v>-1.0635000000000001</v>
      </c>
      <c r="F239" s="71">
        <f t="shared" si="22"/>
        <v>-28.936499999999999</v>
      </c>
      <c r="G239" s="72">
        <f t="shared" si="23"/>
        <v>-13.936500000000001</v>
      </c>
      <c r="H239" s="73">
        <f t="shared" si="24"/>
        <v>1.0635000000000001</v>
      </c>
    </row>
    <row r="240" spans="1:8" x14ac:dyDescent="0.25">
      <c r="A240" s="26">
        <v>-500</v>
      </c>
      <c r="B240" s="25">
        <v>3.576E-2</v>
      </c>
      <c r="C240" s="68">
        <f t="shared" si="19"/>
        <v>28.927199999999999</v>
      </c>
      <c r="D240" s="69">
        <f t="shared" si="20"/>
        <v>13.927199999999999</v>
      </c>
      <c r="E240" s="70">
        <f t="shared" si="21"/>
        <v>-1.0728</v>
      </c>
      <c r="F240" s="71">
        <f t="shared" si="22"/>
        <v>-28.927199999999999</v>
      </c>
      <c r="G240" s="72">
        <f t="shared" si="23"/>
        <v>-13.927199999999999</v>
      </c>
      <c r="H240" s="73">
        <f t="shared" si="24"/>
        <v>1.0728</v>
      </c>
    </row>
    <row r="241" spans="1:8" x14ac:dyDescent="0.25">
      <c r="A241" s="26">
        <v>-499</v>
      </c>
      <c r="B241" s="25">
        <v>3.6060000000000002E-2</v>
      </c>
      <c r="C241" s="68">
        <f t="shared" si="19"/>
        <v>28.918199999999999</v>
      </c>
      <c r="D241" s="69">
        <f t="shared" si="20"/>
        <v>13.918200000000001</v>
      </c>
      <c r="E241" s="70">
        <f t="shared" si="21"/>
        <v>-1.0818000000000001</v>
      </c>
      <c r="F241" s="71">
        <f t="shared" si="22"/>
        <v>-28.918199999999999</v>
      </c>
      <c r="G241" s="72">
        <f t="shared" si="23"/>
        <v>-13.918200000000001</v>
      </c>
      <c r="H241" s="73">
        <f t="shared" si="24"/>
        <v>1.0818000000000001</v>
      </c>
    </row>
    <row r="242" spans="1:8" x14ac:dyDescent="0.25">
      <c r="A242" s="26">
        <v>-498</v>
      </c>
      <c r="B242" s="25">
        <v>3.6360000000000003E-2</v>
      </c>
      <c r="C242" s="68">
        <f t="shared" si="19"/>
        <v>28.909199999999998</v>
      </c>
      <c r="D242" s="69">
        <f t="shared" si="20"/>
        <v>13.9092</v>
      </c>
      <c r="E242" s="70">
        <f t="shared" si="21"/>
        <v>-1.0908000000000002</v>
      </c>
      <c r="F242" s="71">
        <f t="shared" si="22"/>
        <v>-28.909199999999998</v>
      </c>
      <c r="G242" s="72">
        <f t="shared" si="23"/>
        <v>-13.9092</v>
      </c>
      <c r="H242" s="73">
        <f t="shared" si="24"/>
        <v>1.0908000000000002</v>
      </c>
    </row>
    <row r="243" spans="1:8" x14ac:dyDescent="0.25">
      <c r="A243" s="26">
        <v>-497</v>
      </c>
      <c r="B243" s="25">
        <v>3.6670000000000001E-2</v>
      </c>
      <c r="C243" s="68">
        <f t="shared" si="19"/>
        <v>28.899899999999999</v>
      </c>
      <c r="D243" s="69">
        <f t="shared" si="20"/>
        <v>13.899900000000001</v>
      </c>
      <c r="E243" s="70">
        <f t="shared" si="21"/>
        <v>-1.1001000000000001</v>
      </c>
      <c r="F243" s="71">
        <f t="shared" si="22"/>
        <v>-28.899899999999999</v>
      </c>
      <c r="G243" s="72">
        <f t="shared" si="23"/>
        <v>-13.899900000000001</v>
      </c>
      <c r="H243" s="73">
        <f t="shared" si="24"/>
        <v>1.1001000000000001</v>
      </c>
    </row>
    <row r="244" spans="1:8" x14ac:dyDescent="0.25">
      <c r="A244" s="26">
        <v>-496</v>
      </c>
      <c r="B244" s="25">
        <v>3.6970000000000003E-2</v>
      </c>
      <c r="C244" s="68">
        <f t="shared" si="19"/>
        <v>28.890899999999998</v>
      </c>
      <c r="D244" s="69">
        <f t="shared" si="20"/>
        <v>13.8909</v>
      </c>
      <c r="E244" s="70">
        <f t="shared" si="21"/>
        <v>-1.1091000000000002</v>
      </c>
      <c r="F244" s="71">
        <f t="shared" si="22"/>
        <v>-28.890899999999998</v>
      </c>
      <c r="G244" s="72">
        <f t="shared" si="23"/>
        <v>-13.8909</v>
      </c>
      <c r="H244" s="73">
        <f t="shared" si="24"/>
        <v>1.1091000000000002</v>
      </c>
    </row>
    <row r="245" spans="1:8" x14ac:dyDescent="0.25">
      <c r="A245" s="26">
        <v>-495</v>
      </c>
      <c r="B245" s="25">
        <v>3.7269999999999998E-2</v>
      </c>
      <c r="C245" s="68">
        <f t="shared" si="19"/>
        <v>28.881900000000002</v>
      </c>
      <c r="D245" s="69">
        <f t="shared" si="20"/>
        <v>13.8819</v>
      </c>
      <c r="E245" s="70">
        <f t="shared" si="21"/>
        <v>-1.1180999999999999</v>
      </c>
      <c r="F245" s="71">
        <f t="shared" si="22"/>
        <v>-28.881900000000002</v>
      </c>
      <c r="G245" s="72">
        <f t="shared" si="23"/>
        <v>-13.8819</v>
      </c>
      <c r="H245" s="73">
        <f t="shared" si="24"/>
        <v>1.1180999999999999</v>
      </c>
    </row>
    <row r="246" spans="1:8" x14ac:dyDescent="0.25">
      <c r="A246" s="26">
        <v>-494</v>
      </c>
      <c r="B246" s="25">
        <v>3.7580000000000002E-2</v>
      </c>
      <c r="C246" s="68">
        <f t="shared" si="19"/>
        <v>28.872599999999998</v>
      </c>
      <c r="D246" s="69">
        <f t="shared" si="20"/>
        <v>13.8726</v>
      </c>
      <c r="E246" s="70">
        <f t="shared" si="21"/>
        <v>-1.1274000000000002</v>
      </c>
      <c r="F246" s="71">
        <f t="shared" si="22"/>
        <v>-28.872599999999998</v>
      </c>
      <c r="G246" s="72">
        <f t="shared" si="23"/>
        <v>-13.8726</v>
      </c>
      <c r="H246" s="73">
        <f t="shared" si="24"/>
        <v>1.1274000000000002</v>
      </c>
    </row>
    <row r="247" spans="1:8" x14ac:dyDescent="0.25">
      <c r="A247" s="26">
        <v>-493</v>
      </c>
      <c r="B247" s="25">
        <v>3.7879999999999997E-2</v>
      </c>
      <c r="C247" s="68">
        <f t="shared" si="19"/>
        <v>28.863600000000002</v>
      </c>
      <c r="D247" s="69">
        <f t="shared" si="20"/>
        <v>13.8636</v>
      </c>
      <c r="E247" s="70">
        <f t="shared" si="21"/>
        <v>-1.1363999999999999</v>
      </c>
      <c r="F247" s="71">
        <f t="shared" si="22"/>
        <v>-28.863600000000002</v>
      </c>
      <c r="G247" s="72">
        <f t="shared" si="23"/>
        <v>-13.8636</v>
      </c>
      <c r="H247" s="73">
        <f t="shared" si="24"/>
        <v>1.1363999999999999</v>
      </c>
    </row>
    <row r="248" spans="1:8" x14ac:dyDescent="0.25">
      <c r="A248" s="26">
        <v>-492</v>
      </c>
      <c r="B248" s="25">
        <v>3.8179999999999999E-2</v>
      </c>
      <c r="C248" s="68">
        <f t="shared" si="19"/>
        <v>28.854600000000001</v>
      </c>
      <c r="D248" s="69">
        <f t="shared" si="20"/>
        <v>13.8546</v>
      </c>
      <c r="E248" s="70">
        <f t="shared" si="21"/>
        <v>-1.1454</v>
      </c>
      <c r="F248" s="71">
        <f t="shared" si="22"/>
        <v>-28.854600000000001</v>
      </c>
      <c r="G248" s="72">
        <f t="shared" si="23"/>
        <v>-13.8546</v>
      </c>
      <c r="H248" s="73">
        <f t="shared" si="24"/>
        <v>1.1454</v>
      </c>
    </row>
    <row r="249" spans="1:8" x14ac:dyDescent="0.25">
      <c r="A249" s="26">
        <v>-491</v>
      </c>
      <c r="B249" s="25">
        <v>3.848E-2</v>
      </c>
      <c r="C249" s="68">
        <f t="shared" si="19"/>
        <v>28.845600000000001</v>
      </c>
      <c r="D249" s="69">
        <f t="shared" si="20"/>
        <v>13.845599999999999</v>
      </c>
      <c r="E249" s="70">
        <f t="shared" si="21"/>
        <v>-1.1544000000000001</v>
      </c>
      <c r="F249" s="71">
        <f t="shared" si="22"/>
        <v>-28.845600000000001</v>
      </c>
      <c r="G249" s="72">
        <f t="shared" si="23"/>
        <v>-13.845599999999999</v>
      </c>
      <c r="H249" s="73">
        <f t="shared" si="24"/>
        <v>1.1544000000000001</v>
      </c>
    </row>
    <row r="250" spans="1:8" x14ac:dyDescent="0.25">
      <c r="A250" s="26">
        <v>-490</v>
      </c>
      <c r="B250" s="25">
        <v>3.8789999999999998E-2</v>
      </c>
      <c r="C250" s="68">
        <f t="shared" si="19"/>
        <v>28.836300000000001</v>
      </c>
      <c r="D250" s="69">
        <f t="shared" si="20"/>
        <v>13.8363</v>
      </c>
      <c r="E250" s="70">
        <f t="shared" si="21"/>
        <v>-1.1637</v>
      </c>
      <c r="F250" s="71">
        <f t="shared" si="22"/>
        <v>-28.836300000000001</v>
      </c>
      <c r="G250" s="72">
        <f t="shared" si="23"/>
        <v>-13.8363</v>
      </c>
      <c r="H250" s="73">
        <f t="shared" si="24"/>
        <v>1.1637</v>
      </c>
    </row>
    <row r="251" spans="1:8" x14ac:dyDescent="0.25">
      <c r="A251" s="26">
        <v>-489</v>
      </c>
      <c r="B251" s="25">
        <v>3.909E-2</v>
      </c>
      <c r="C251" s="68">
        <f t="shared" si="19"/>
        <v>28.827300000000001</v>
      </c>
      <c r="D251" s="69">
        <f t="shared" si="20"/>
        <v>13.827299999999999</v>
      </c>
      <c r="E251" s="70">
        <f t="shared" si="21"/>
        <v>-1.1727000000000001</v>
      </c>
      <c r="F251" s="71">
        <f t="shared" si="22"/>
        <v>-28.827300000000001</v>
      </c>
      <c r="G251" s="72">
        <f t="shared" si="23"/>
        <v>-13.827299999999999</v>
      </c>
      <c r="H251" s="73">
        <f t="shared" si="24"/>
        <v>1.1727000000000001</v>
      </c>
    </row>
    <row r="252" spans="1:8" x14ac:dyDescent="0.25">
      <c r="A252" s="26">
        <v>-488</v>
      </c>
      <c r="B252" s="25">
        <v>3.9390000000000001E-2</v>
      </c>
      <c r="C252" s="68">
        <f t="shared" si="19"/>
        <v>28.818300000000001</v>
      </c>
      <c r="D252" s="69">
        <f t="shared" si="20"/>
        <v>13.818300000000001</v>
      </c>
      <c r="E252" s="70">
        <f t="shared" si="21"/>
        <v>-1.1817</v>
      </c>
      <c r="F252" s="71">
        <f t="shared" si="22"/>
        <v>-28.818300000000001</v>
      </c>
      <c r="G252" s="72">
        <f t="shared" si="23"/>
        <v>-13.818300000000001</v>
      </c>
      <c r="H252" s="73">
        <f t="shared" si="24"/>
        <v>1.1817</v>
      </c>
    </row>
    <row r="253" spans="1:8" x14ac:dyDescent="0.25">
      <c r="A253" s="26">
        <v>-487</v>
      </c>
      <c r="B253" s="25">
        <v>3.9699999999999999E-2</v>
      </c>
      <c r="C253" s="68">
        <f t="shared" si="19"/>
        <v>28.809000000000001</v>
      </c>
      <c r="D253" s="69">
        <f t="shared" si="20"/>
        <v>13.808999999999999</v>
      </c>
      <c r="E253" s="70">
        <f t="shared" si="21"/>
        <v>-1.1910000000000001</v>
      </c>
      <c r="F253" s="71">
        <f t="shared" si="22"/>
        <v>-28.809000000000001</v>
      </c>
      <c r="G253" s="72">
        <f t="shared" si="23"/>
        <v>-13.808999999999999</v>
      </c>
      <c r="H253" s="73">
        <f t="shared" si="24"/>
        <v>1.1910000000000001</v>
      </c>
    </row>
    <row r="254" spans="1:8" x14ac:dyDescent="0.25">
      <c r="A254" s="26">
        <v>-486</v>
      </c>
      <c r="B254" s="25">
        <v>0.04</v>
      </c>
      <c r="C254" s="68">
        <f t="shared" si="19"/>
        <v>28.8</v>
      </c>
      <c r="D254" s="69">
        <f t="shared" si="20"/>
        <v>13.8</v>
      </c>
      <c r="E254" s="70">
        <f t="shared" si="21"/>
        <v>-1.2</v>
      </c>
      <c r="F254" s="71">
        <f t="shared" si="22"/>
        <v>-28.8</v>
      </c>
      <c r="G254" s="72">
        <f t="shared" si="23"/>
        <v>-13.8</v>
      </c>
      <c r="H254" s="73">
        <f t="shared" si="24"/>
        <v>1.2</v>
      </c>
    </row>
    <row r="255" spans="1:8" x14ac:dyDescent="0.25">
      <c r="A255" s="26">
        <v>-485</v>
      </c>
      <c r="B255" s="25">
        <v>4.036E-2</v>
      </c>
      <c r="C255" s="68">
        <f t="shared" si="19"/>
        <v>28.789200000000001</v>
      </c>
      <c r="D255" s="69">
        <f t="shared" si="20"/>
        <v>13.789199999999999</v>
      </c>
      <c r="E255" s="70">
        <f t="shared" si="21"/>
        <v>-1.2108000000000001</v>
      </c>
      <c r="F255" s="71">
        <f t="shared" si="22"/>
        <v>-28.789200000000001</v>
      </c>
      <c r="G255" s="72">
        <f t="shared" si="23"/>
        <v>-13.789199999999999</v>
      </c>
      <c r="H255" s="73">
        <f t="shared" si="24"/>
        <v>1.2108000000000001</v>
      </c>
    </row>
    <row r="256" spans="1:8" x14ac:dyDescent="0.25">
      <c r="A256" s="26">
        <v>-484</v>
      </c>
      <c r="B256" s="25">
        <v>4.0710000000000003E-2</v>
      </c>
      <c r="C256" s="68">
        <f t="shared" si="19"/>
        <v>28.778700000000001</v>
      </c>
      <c r="D256" s="69">
        <f t="shared" si="20"/>
        <v>13.778700000000001</v>
      </c>
      <c r="E256" s="70">
        <f t="shared" si="21"/>
        <v>-1.2213000000000001</v>
      </c>
      <c r="F256" s="71">
        <f t="shared" si="22"/>
        <v>-28.778700000000001</v>
      </c>
      <c r="G256" s="72">
        <f t="shared" si="23"/>
        <v>-13.778700000000001</v>
      </c>
      <c r="H256" s="73">
        <f t="shared" si="24"/>
        <v>1.2213000000000001</v>
      </c>
    </row>
    <row r="257" spans="1:8" x14ac:dyDescent="0.25">
      <c r="A257" s="26">
        <v>-483</v>
      </c>
      <c r="B257" s="25">
        <v>4.1070000000000002E-2</v>
      </c>
      <c r="C257" s="68">
        <f t="shared" si="19"/>
        <v>28.767900000000001</v>
      </c>
      <c r="D257" s="69">
        <f t="shared" si="20"/>
        <v>13.767900000000001</v>
      </c>
      <c r="E257" s="70">
        <f t="shared" si="21"/>
        <v>-1.2321</v>
      </c>
      <c r="F257" s="71">
        <f t="shared" si="22"/>
        <v>-28.767900000000001</v>
      </c>
      <c r="G257" s="72">
        <f t="shared" si="23"/>
        <v>-13.767900000000001</v>
      </c>
      <c r="H257" s="73">
        <f t="shared" si="24"/>
        <v>1.2321</v>
      </c>
    </row>
    <row r="258" spans="1:8" x14ac:dyDescent="0.25">
      <c r="A258" s="26">
        <v>-482</v>
      </c>
      <c r="B258" s="25">
        <v>4.1430000000000002E-2</v>
      </c>
      <c r="C258" s="68">
        <f t="shared" si="19"/>
        <v>28.757100000000001</v>
      </c>
      <c r="D258" s="69">
        <f t="shared" si="20"/>
        <v>13.757099999999999</v>
      </c>
      <c r="E258" s="70">
        <f t="shared" si="21"/>
        <v>-1.2429000000000001</v>
      </c>
      <c r="F258" s="71">
        <f t="shared" si="22"/>
        <v>-28.757100000000001</v>
      </c>
      <c r="G258" s="72">
        <f t="shared" si="23"/>
        <v>-13.757099999999999</v>
      </c>
      <c r="H258" s="73">
        <f t="shared" si="24"/>
        <v>1.2429000000000001</v>
      </c>
    </row>
    <row r="259" spans="1:8" x14ac:dyDescent="0.25">
      <c r="A259" s="26">
        <v>-481</v>
      </c>
      <c r="B259" s="25">
        <v>4.1790000000000001E-2</v>
      </c>
      <c r="C259" s="68">
        <f t="shared" si="19"/>
        <v>28.746300000000002</v>
      </c>
      <c r="D259" s="69">
        <f t="shared" si="20"/>
        <v>13.7463</v>
      </c>
      <c r="E259" s="70">
        <f t="shared" si="21"/>
        <v>-1.2537</v>
      </c>
      <c r="F259" s="71">
        <f t="shared" si="22"/>
        <v>-28.746300000000002</v>
      </c>
      <c r="G259" s="72">
        <f t="shared" si="23"/>
        <v>-13.7463</v>
      </c>
      <c r="H259" s="73">
        <f t="shared" si="24"/>
        <v>1.2537</v>
      </c>
    </row>
    <row r="260" spans="1:8" x14ac:dyDescent="0.25">
      <c r="A260" s="26">
        <v>-480</v>
      </c>
      <c r="B260" s="25">
        <v>4.2139999999999997E-2</v>
      </c>
      <c r="C260" s="68">
        <f t="shared" si="19"/>
        <v>28.735800000000001</v>
      </c>
      <c r="D260" s="69">
        <f t="shared" si="20"/>
        <v>13.735799999999999</v>
      </c>
      <c r="E260" s="70">
        <f t="shared" si="21"/>
        <v>-1.2642</v>
      </c>
      <c r="F260" s="71">
        <f t="shared" si="22"/>
        <v>-28.735800000000001</v>
      </c>
      <c r="G260" s="72">
        <f t="shared" si="23"/>
        <v>-13.735799999999999</v>
      </c>
      <c r="H260" s="73">
        <f t="shared" si="24"/>
        <v>1.2642</v>
      </c>
    </row>
    <row r="261" spans="1:8" x14ac:dyDescent="0.25">
      <c r="A261" s="26">
        <v>-479</v>
      </c>
      <c r="B261" s="25">
        <v>4.2500000000000003E-2</v>
      </c>
      <c r="C261" s="68">
        <f t="shared" si="19"/>
        <v>28.725000000000001</v>
      </c>
      <c r="D261" s="69">
        <f t="shared" si="20"/>
        <v>13.725</v>
      </c>
      <c r="E261" s="70">
        <f t="shared" si="21"/>
        <v>-1.2750000000000001</v>
      </c>
      <c r="F261" s="71">
        <f t="shared" si="22"/>
        <v>-28.725000000000001</v>
      </c>
      <c r="G261" s="72">
        <f t="shared" si="23"/>
        <v>-13.725</v>
      </c>
      <c r="H261" s="73">
        <f t="shared" si="24"/>
        <v>1.2750000000000001</v>
      </c>
    </row>
    <row r="262" spans="1:8" x14ac:dyDescent="0.25">
      <c r="A262" s="26">
        <v>-478</v>
      </c>
      <c r="B262" s="25">
        <v>4.2860000000000002E-2</v>
      </c>
      <c r="C262" s="68">
        <f t="shared" si="19"/>
        <v>28.714199999999998</v>
      </c>
      <c r="D262" s="69">
        <f t="shared" si="20"/>
        <v>13.7142</v>
      </c>
      <c r="E262" s="70">
        <f t="shared" si="21"/>
        <v>-1.2858000000000001</v>
      </c>
      <c r="F262" s="71">
        <f t="shared" si="22"/>
        <v>-28.714199999999998</v>
      </c>
      <c r="G262" s="72">
        <f t="shared" si="23"/>
        <v>-13.7142</v>
      </c>
      <c r="H262" s="73">
        <f t="shared" si="24"/>
        <v>1.2858000000000001</v>
      </c>
    </row>
    <row r="263" spans="1:8" x14ac:dyDescent="0.25">
      <c r="A263" s="26">
        <v>-477</v>
      </c>
      <c r="B263" s="25">
        <v>4.3209999999999998E-2</v>
      </c>
      <c r="C263" s="68">
        <f t="shared" ref="C263:C326" si="25">KFactor-KFactor*B263</f>
        <v>28.703700000000001</v>
      </c>
      <c r="D263" s="69">
        <f t="shared" ref="D263:D326" si="26">KFactor/2-KFactor*B263</f>
        <v>13.7037</v>
      </c>
      <c r="E263" s="70">
        <f t="shared" ref="E263:E326" si="27">0-KFactor*B263</f>
        <v>-1.2963</v>
      </c>
      <c r="F263" s="71">
        <f t="shared" ref="F263:F326" si="28">-C263</f>
        <v>-28.703700000000001</v>
      </c>
      <c r="G263" s="72">
        <f t="shared" ref="G263:G326" si="29">-D263</f>
        <v>-13.7037</v>
      </c>
      <c r="H263" s="73">
        <f t="shared" ref="H263:H326" si="30">-E263</f>
        <v>1.2963</v>
      </c>
    </row>
    <row r="264" spans="1:8" x14ac:dyDescent="0.25">
      <c r="A264" s="26">
        <v>-476</v>
      </c>
      <c r="B264" s="25">
        <v>4.3569999999999998E-2</v>
      </c>
      <c r="C264" s="68">
        <f t="shared" si="25"/>
        <v>28.692900000000002</v>
      </c>
      <c r="D264" s="69">
        <f t="shared" si="26"/>
        <v>13.6929</v>
      </c>
      <c r="E264" s="70">
        <f t="shared" si="27"/>
        <v>-1.3070999999999999</v>
      </c>
      <c r="F264" s="71">
        <f t="shared" si="28"/>
        <v>-28.692900000000002</v>
      </c>
      <c r="G264" s="72">
        <f t="shared" si="29"/>
        <v>-13.6929</v>
      </c>
      <c r="H264" s="73">
        <f t="shared" si="30"/>
        <v>1.3070999999999999</v>
      </c>
    </row>
    <row r="265" spans="1:8" x14ac:dyDescent="0.25">
      <c r="A265" s="26">
        <v>-475</v>
      </c>
      <c r="B265" s="25">
        <v>4.3929999999999997E-2</v>
      </c>
      <c r="C265" s="68">
        <f t="shared" si="25"/>
        <v>28.682099999999998</v>
      </c>
      <c r="D265" s="69">
        <f t="shared" si="26"/>
        <v>13.6821</v>
      </c>
      <c r="E265" s="70">
        <f t="shared" si="27"/>
        <v>-1.3178999999999998</v>
      </c>
      <c r="F265" s="71">
        <f t="shared" si="28"/>
        <v>-28.682099999999998</v>
      </c>
      <c r="G265" s="72">
        <f t="shared" si="29"/>
        <v>-13.6821</v>
      </c>
      <c r="H265" s="73">
        <f t="shared" si="30"/>
        <v>1.3178999999999998</v>
      </c>
    </row>
    <row r="266" spans="1:8" x14ac:dyDescent="0.25">
      <c r="A266" s="26">
        <v>-474</v>
      </c>
      <c r="B266" s="25">
        <v>4.4290000000000003E-2</v>
      </c>
      <c r="C266" s="68">
        <f t="shared" si="25"/>
        <v>28.671299999999999</v>
      </c>
      <c r="D266" s="69">
        <f t="shared" si="26"/>
        <v>13.6713</v>
      </c>
      <c r="E266" s="70">
        <f t="shared" si="27"/>
        <v>-1.3287</v>
      </c>
      <c r="F266" s="71">
        <f t="shared" si="28"/>
        <v>-28.671299999999999</v>
      </c>
      <c r="G266" s="72">
        <f t="shared" si="29"/>
        <v>-13.6713</v>
      </c>
      <c r="H266" s="73">
        <f t="shared" si="30"/>
        <v>1.3287</v>
      </c>
    </row>
    <row r="267" spans="1:8" x14ac:dyDescent="0.25">
      <c r="A267" s="26">
        <v>-473</v>
      </c>
      <c r="B267" s="25">
        <v>4.4639999999999999E-2</v>
      </c>
      <c r="C267" s="68">
        <f t="shared" si="25"/>
        <v>28.660800000000002</v>
      </c>
      <c r="D267" s="69">
        <f t="shared" si="26"/>
        <v>13.6608</v>
      </c>
      <c r="E267" s="70">
        <f t="shared" si="27"/>
        <v>-1.3391999999999999</v>
      </c>
      <c r="F267" s="71">
        <f t="shared" si="28"/>
        <v>-28.660800000000002</v>
      </c>
      <c r="G267" s="72">
        <f t="shared" si="29"/>
        <v>-13.6608</v>
      </c>
      <c r="H267" s="73">
        <f t="shared" si="30"/>
        <v>1.3391999999999999</v>
      </c>
    </row>
    <row r="268" spans="1:8" x14ac:dyDescent="0.25">
      <c r="A268" s="26">
        <v>-472</v>
      </c>
      <c r="B268" s="25">
        <v>4.4999999999999998E-2</v>
      </c>
      <c r="C268" s="68">
        <f t="shared" si="25"/>
        <v>28.65</v>
      </c>
      <c r="D268" s="69">
        <f t="shared" si="26"/>
        <v>13.65</v>
      </c>
      <c r="E268" s="70">
        <f t="shared" si="27"/>
        <v>-1.3499999999999999</v>
      </c>
      <c r="F268" s="71">
        <f t="shared" si="28"/>
        <v>-28.65</v>
      </c>
      <c r="G268" s="72">
        <f t="shared" si="29"/>
        <v>-13.65</v>
      </c>
      <c r="H268" s="73">
        <f t="shared" si="30"/>
        <v>1.3499999999999999</v>
      </c>
    </row>
    <row r="269" spans="1:8" x14ac:dyDescent="0.25">
      <c r="A269" s="26">
        <v>-471</v>
      </c>
      <c r="B269" s="25">
        <v>4.5359999999999998E-2</v>
      </c>
      <c r="C269" s="68">
        <f t="shared" si="25"/>
        <v>28.639199999999999</v>
      </c>
      <c r="D269" s="69">
        <f t="shared" si="26"/>
        <v>13.639200000000001</v>
      </c>
      <c r="E269" s="70">
        <f t="shared" si="27"/>
        <v>-1.3608</v>
      </c>
      <c r="F269" s="71">
        <f t="shared" si="28"/>
        <v>-28.639199999999999</v>
      </c>
      <c r="G269" s="72">
        <f t="shared" si="29"/>
        <v>-13.639200000000001</v>
      </c>
      <c r="H269" s="73">
        <f t="shared" si="30"/>
        <v>1.3608</v>
      </c>
    </row>
    <row r="270" spans="1:8" x14ac:dyDescent="0.25">
      <c r="A270" s="26">
        <v>-470</v>
      </c>
      <c r="B270" s="25">
        <v>4.5710000000000001E-2</v>
      </c>
      <c r="C270" s="68">
        <f t="shared" si="25"/>
        <v>28.628699999999998</v>
      </c>
      <c r="D270" s="69">
        <f t="shared" si="26"/>
        <v>13.6287</v>
      </c>
      <c r="E270" s="70">
        <f t="shared" si="27"/>
        <v>-1.3713</v>
      </c>
      <c r="F270" s="71">
        <f t="shared" si="28"/>
        <v>-28.628699999999998</v>
      </c>
      <c r="G270" s="72">
        <f t="shared" si="29"/>
        <v>-13.6287</v>
      </c>
      <c r="H270" s="73">
        <f t="shared" si="30"/>
        <v>1.3713</v>
      </c>
    </row>
    <row r="271" spans="1:8" x14ac:dyDescent="0.25">
      <c r="A271" s="26">
        <v>-469</v>
      </c>
      <c r="B271" s="25">
        <v>4.607E-2</v>
      </c>
      <c r="C271" s="68">
        <f t="shared" si="25"/>
        <v>28.617899999999999</v>
      </c>
      <c r="D271" s="69">
        <f t="shared" si="26"/>
        <v>13.617900000000001</v>
      </c>
      <c r="E271" s="70">
        <f t="shared" si="27"/>
        <v>-1.3820999999999999</v>
      </c>
      <c r="F271" s="71">
        <f t="shared" si="28"/>
        <v>-28.617899999999999</v>
      </c>
      <c r="G271" s="72">
        <f t="shared" si="29"/>
        <v>-13.617900000000001</v>
      </c>
      <c r="H271" s="73">
        <f t="shared" si="30"/>
        <v>1.3820999999999999</v>
      </c>
    </row>
    <row r="272" spans="1:8" x14ac:dyDescent="0.25">
      <c r="A272" s="26">
        <v>-468</v>
      </c>
      <c r="B272" s="25">
        <v>4.6429999999999999E-2</v>
      </c>
      <c r="C272" s="68">
        <f t="shared" si="25"/>
        <v>28.607099999999999</v>
      </c>
      <c r="D272" s="69">
        <f t="shared" si="26"/>
        <v>13.607099999999999</v>
      </c>
      <c r="E272" s="70">
        <f t="shared" si="27"/>
        <v>-1.3929</v>
      </c>
      <c r="F272" s="71">
        <f t="shared" si="28"/>
        <v>-28.607099999999999</v>
      </c>
      <c r="G272" s="72">
        <f t="shared" si="29"/>
        <v>-13.607099999999999</v>
      </c>
      <c r="H272" s="73">
        <f t="shared" si="30"/>
        <v>1.3929</v>
      </c>
    </row>
    <row r="273" spans="1:8" x14ac:dyDescent="0.25">
      <c r="A273" s="26">
        <v>-467</v>
      </c>
      <c r="B273" s="25">
        <v>4.6789999999999998E-2</v>
      </c>
      <c r="C273" s="68">
        <f t="shared" si="25"/>
        <v>28.596299999999999</v>
      </c>
      <c r="D273" s="69">
        <f t="shared" si="26"/>
        <v>13.596299999999999</v>
      </c>
      <c r="E273" s="70">
        <f t="shared" si="27"/>
        <v>-1.4036999999999999</v>
      </c>
      <c r="F273" s="71">
        <f t="shared" si="28"/>
        <v>-28.596299999999999</v>
      </c>
      <c r="G273" s="72">
        <f t="shared" si="29"/>
        <v>-13.596299999999999</v>
      </c>
      <c r="H273" s="73">
        <f t="shared" si="30"/>
        <v>1.4036999999999999</v>
      </c>
    </row>
    <row r="274" spans="1:8" x14ac:dyDescent="0.25">
      <c r="A274" s="26">
        <v>-466</v>
      </c>
      <c r="B274" s="25">
        <v>4.7140000000000001E-2</v>
      </c>
      <c r="C274" s="68">
        <f t="shared" si="25"/>
        <v>28.585799999999999</v>
      </c>
      <c r="D274" s="69">
        <f t="shared" si="26"/>
        <v>13.585799999999999</v>
      </c>
      <c r="E274" s="70">
        <f t="shared" si="27"/>
        <v>-1.4142000000000001</v>
      </c>
      <c r="F274" s="71">
        <f t="shared" si="28"/>
        <v>-28.585799999999999</v>
      </c>
      <c r="G274" s="72">
        <f t="shared" si="29"/>
        <v>-13.585799999999999</v>
      </c>
      <c r="H274" s="73">
        <f t="shared" si="30"/>
        <v>1.4142000000000001</v>
      </c>
    </row>
    <row r="275" spans="1:8" x14ac:dyDescent="0.25">
      <c r="A275" s="26">
        <v>-465</v>
      </c>
      <c r="B275" s="25">
        <v>4.7500000000000001E-2</v>
      </c>
      <c r="C275" s="68">
        <f t="shared" si="25"/>
        <v>28.574999999999999</v>
      </c>
      <c r="D275" s="69">
        <f t="shared" si="26"/>
        <v>13.574999999999999</v>
      </c>
      <c r="E275" s="70">
        <f t="shared" si="27"/>
        <v>-1.425</v>
      </c>
      <c r="F275" s="71">
        <f t="shared" si="28"/>
        <v>-28.574999999999999</v>
      </c>
      <c r="G275" s="72">
        <f t="shared" si="29"/>
        <v>-13.574999999999999</v>
      </c>
      <c r="H275" s="73">
        <f t="shared" si="30"/>
        <v>1.425</v>
      </c>
    </row>
    <row r="276" spans="1:8" x14ac:dyDescent="0.25">
      <c r="A276" s="26">
        <v>-464</v>
      </c>
      <c r="B276" s="25">
        <v>4.786E-2</v>
      </c>
      <c r="C276" s="68">
        <f t="shared" si="25"/>
        <v>28.5642</v>
      </c>
      <c r="D276" s="69">
        <f t="shared" si="26"/>
        <v>13.5642</v>
      </c>
      <c r="E276" s="70">
        <f t="shared" si="27"/>
        <v>-1.4358</v>
      </c>
      <c r="F276" s="71">
        <f t="shared" si="28"/>
        <v>-28.5642</v>
      </c>
      <c r="G276" s="72">
        <f t="shared" si="29"/>
        <v>-13.5642</v>
      </c>
      <c r="H276" s="73">
        <f t="shared" si="30"/>
        <v>1.4358</v>
      </c>
    </row>
    <row r="277" spans="1:8" x14ac:dyDescent="0.25">
      <c r="A277" s="26">
        <v>-463</v>
      </c>
      <c r="B277" s="25">
        <v>4.8210000000000003E-2</v>
      </c>
      <c r="C277" s="68">
        <f t="shared" si="25"/>
        <v>28.553699999999999</v>
      </c>
      <c r="D277" s="69">
        <f t="shared" si="26"/>
        <v>13.553699999999999</v>
      </c>
      <c r="E277" s="70">
        <f t="shared" si="27"/>
        <v>-1.4463000000000001</v>
      </c>
      <c r="F277" s="71">
        <f t="shared" si="28"/>
        <v>-28.553699999999999</v>
      </c>
      <c r="G277" s="72">
        <f t="shared" si="29"/>
        <v>-13.553699999999999</v>
      </c>
      <c r="H277" s="73">
        <f t="shared" si="30"/>
        <v>1.4463000000000001</v>
      </c>
    </row>
    <row r="278" spans="1:8" x14ac:dyDescent="0.25">
      <c r="A278" s="26">
        <v>-462</v>
      </c>
      <c r="B278" s="25">
        <v>4.8570000000000002E-2</v>
      </c>
      <c r="C278" s="68">
        <f t="shared" si="25"/>
        <v>28.542899999999999</v>
      </c>
      <c r="D278" s="69">
        <f t="shared" si="26"/>
        <v>13.542899999999999</v>
      </c>
      <c r="E278" s="70">
        <f t="shared" si="27"/>
        <v>-1.4571000000000001</v>
      </c>
      <c r="F278" s="71">
        <f t="shared" si="28"/>
        <v>-28.542899999999999</v>
      </c>
      <c r="G278" s="72">
        <f t="shared" si="29"/>
        <v>-13.542899999999999</v>
      </c>
      <c r="H278" s="73">
        <f t="shared" si="30"/>
        <v>1.4571000000000001</v>
      </c>
    </row>
    <row r="279" spans="1:8" x14ac:dyDescent="0.25">
      <c r="A279" s="26">
        <v>-461</v>
      </c>
      <c r="B279" s="25">
        <v>4.8930000000000001E-2</v>
      </c>
      <c r="C279" s="68">
        <f t="shared" si="25"/>
        <v>28.5321</v>
      </c>
      <c r="D279" s="69">
        <f t="shared" si="26"/>
        <v>13.5321</v>
      </c>
      <c r="E279" s="70">
        <f t="shared" si="27"/>
        <v>-1.4679</v>
      </c>
      <c r="F279" s="71">
        <f t="shared" si="28"/>
        <v>-28.5321</v>
      </c>
      <c r="G279" s="72">
        <f t="shared" si="29"/>
        <v>-13.5321</v>
      </c>
      <c r="H279" s="73">
        <f t="shared" si="30"/>
        <v>1.4679</v>
      </c>
    </row>
    <row r="280" spans="1:8" x14ac:dyDescent="0.25">
      <c r="A280" s="26">
        <v>-460</v>
      </c>
      <c r="B280" s="25">
        <v>4.929E-2</v>
      </c>
      <c r="C280" s="68">
        <f t="shared" si="25"/>
        <v>28.5213</v>
      </c>
      <c r="D280" s="69">
        <f t="shared" si="26"/>
        <v>13.5213</v>
      </c>
      <c r="E280" s="70">
        <f t="shared" si="27"/>
        <v>-1.4786999999999999</v>
      </c>
      <c r="F280" s="71">
        <f t="shared" si="28"/>
        <v>-28.5213</v>
      </c>
      <c r="G280" s="72">
        <f t="shared" si="29"/>
        <v>-13.5213</v>
      </c>
      <c r="H280" s="73">
        <f t="shared" si="30"/>
        <v>1.4786999999999999</v>
      </c>
    </row>
    <row r="281" spans="1:8" x14ac:dyDescent="0.25">
      <c r="A281" s="26">
        <v>-459</v>
      </c>
      <c r="B281" s="25">
        <v>4.9639999999999997E-2</v>
      </c>
      <c r="C281" s="68">
        <f t="shared" si="25"/>
        <v>28.5108</v>
      </c>
      <c r="D281" s="69">
        <f t="shared" si="26"/>
        <v>13.5108</v>
      </c>
      <c r="E281" s="70">
        <f t="shared" si="27"/>
        <v>-1.4891999999999999</v>
      </c>
      <c r="F281" s="71">
        <f t="shared" si="28"/>
        <v>-28.5108</v>
      </c>
      <c r="G281" s="72">
        <f t="shared" si="29"/>
        <v>-13.5108</v>
      </c>
      <c r="H281" s="73">
        <f t="shared" si="30"/>
        <v>1.4891999999999999</v>
      </c>
    </row>
    <row r="282" spans="1:8" x14ac:dyDescent="0.25">
      <c r="A282" s="26">
        <v>-458</v>
      </c>
      <c r="B282" s="25">
        <v>0.05</v>
      </c>
      <c r="C282" s="68">
        <f t="shared" si="25"/>
        <v>28.5</v>
      </c>
      <c r="D282" s="69">
        <f t="shared" si="26"/>
        <v>13.5</v>
      </c>
      <c r="E282" s="70">
        <f t="shared" si="27"/>
        <v>-1.5</v>
      </c>
      <c r="F282" s="71">
        <f t="shared" si="28"/>
        <v>-28.5</v>
      </c>
      <c r="G282" s="72">
        <f t="shared" si="29"/>
        <v>-13.5</v>
      </c>
      <c r="H282" s="73">
        <f t="shared" si="30"/>
        <v>1.5</v>
      </c>
    </row>
    <row r="283" spans="1:8" x14ac:dyDescent="0.25">
      <c r="A283" s="26">
        <v>-457</v>
      </c>
      <c r="B283" s="25">
        <v>5.042E-2</v>
      </c>
      <c r="C283" s="68">
        <f t="shared" si="25"/>
        <v>28.487400000000001</v>
      </c>
      <c r="D283" s="69">
        <f t="shared" si="26"/>
        <v>13.487400000000001</v>
      </c>
      <c r="E283" s="70">
        <f t="shared" si="27"/>
        <v>-1.5125999999999999</v>
      </c>
      <c r="F283" s="71">
        <f t="shared" si="28"/>
        <v>-28.487400000000001</v>
      </c>
      <c r="G283" s="72">
        <f t="shared" si="29"/>
        <v>-13.487400000000001</v>
      </c>
      <c r="H283" s="73">
        <f t="shared" si="30"/>
        <v>1.5125999999999999</v>
      </c>
    </row>
    <row r="284" spans="1:8" x14ac:dyDescent="0.25">
      <c r="A284" s="26">
        <v>-456</v>
      </c>
      <c r="B284" s="25">
        <v>5.083E-2</v>
      </c>
      <c r="C284" s="68">
        <f t="shared" si="25"/>
        <v>28.475100000000001</v>
      </c>
      <c r="D284" s="69">
        <f t="shared" si="26"/>
        <v>13.475099999999999</v>
      </c>
      <c r="E284" s="70">
        <f t="shared" si="27"/>
        <v>-1.5248999999999999</v>
      </c>
      <c r="F284" s="71">
        <f t="shared" si="28"/>
        <v>-28.475100000000001</v>
      </c>
      <c r="G284" s="72">
        <f t="shared" si="29"/>
        <v>-13.475099999999999</v>
      </c>
      <c r="H284" s="73">
        <f t="shared" si="30"/>
        <v>1.5248999999999999</v>
      </c>
    </row>
    <row r="285" spans="1:8" x14ac:dyDescent="0.25">
      <c r="A285" s="26">
        <v>-455</v>
      </c>
      <c r="B285" s="25">
        <v>5.1249999999999997E-2</v>
      </c>
      <c r="C285" s="68">
        <f t="shared" si="25"/>
        <v>28.462499999999999</v>
      </c>
      <c r="D285" s="69">
        <f t="shared" si="26"/>
        <v>13.4625</v>
      </c>
      <c r="E285" s="70">
        <f t="shared" si="27"/>
        <v>-1.5374999999999999</v>
      </c>
      <c r="F285" s="71">
        <f t="shared" si="28"/>
        <v>-28.462499999999999</v>
      </c>
      <c r="G285" s="72">
        <f t="shared" si="29"/>
        <v>-13.4625</v>
      </c>
      <c r="H285" s="73">
        <f t="shared" si="30"/>
        <v>1.5374999999999999</v>
      </c>
    </row>
    <row r="286" spans="1:8" x14ac:dyDescent="0.25">
      <c r="A286" s="26">
        <v>-454</v>
      </c>
      <c r="B286" s="25">
        <v>5.1670000000000001E-2</v>
      </c>
      <c r="C286" s="68">
        <f t="shared" si="25"/>
        <v>28.4499</v>
      </c>
      <c r="D286" s="69">
        <f t="shared" si="26"/>
        <v>13.4499</v>
      </c>
      <c r="E286" s="70">
        <f t="shared" si="27"/>
        <v>-1.5501</v>
      </c>
      <c r="F286" s="71">
        <f t="shared" si="28"/>
        <v>-28.4499</v>
      </c>
      <c r="G286" s="72">
        <f t="shared" si="29"/>
        <v>-13.4499</v>
      </c>
      <c r="H286" s="73">
        <f t="shared" si="30"/>
        <v>1.5501</v>
      </c>
    </row>
    <row r="287" spans="1:8" x14ac:dyDescent="0.25">
      <c r="A287" s="26">
        <v>-453</v>
      </c>
      <c r="B287" s="25">
        <v>5.2080000000000001E-2</v>
      </c>
      <c r="C287" s="68">
        <f t="shared" si="25"/>
        <v>28.4376</v>
      </c>
      <c r="D287" s="69">
        <f t="shared" si="26"/>
        <v>13.4376</v>
      </c>
      <c r="E287" s="70">
        <f t="shared" si="27"/>
        <v>-1.5624</v>
      </c>
      <c r="F287" s="71">
        <f t="shared" si="28"/>
        <v>-28.4376</v>
      </c>
      <c r="G287" s="72">
        <f t="shared" si="29"/>
        <v>-13.4376</v>
      </c>
      <c r="H287" s="73">
        <f t="shared" si="30"/>
        <v>1.5624</v>
      </c>
    </row>
    <row r="288" spans="1:8" x14ac:dyDescent="0.25">
      <c r="A288" s="26">
        <v>-452</v>
      </c>
      <c r="B288" s="25">
        <v>5.2499999999999998E-2</v>
      </c>
      <c r="C288" s="68">
        <f t="shared" si="25"/>
        <v>28.425000000000001</v>
      </c>
      <c r="D288" s="69">
        <f t="shared" si="26"/>
        <v>13.425000000000001</v>
      </c>
      <c r="E288" s="70">
        <f t="shared" si="27"/>
        <v>-1.575</v>
      </c>
      <c r="F288" s="71">
        <f t="shared" si="28"/>
        <v>-28.425000000000001</v>
      </c>
      <c r="G288" s="72">
        <f t="shared" si="29"/>
        <v>-13.425000000000001</v>
      </c>
      <c r="H288" s="73">
        <f t="shared" si="30"/>
        <v>1.575</v>
      </c>
    </row>
    <row r="289" spans="1:8" x14ac:dyDescent="0.25">
      <c r="A289" s="26">
        <v>-451</v>
      </c>
      <c r="B289" s="25">
        <v>5.2920000000000002E-2</v>
      </c>
      <c r="C289" s="68">
        <f t="shared" si="25"/>
        <v>28.412399999999998</v>
      </c>
      <c r="D289" s="69">
        <f t="shared" si="26"/>
        <v>13.4124</v>
      </c>
      <c r="E289" s="70">
        <f t="shared" si="27"/>
        <v>-1.5876000000000001</v>
      </c>
      <c r="F289" s="71">
        <f t="shared" si="28"/>
        <v>-28.412399999999998</v>
      </c>
      <c r="G289" s="72">
        <f t="shared" si="29"/>
        <v>-13.4124</v>
      </c>
      <c r="H289" s="73">
        <f t="shared" si="30"/>
        <v>1.5876000000000001</v>
      </c>
    </row>
    <row r="290" spans="1:8" x14ac:dyDescent="0.25">
      <c r="A290" s="26">
        <v>-450</v>
      </c>
      <c r="B290" s="25">
        <v>5.3330000000000002E-2</v>
      </c>
      <c r="C290" s="68">
        <f t="shared" si="25"/>
        <v>28.400099999999998</v>
      </c>
      <c r="D290" s="69">
        <f t="shared" si="26"/>
        <v>13.4001</v>
      </c>
      <c r="E290" s="70">
        <f t="shared" si="27"/>
        <v>-1.5999000000000001</v>
      </c>
      <c r="F290" s="71">
        <f t="shared" si="28"/>
        <v>-28.400099999999998</v>
      </c>
      <c r="G290" s="72">
        <f t="shared" si="29"/>
        <v>-13.4001</v>
      </c>
      <c r="H290" s="73">
        <f t="shared" si="30"/>
        <v>1.5999000000000001</v>
      </c>
    </row>
    <row r="291" spans="1:8" x14ac:dyDescent="0.25">
      <c r="A291" s="26">
        <v>-449</v>
      </c>
      <c r="B291" s="25">
        <v>5.3749999999999999E-2</v>
      </c>
      <c r="C291" s="68">
        <f t="shared" si="25"/>
        <v>28.387499999999999</v>
      </c>
      <c r="D291" s="69">
        <f t="shared" si="26"/>
        <v>13.387499999999999</v>
      </c>
      <c r="E291" s="70">
        <f t="shared" si="27"/>
        <v>-1.6125</v>
      </c>
      <c r="F291" s="71">
        <f t="shared" si="28"/>
        <v>-28.387499999999999</v>
      </c>
      <c r="G291" s="72">
        <f t="shared" si="29"/>
        <v>-13.387499999999999</v>
      </c>
      <c r="H291" s="73">
        <f t="shared" si="30"/>
        <v>1.6125</v>
      </c>
    </row>
    <row r="292" spans="1:8" x14ac:dyDescent="0.25">
      <c r="A292" s="26">
        <v>-448</v>
      </c>
      <c r="B292" s="25">
        <v>5.4170000000000003E-2</v>
      </c>
      <c r="C292" s="68">
        <f t="shared" si="25"/>
        <v>28.3749</v>
      </c>
      <c r="D292" s="69">
        <f t="shared" si="26"/>
        <v>13.3749</v>
      </c>
      <c r="E292" s="70">
        <f t="shared" si="27"/>
        <v>-1.6251</v>
      </c>
      <c r="F292" s="71">
        <f t="shared" si="28"/>
        <v>-28.3749</v>
      </c>
      <c r="G292" s="72">
        <f t="shared" si="29"/>
        <v>-13.3749</v>
      </c>
      <c r="H292" s="73">
        <f t="shared" si="30"/>
        <v>1.6251</v>
      </c>
    </row>
    <row r="293" spans="1:8" x14ac:dyDescent="0.25">
      <c r="A293" s="26">
        <v>-447</v>
      </c>
      <c r="B293" s="25">
        <v>5.4579999999999997E-2</v>
      </c>
      <c r="C293" s="68">
        <f t="shared" si="25"/>
        <v>28.3626</v>
      </c>
      <c r="D293" s="69">
        <f t="shared" si="26"/>
        <v>13.3626</v>
      </c>
      <c r="E293" s="70">
        <f t="shared" si="27"/>
        <v>-1.6374</v>
      </c>
      <c r="F293" s="71">
        <f t="shared" si="28"/>
        <v>-28.3626</v>
      </c>
      <c r="G293" s="72">
        <f t="shared" si="29"/>
        <v>-13.3626</v>
      </c>
      <c r="H293" s="73">
        <f t="shared" si="30"/>
        <v>1.6374</v>
      </c>
    </row>
    <row r="294" spans="1:8" x14ac:dyDescent="0.25">
      <c r="A294" s="26">
        <v>-446</v>
      </c>
      <c r="B294" s="25">
        <v>5.5E-2</v>
      </c>
      <c r="C294" s="68">
        <f t="shared" si="25"/>
        <v>28.35</v>
      </c>
      <c r="D294" s="69">
        <f t="shared" si="26"/>
        <v>13.35</v>
      </c>
      <c r="E294" s="70">
        <f t="shared" si="27"/>
        <v>-1.65</v>
      </c>
      <c r="F294" s="71">
        <f t="shared" si="28"/>
        <v>-28.35</v>
      </c>
      <c r="G294" s="72">
        <f t="shared" si="29"/>
        <v>-13.35</v>
      </c>
      <c r="H294" s="73">
        <f t="shared" si="30"/>
        <v>1.65</v>
      </c>
    </row>
    <row r="295" spans="1:8" x14ac:dyDescent="0.25">
      <c r="A295" s="26">
        <v>-445</v>
      </c>
      <c r="B295" s="25">
        <v>5.5419999999999997E-2</v>
      </c>
      <c r="C295" s="68">
        <f t="shared" si="25"/>
        <v>28.337399999999999</v>
      </c>
      <c r="D295" s="69">
        <f t="shared" si="26"/>
        <v>13.337400000000001</v>
      </c>
      <c r="E295" s="70">
        <f t="shared" si="27"/>
        <v>-1.6625999999999999</v>
      </c>
      <c r="F295" s="71">
        <f t="shared" si="28"/>
        <v>-28.337399999999999</v>
      </c>
      <c r="G295" s="72">
        <f t="shared" si="29"/>
        <v>-13.337400000000001</v>
      </c>
      <c r="H295" s="73">
        <f t="shared" si="30"/>
        <v>1.6625999999999999</v>
      </c>
    </row>
    <row r="296" spans="1:8" x14ac:dyDescent="0.25">
      <c r="A296" s="26">
        <v>-444</v>
      </c>
      <c r="B296" s="25">
        <v>5.5829999999999998E-2</v>
      </c>
      <c r="C296" s="68">
        <f t="shared" si="25"/>
        <v>28.325099999999999</v>
      </c>
      <c r="D296" s="69">
        <f t="shared" si="26"/>
        <v>13.325100000000001</v>
      </c>
      <c r="E296" s="70">
        <f t="shared" si="27"/>
        <v>-1.6748999999999998</v>
      </c>
      <c r="F296" s="71">
        <f t="shared" si="28"/>
        <v>-28.325099999999999</v>
      </c>
      <c r="G296" s="72">
        <f t="shared" si="29"/>
        <v>-13.325100000000001</v>
      </c>
      <c r="H296" s="73">
        <f t="shared" si="30"/>
        <v>1.6748999999999998</v>
      </c>
    </row>
    <row r="297" spans="1:8" x14ac:dyDescent="0.25">
      <c r="A297" s="26">
        <v>-443</v>
      </c>
      <c r="B297" s="25">
        <v>5.6250000000000001E-2</v>
      </c>
      <c r="C297" s="68">
        <f t="shared" si="25"/>
        <v>28.3125</v>
      </c>
      <c r="D297" s="69">
        <f t="shared" si="26"/>
        <v>13.3125</v>
      </c>
      <c r="E297" s="70">
        <f t="shared" si="27"/>
        <v>-1.6875</v>
      </c>
      <c r="F297" s="71">
        <f t="shared" si="28"/>
        <v>-28.3125</v>
      </c>
      <c r="G297" s="72">
        <f t="shared" si="29"/>
        <v>-13.3125</v>
      </c>
      <c r="H297" s="73">
        <f t="shared" si="30"/>
        <v>1.6875</v>
      </c>
    </row>
    <row r="298" spans="1:8" x14ac:dyDescent="0.25">
      <c r="A298" s="26">
        <v>-442</v>
      </c>
      <c r="B298" s="25">
        <v>5.6669999999999998E-2</v>
      </c>
      <c r="C298" s="68">
        <f t="shared" si="25"/>
        <v>28.299900000000001</v>
      </c>
      <c r="D298" s="69">
        <f t="shared" si="26"/>
        <v>13.299900000000001</v>
      </c>
      <c r="E298" s="70">
        <f t="shared" si="27"/>
        <v>-1.7000999999999999</v>
      </c>
      <c r="F298" s="71">
        <f t="shared" si="28"/>
        <v>-28.299900000000001</v>
      </c>
      <c r="G298" s="72">
        <f t="shared" si="29"/>
        <v>-13.299900000000001</v>
      </c>
      <c r="H298" s="73">
        <f t="shared" si="30"/>
        <v>1.7000999999999999</v>
      </c>
    </row>
    <row r="299" spans="1:8" x14ac:dyDescent="0.25">
      <c r="A299" s="26">
        <v>-441</v>
      </c>
      <c r="B299" s="25">
        <v>5.7079999999999999E-2</v>
      </c>
      <c r="C299" s="68">
        <f t="shared" si="25"/>
        <v>28.287600000000001</v>
      </c>
      <c r="D299" s="69">
        <f t="shared" si="26"/>
        <v>13.287599999999999</v>
      </c>
      <c r="E299" s="70">
        <f t="shared" si="27"/>
        <v>-1.7123999999999999</v>
      </c>
      <c r="F299" s="71">
        <f t="shared" si="28"/>
        <v>-28.287600000000001</v>
      </c>
      <c r="G299" s="72">
        <f t="shared" si="29"/>
        <v>-13.287599999999999</v>
      </c>
      <c r="H299" s="73">
        <f t="shared" si="30"/>
        <v>1.7123999999999999</v>
      </c>
    </row>
    <row r="300" spans="1:8" x14ac:dyDescent="0.25">
      <c r="A300" s="26">
        <v>-440</v>
      </c>
      <c r="B300" s="25">
        <v>5.7500000000000002E-2</v>
      </c>
      <c r="C300" s="68">
        <f t="shared" si="25"/>
        <v>28.274999999999999</v>
      </c>
      <c r="D300" s="69">
        <f t="shared" si="26"/>
        <v>13.275</v>
      </c>
      <c r="E300" s="70">
        <f t="shared" si="27"/>
        <v>-1.7250000000000001</v>
      </c>
      <c r="F300" s="71">
        <f t="shared" si="28"/>
        <v>-28.274999999999999</v>
      </c>
      <c r="G300" s="72">
        <f t="shared" si="29"/>
        <v>-13.275</v>
      </c>
      <c r="H300" s="73">
        <f t="shared" si="30"/>
        <v>1.7250000000000001</v>
      </c>
    </row>
    <row r="301" spans="1:8" x14ac:dyDescent="0.25">
      <c r="A301" s="26">
        <v>-439</v>
      </c>
      <c r="B301" s="25">
        <v>5.7919999999999999E-2</v>
      </c>
      <c r="C301" s="68">
        <f t="shared" si="25"/>
        <v>28.2624</v>
      </c>
      <c r="D301" s="69">
        <f t="shared" si="26"/>
        <v>13.2624</v>
      </c>
      <c r="E301" s="70">
        <f t="shared" si="27"/>
        <v>-1.7376</v>
      </c>
      <c r="F301" s="71">
        <f t="shared" si="28"/>
        <v>-28.2624</v>
      </c>
      <c r="G301" s="72">
        <f t="shared" si="29"/>
        <v>-13.2624</v>
      </c>
      <c r="H301" s="73">
        <f t="shared" si="30"/>
        <v>1.7376</v>
      </c>
    </row>
    <row r="302" spans="1:8" x14ac:dyDescent="0.25">
      <c r="A302" s="26">
        <v>-438</v>
      </c>
      <c r="B302" s="25">
        <v>5.833E-2</v>
      </c>
      <c r="C302" s="68">
        <f t="shared" si="25"/>
        <v>28.2501</v>
      </c>
      <c r="D302" s="69">
        <f t="shared" si="26"/>
        <v>13.2501</v>
      </c>
      <c r="E302" s="70">
        <f t="shared" si="27"/>
        <v>-1.7499</v>
      </c>
      <c r="F302" s="71">
        <f t="shared" si="28"/>
        <v>-28.2501</v>
      </c>
      <c r="G302" s="72">
        <f t="shared" si="29"/>
        <v>-13.2501</v>
      </c>
      <c r="H302" s="73">
        <f t="shared" si="30"/>
        <v>1.7499</v>
      </c>
    </row>
    <row r="303" spans="1:8" x14ac:dyDescent="0.25">
      <c r="A303" s="26">
        <v>-437</v>
      </c>
      <c r="B303" s="25">
        <v>5.8749999999999997E-2</v>
      </c>
      <c r="C303" s="68">
        <f t="shared" si="25"/>
        <v>28.237500000000001</v>
      </c>
      <c r="D303" s="69">
        <f t="shared" si="26"/>
        <v>13.237500000000001</v>
      </c>
      <c r="E303" s="70">
        <f t="shared" si="27"/>
        <v>-1.7625</v>
      </c>
      <c r="F303" s="71">
        <f t="shared" si="28"/>
        <v>-28.237500000000001</v>
      </c>
      <c r="G303" s="72">
        <f t="shared" si="29"/>
        <v>-13.237500000000001</v>
      </c>
      <c r="H303" s="73">
        <f t="shared" si="30"/>
        <v>1.7625</v>
      </c>
    </row>
    <row r="304" spans="1:8" x14ac:dyDescent="0.25">
      <c r="A304" s="26">
        <v>-436</v>
      </c>
      <c r="B304" s="25">
        <v>5.917E-2</v>
      </c>
      <c r="C304" s="68">
        <f t="shared" si="25"/>
        <v>28.224899999999998</v>
      </c>
      <c r="D304" s="69">
        <f t="shared" si="26"/>
        <v>13.2249</v>
      </c>
      <c r="E304" s="70">
        <f t="shared" si="27"/>
        <v>-1.7751000000000001</v>
      </c>
      <c r="F304" s="71">
        <f t="shared" si="28"/>
        <v>-28.224899999999998</v>
      </c>
      <c r="G304" s="72">
        <f t="shared" si="29"/>
        <v>-13.2249</v>
      </c>
      <c r="H304" s="73">
        <f t="shared" si="30"/>
        <v>1.7751000000000001</v>
      </c>
    </row>
    <row r="305" spans="1:8" x14ac:dyDescent="0.25">
      <c r="A305" s="26">
        <v>-435</v>
      </c>
      <c r="B305" s="25">
        <v>5.9580000000000001E-2</v>
      </c>
      <c r="C305" s="68">
        <f t="shared" si="25"/>
        <v>28.212599999999998</v>
      </c>
      <c r="D305" s="69">
        <f t="shared" si="26"/>
        <v>13.2126</v>
      </c>
      <c r="E305" s="70">
        <f t="shared" si="27"/>
        <v>-1.7874000000000001</v>
      </c>
      <c r="F305" s="71">
        <f t="shared" si="28"/>
        <v>-28.212599999999998</v>
      </c>
      <c r="G305" s="72">
        <f t="shared" si="29"/>
        <v>-13.2126</v>
      </c>
      <c r="H305" s="73">
        <f t="shared" si="30"/>
        <v>1.7874000000000001</v>
      </c>
    </row>
    <row r="306" spans="1:8" x14ac:dyDescent="0.25">
      <c r="A306" s="26">
        <v>-434</v>
      </c>
      <c r="B306" s="25">
        <v>0.06</v>
      </c>
      <c r="C306" s="68">
        <f t="shared" si="25"/>
        <v>28.2</v>
      </c>
      <c r="D306" s="69">
        <f t="shared" si="26"/>
        <v>13.2</v>
      </c>
      <c r="E306" s="70">
        <f t="shared" si="27"/>
        <v>-1.7999999999999998</v>
      </c>
      <c r="F306" s="71">
        <f t="shared" si="28"/>
        <v>-28.2</v>
      </c>
      <c r="G306" s="72">
        <f t="shared" si="29"/>
        <v>-13.2</v>
      </c>
      <c r="H306" s="73">
        <f t="shared" si="30"/>
        <v>1.7999999999999998</v>
      </c>
    </row>
    <row r="307" spans="1:8" x14ac:dyDescent="0.25">
      <c r="A307" s="26">
        <v>-433</v>
      </c>
      <c r="B307" s="25">
        <v>6.0479999999999999E-2</v>
      </c>
      <c r="C307" s="68">
        <f t="shared" si="25"/>
        <v>28.185600000000001</v>
      </c>
      <c r="D307" s="69">
        <f t="shared" si="26"/>
        <v>13.185600000000001</v>
      </c>
      <c r="E307" s="70">
        <f t="shared" si="27"/>
        <v>-1.8144</v>
      </c>
      <c r="F307" s="71">
        <f t="shared" si="28"/>
        <v>-28.185600000000001</v>
      </c>
      <c r="G307" s="72">
        <f t="shared" si="29"/>
        <v>-13.185600000000001</v>
      </c>
      <c r="H307" s="73">
        <f t="shared" si="30"/>
        <v>1.8144</v>
      </c>
    </row>
    <row r="308" spans="1:8" x14ac:dyDescent="0.25">
      <c r="A308" s="26">
        <v>-432</v>
      </c>
      <c r="B308" s="25">
        <v>6.0949999999999997E-2</v>
      </c>
      <c r="C308" s="68">
        <f t="shared" si="25"/>
        <v>28.171500000000002</v>
      </c>
      <c r="D308" s="69">
        <f t="shared" si="26"/>
        <v>13.1715</v>
      </c>
      <c r="E308" s="70">
        <f t="shared" si="27"/>
        <v>-1.8285</v>
      </c>
      <c r="F308" s="71">
        <f t="shared" si="28"/>
        <v>-28.171500000000002</v>
      </c>
      <c r="G308" s="72">
        <f t="shared" si="29"/>
        <v>-13.1715</v>
      </c>
      <c r="H308" s="73">
        <f t="shared" si="30"/>
        <v>1.8285</v>
      </c>
    </row>
    <row r="309" spans="1:8" x14ac:dyDescent="0.25">
      <c r="A309" s="26">
        <v>-431</v>
      </c>
      <c r="B309" s="25">
        <v>6.1429999999999998E-2</v>
      </c>
      <c r="C309" s="68">
        <f t="shared" si="25"/>
        <v>28.1571</v>
      </c>
      <c r="D309" s="69">
        <f t="shared" si="26"/>
        <v>13.1571</v>
      </c>
      <c r="E309" s="70">
        <f t="shared" si="27"/>
        <v>-1.8429</v>
      </c>
      <c r="F309" s="71">
        <f t="shared" si="28"/>
        <v>-28.1571</v>
      </c>
      <c r="G309" s="72">
        <f t="shared" si="29"/>
        <v>-13.1571</v>
      </c>
      <c r="H309" s="73">
        <f t="shared" si="30"/>
        <v>1.8429</v>
      </c>
    </row>
    <row r="310" spans="1:8" x14ac:dyDescent="0.25">
      <c r="A310" s="26">
        <v>-430</v>
      </c>
      <c r="B310" s="25">
        <v>6.1899999999999997E-2</v>
      </c>
      <c r="C310" s="68">
        <f t="shared" si="25"/>
        <v>28.143000000000001</v>
      </c>
      <c r="D310" s="69">
        <f t="shared" si="26"/>
        <v>13.143000000000001</v>
      </c>
      <c r="E310" s="70">
        <f t="shared" si="27"/>
        <v>-1.857</v>
      </c>
      <c r="F310" s="71">
        <f t="shared" si="28"/>
        <v>-28.143000000000001</v>
      </c>
      <c r="G310" s="72">
        <f t="shared" si="29"/>
        <v>-13.143000000000001</v>
      </c>
      <c r="H310" s="73">
        <f t="shared" si="30"/>
        <v>1.857</v>
      </c>
    </row>
    <row r="311" spans="1:8" x14ac:dyDescent="0.25">
      <c r="A311" s="26">
        <v>-429</v>
      </c>
      <c r="B311" s="25">
        <v>6.2379999999999998E-2</v>
      </c>
      <c r="C311" s="68">
        <f t="shared" si="25"/>
        <v>28.128599999999999</v>
      </c>
      <c r="D311" s="69">
        <f t="shared" si="26"/>
        <v>13.1286</v>
      </c>
      <c r="E311" s="70">
        <f t="shared" si="27"/>
        <v>-1.8714</v>
      </c>
      <c r="F311" s="71">
        <f t="shared" si="28"/>
        <v>-28.128599999999999</v>
      </c>
      <c r="G311" s="72">
        <f t="shared" si="29"/>
        <v>-13.1286</v>
      </c>
      <c r="H311" s="73">
        <f t="shared" si="30"/>
        <v>1.8714</v>
      </c>
    </row>
    <row r="312" spans="1:8" x14ac:dyDescent="0.25">
      <c r="A312" s="26">
        <v>-428</v>
      </c>
      <c r="B312" s="25">
        <v>6.2859999999999999E-2</v>
      </c>
      <c r="C312" s="68">
        <f t="shared" si="25"/>
        <v>28.1142</v>
      </c>
      <c r="D312" s="69">
        <f t="shared" si="26"/>
        <v>13.1142</v>
      </c>
      <c r="E312" s="70">
        <f t="shared" si="27"/>
        <v>-1.8857999999999999</v>
      </c>
      <c r="F312" s="71">
        <f t="shared" si="28"/>
        <v>-28.1142</v>
      </c>
      <c r="G312" s="72">
        <f t="shared" si="29"/>
        <v>-13.1142</v>
      </c>
      <c r="H312" s="73">
        <f t="shared" si="30"/>
        <v>1.8857999999999999</v>
      </c>
    </row>
    <row r="313" spans="1:8" x14ac:dyDescent="0.25">
      <c r="A313" s="26">
        <v>-427</v>
      </c>
      <c r="B313" s="25">
        <v>6.3329999999999997E-2</v>
      </c>
      <c r="C313" s="68">
        <f t="shared" si="25"/>
        <v>28.100100000000001</v>
      </c>
      <c r="D313" s="69">
        <f t="shared" si="26"/>
        <v>13.100099999999999</v>
      </c>
      <c r="E313" s="70">
        <f t="shared" si="27"/>
        <v>-1.8998999999999999</v>
      </c>
      <c r="F313" s="71">
        <f t="shared" si="28"/>
        <v>-28.100100000000001</v>
      </c>
      <c r="G313" s="72">
        <f t="shared" si="29"/>
        <v>-13.100099999999999</v>
      </c>
      <c r="H313" s="73">
        <f t="shared" si="30"/>
        <v>1.8998999999999999</v>
      </c>
    </row>
    <row r="314" spans="1:8" x14ac:dyDescent="0.25">
      <c r="A314" s="26">
        <v>-426</v>
      </c>
      <c r="B314" s="25">
        <v>6.3810000000000006E-2</v>
      </c>
      <c r="C314" s="68">
        <f t="shared" si="25"/>
        <v>28.085699999999999</v>
      </c>
      <c r="D314" s="69">
        <f t="shared" si="26"/>
        <v>13.085699999999999</v>
      </c>
      <c r="E314" s="70">
        <f t="shared" si="27"/>
        <v>-1.9143000000000001</v>
      </c>
      <c r="F314" s="71">
        <f t="shared" si="28"/>
        <v>-28.085699999999999</v>
      </c>
      <c r="G314" s="72">
        <f t="shared" si="29"/>
        <v>-13.085699999999999</v>
      </c>
      <c r="H314" s="73">
        <f t="shared" si="30"/>
        <v>1.9143000000000001</v>
      </c>
    </row>
    <row r="315" spans="1:8" x14ac:dyDescent="0.25">
      <c r="A315" s="26">
        <v>-425</v>
      </c>
      <c r="B315" s="25">
        <v>6.429E-2</v>
      </c>
      <c r="C315" s="68">
        <f t="shared" si="25"/>
        <v>28.071300000000001</v>
      </c>
      <c r="D315" s="69">
        <f t="shared" si="26"/>
        <v>13.071300000000001</v>
      </c>
      <c r="E315" s="70">
        <f t="shared" si="27"/>
        <v>-1.9287000000000001</v>
      </c>
      <c r="F315" s="71">
        <f t="shared" si="28"/>
        <v>-28.071300000000001</v>
      </c>
      <c r="G315" s="72">
        <f t="shared" si="29"/>
        <v>-13.071300000000001</v>
      </c>
      <c r="H315" s="73">
        <f t="shared" si="30"/>
        <v>1.9287000000000001</v>
      </c>
    </row>
    <row r="316" spans="1:8" x14ac:dyDescent="0.25">
      <c r="A316" s="26">
        <v>-424</v>
      </c>
      <c r="B316" s="25">
        <v>6.4759999999999998E-2</v>
      </c>
      <c r="C316" s="68">
        <f t="shared" si="25"/>
        <v>28.057200000000002</v>
      </c>
      <c r="D316" s="69">
        <f t="shared" si="26"/>
        <v>13.0572</v>
      </c>
      <c r="E316" s="70">
        <f t="shared" si="27"/>
        <v>-1.9427999999999999</v>
      </c>
      <c r="F316" s="71">
        <f t="shared" si="28"/>
        <v>-28.057200000000002</v>
      </c>
      <c r="G316" s="72">
        <f t="shared" si="29"/>
        <v>-13.0572</v>
      </c>
      <c r="H316" s="73">
        <f t="shared" si="30"/>
        <v>1.9427999999999999</v>
      </c>
    </row>
    <row r="317" spans="1:8" x14ac:dyDescent="0.25">
      <c r="A317" s="26">
        <v>-423</v>
      </c>
      <c r="B317" s="25">
        <v>6.5240000000000006E-2</v>
      </c>
      <c r="C317" s="68">
        <f t="shared" si="25"/>
        <v>28.0428</v>
      </c>
      <c r="D317" s="69">
        <f t="shared" si="26"/>
        <v>13.0428</v>
      </c>
      <c r="E317" s="70">
        <f t="shared" si="27"/>
        <v>-1.9572000000000003</v>
      </c>
      <c r="F317" s="71">
        <f t="shared" si="28"/>
        <v>-28.0428</v>
      </c>
      <c r="G317" s="72">
        <f t="shared" si="29"/>
        <v>-13.0428</v>
      </c>
      <c r="H317" s="73">
        <f t="shared" si="30"/>
        <v>1.9572000000000003</v>
      </c>
    </row>
    <row r="318" spans="1:8" x14ac:dyDescent="0.25">
      <c r="A318" s="26">
        <v>-422</v>
      </c>
      <c r="B318" s="25">
        <v>6.5710000000000005E-2</v>
      </c>
      <c r="C318" s="68">
        <f t="shared" si="25"/>
        <v>28.028700000000001</v>
      </c>
      <c r="D318" s="69">
        <f t="shared" si="26"/>
        <v>13.028700000000001</v>
      </c>
      <c r="E318" s="70">
        <f t="shared" si="27"/>
        <v>-1.9713000000000001</v>
      </c>
      <c r="F318" s="71">
        <f t="shared" si="28"/>
        <v>-28.028700000000001</v>
      </c>
      <c r="G318" s="72">
        <f t="shared" si="29"/>
        <v>-13.028700000000001</v>
      </c>
      <c r="H318" s="73">
        <f t="shared" si="30"/>
        <v>1.9713000000000001</v>
      </c>
    </row>
    <row r="319" spans="1:8" x14ac:dyDescent="0.25">
      <c r="A319" s="26">
        <v>-421</v>
      </c>
      <c r="B319" s="25">
        <v>6.6189999999999999E-2</v>
      </c>
      <c r="C319" s="68">
        <f t="shared" si="25"/>
        <v>28.014299999999999</v>
      </c>
      <c r="D319" s="69">
        <f t="shared" si="26"/>
        <v>13.0143</v>
      </c>
      <c r="E319" s="70">
        <f t="shared" si="27"/>
        <v>-1.9857</v>
      </c>
      <c r="F319" s="71">
        <f t="shared" si="28"/>
        <v>-28.014299999999999</v>
      </c>
      <c r="G319" s="72">
        <f t="shared" si="29"/>
        <v>-13.0143</v>
      </c>
      <c r="H319" s="73">
        <f t="shared" si="30"/>
        <v>1.9857</v>
      </c>
    </row>
    <row r="320" spans="1:8" x14ac:dyDescent="0.25">
      <c r="A320" s="26">
        <v>-420</v>
      </c>
      <c r="B320" s="25">
        <v>6.6669999999999993E-2</v>
      </c>
      <c r="C320" s="68">
        <f t="shared" si="25"/>
        <v>27.9999</v>
      </c>
      <c r="D320" s="69">
        <f t="shared" si="26"/>
        <v>12.9999</v>
      </c>
      <c r="E320" s="70">
        <f t="shared" si="27"/>
        <v>-2.0000999999999998</v>
      </c>
      <c r="F320" s="71">
        <f t="shared" si="28"/>
        <v>-27.9999</v>
      </c>
      <c r="G320" s="72">
        <f t="shared" si="29"/>
        <v>-12.9999</v>
      </c>
      <c r="H320" s="73">
        <f t="shared" si="30"/>
        <v>2.0000999999999998</v>
      </c>
    </row>
    <row r="321" spans="1:8" x14ac:dyDescent="0.25">
      <c r="A321" s="26">
        <v>-419</v>
      </c>
      <c r="B321" s="25">
        <v>6.7140000000000005E-2</v>
      </c>
      <c r="C321" s="68">
        <f t="shared" si="25"/>
        <v>27.985800000000001</v>
      </c>
      <c r="D321" s="69">
        <f t="shared" si="26"/>
        <v>12.985799999999999</v>
      </c>
      <c r="E321" s="70">
        <f t="shared" si="27"/>
        <v>-2.0142000000000002</v>
      </c>
      <c r="F321" s="71">
        <f t="shared" si="28"/>
        <v>-27.985800000000001</v>
      </c>
      <c r="G321" s="72">
        <f t="shared" si="29"/>
        <v>-12.985799999999999</v>
      </c>
      <c r="H321" s="73">
        <f t="shared" si="30"/>
        <v>2.0142000000000002</v>
      </c>
    </row>
    <row r="322" spans="1:8" x14ac:dyDescent="0.25">
      <c r="A322" s="26">
        <v>-418</v>
      </c>
      <c r="B322" s="25">
        <v>6.762E-2</v>
      </c>
      <c r="C322" s="68">
        <f t="shared" si="25"/>
        <v>27.971399999999999</v>
      </c>
      <c r="D322" s="69">
        <f t="shared" si="26"/>
        <v>12.971399999999999</v>
      </c>
      <c r="E322" s="70">
        <f t="shared" si="27"/>
        <v>-2.0286</v>
      </c>
      <c r="F322" s="71">
        <f t="shared" si="28"/>
        <v>-27.971399999999999</v>
      </c>
      <c r="G322" s="72">
        <f t="shared" si="29"/>
        <v>-12.971399999999999</v>
      </c>
      <c r="H322" s="73">
        <f t="shared" si="30"/>
        <v>2.0286</v>
      </c>
    </row>
    <row r="323" spans="1:8" x14ac:dyDescent="0.25">
      <c r="A323" s="26">
        <v>-417</v>
      </c>
      <c r="B323" s="25">
        <v>6.8099999999999994E-2</v>
      </c>
      <c r="C323" s="68">
        <f t="shared" si="25"/>
        <v>27.957000000000001</v>
      </c>
      <c r="D323" s="69">
        <f t="shared" si="26"/>
        <v>12.957000000000001</v>
      </c>
      <c r="E323" s="70">
        <f t="shared" si="27"/>
        <v>-2.0429999999999997</v>
      </c>
      <c r="F323" s="71">
        <f t="shared" si="28"/>
        <v>-27.957000000000001</v>
      </c>
      <c r="G323" s="72">
        <f t="shared" si="29"/>
        <v>-12.957000000000001</v>
      </c>
      <c r="H323" s="73">
        <f t="shared" si="30"/>
        <v>2.0429999999999997</v>
      </c>
    </row>
    <row r="324" spans="1:8" x14ac:dyDescent="0.25">
      <c r="A324" s="26">
        <v>-416</v>
      </c>
      <c r="B324" s="25">
        <v>6.8570000000000006E-2</v>
      </c>
      <c r="C324" s="68">
        <f t="shared" si="25"/>
        <v>27.942900000000002</v>
      </c>
      <c r="D324" s="69">
        <f t="shared" si="26"/>
        <v>12.9429</v>
      </c>
      <c r="E324" s="70">
        <f t="shared" si="27"/>
        <v>-2.0571000000000002</v>
      </c>
      <c r="F324" s="71">
        <f t="shared" si="28"/>
        <v>-27.942900000000002</v>
      </c>
      <c r="G324" s="72">
        <f t="shared" si="29"/>
        <v>-12.9429</v>
      </c>
      <c r="H324" s="73">
        <f t="shared" si="30"/>
        <v>2.0571000000000002</v>
      </c>
    </row>
    <row r="325" spans="1:8" x14ac:dyDescent="0.25">
      <c r="A325" s="26">
        <v>-415</v>
      </c>
      <c r="B325" s="25">
        <v>6.905E-2</v>
      </c>
      <c r="C325" s="68">
        <f t="shared" si="25"/>
        <v>27.9285</v>
      </c>
      <c r="D325" s="69">
        <f t="shared" si="26"/>
        <v>12.9285</v>
      </c>
      <c r="E325" s="70">
        <f t="shared" si="27"/>
        <v>-2.0714999999999999</v>
      </c>
      <c r="F325" s="71">
        <f t="shared" si="28"/>
        <v>-27.9285</v>
      </c>
      <c r="G325" s="72">
        <f t="shared" si="29"/>
        <v>-12.9285</v>
      </c>
      <c r="H325" s="73">
        <f t="shared" si="30"/>
        <v>2.0714999999999999</v>
      </c>
    </row>
    <row r="326" spans="1:8" x14ac:dyDescent="0.25">
      <c r="A326" s="26">
        <v>-414</v>
      </c>
      <c r="B326" s="25">
        <v>6.9519999999999998E-2</v>
      </c>
      <c r="C326" s="68">
        <f t="shared" si="25"/>
        <v>27.914400000000001</v>
      </c>
      <c r="D326" s="69">
        <f t="shared" si="26"/>
        <v>12.914400000000001</v>
      </c>
      <c r="E326" s="70">
        <f t="shared" si="27"/>
        <v>-2.0855999999999999</v>
      </c>
      <c r="F326" s="71">
        <f t="shared" si="28"/>
        <v>-27.914400000000001</v>
      </c>
      <c r="G326" s="72">
        <f t="shared" si="29"/>
        <v>-12.914400000000001</v>
      </c>
      <c r="H326" s="73">
        <f t="shared" si="30"/>
        <v>2.0855999999999999</v>
      </c>
    </row>
    <row r="327" spans="1:8" x14ac:dyDescent="0.25">
      <c r="A327" s="26">
        <v>-413</v>
      </c>
      <c r="B327" s="25">
        <v>7.0000000000000007E-2</v>
      </c>
      <c r="C327" s="68">
        <f t="shared" ref="C327:C390" si="31">KFactor-KFactor*B327</f>
        <v>27.9</v>
      </c>
      <c r="D327" s="69">
        <f t="shared" ref="D327:D390" si="32">KFactor/2-KFactor*B327</f>
        <v>12.9</v>
      </c>
      <c r="E327" s="70">
        <f t="shared" ref="E327:E390" si="33">0-KFactor*B327</f>
        <v>-2.1</v>
      </c>
      <c r="F327" s="71">
        <f t="shared" ref="F327:F390" si="34">-C327</f>
        <v>-27.9</v>
      </c>
      <c r="G327" s="72">
        <f t="shared" ref="G327:G390" si="35">-D327</f>
        <v>-12.9</v>
      </c>
      <c r="H327" s="73">
        <f t="shared" ref="H327:H390" si="36">-E327</f>
        <v>2.1</v>
      </c>
    </row>
    <row r="328" spans="1:8" x14ac:dyDescent="0.25">
      <c r="A328" s="26">
        <v>-412</v>
      </c>
      <c r="B328" s="25">
        <v>7.0499999999999993E-2</v>
      </c>
      <c r="C328" s="68">
        <f t="shared" si="31"/>
        <v>27.885000000000002</v>
      </c>
      <c r="D328" s="69">
        <f t="shared" si="32"/>
        <v>12.885</v>
      </c>
      <c r="E328" s="70">
        <f t="shared" si="33"/>
        <v>-2.1149999999999998</v>
      </c>
      <c r="F328" s="71">
        <f t="shared" si="34"/>
        <v>-27.885000000000002</v>
      </c>
      <c r="G328" s="72">
        <f t="shared" si="35"/>
        <v>-12.885</v>
      </c>
      <c r="H328" s="73">
        <f t="shared" si="36"/>
        <v>2.1149999999999998</v>
      </c>
    </row>
    <row r="329" spans="1:8" x14ac:dyDescent="0.25">
      <c r="A329" s="26">
        <v>-411</v>
      </c>
      <c r="B329" s="25">
        <v>7.0999999999999994E-2</v>
      </c>
      <c r="C329" s="68">
        <f t="shared" si="31"/>
        <v>27.87</v>
      </c>
      <c r="D329" s="69">
        <f t="shared" si="32"/>
        <v>12.870000000000001</v>
      </c>
      <c r="E329" s="70">
        <f t="shared" si="33"/>
        <v>-2.13</v>
      </c>
      <c r="F329" s="71">
        <f t="shared" si="34"/>
        <v>-27.87</v>
      </c>
      <c r="G329" s="72">
        <f t="shared" si="35"/>
        <v>-12.870000000000001</v>
      </c>
      <c r="H329" s="73">
        <f t="shared" si="36"/>
        <v>2.13</v>
      </c>
    </row>
    <row r="330" spans="1:8" x14ac:dyDescent="0.25">
      <c r="A330" s="26">
        <v>-410</v>
      </c>
      <c r="B330" s="25">
        <v>7.1499999999999994E-2</v>
      </c>
      <c r="C330" s="68">
        <f t="shared" si="31"/>
        <v>27.855</v>
      </c>
      <c r="D330" s="69">
        <f t="shared" si="32"/>
        <v>12.855</v>
      </c>
      <c r="E330" s="70">
        <f t="shared" si="33"/>
        <v>-2.145</v>
      </c>
      <c r="F330" s="71">
        <f t="shared" si="34"/>
        <v>-27.855</v>
      </c>
      <c r="G330" s="72">
        <f t="shared" si="35"/>
        <v>-12.855</v>
      </c>
      <c r="H330" s="73">
        <f t="shared" si="36"/>
        <v>2.145</v>
      </c>
    </row>
    <row r="331" spans="1:8" x14ac:dyDescent="0.25">
      <c r="A331" s="26">
        <v>-409</v>
      </c>
      <c r="B331" s="25">
        <v>7.1999999999999995E-2</v>
      </c>
      <c r="C331" s="68">
        <f t="shared" si="31"/>
        <v>27.84</v>
      </c>
      <c r="D331" s="69">
        <f t="shared" si="32"/>
        <v>12.84</v>
      </c>
      <c r="E331" s="70">
        <f t="shared" si="33"/>
        <v>-2.1599999999999997</v>
      </c>
      <c r="F331" s="71">
        <f t="shared" si="34"/>
        <v>-27.84</v>
      </c>
      <c r="G331" s="72">
        <f t="shared" si="35"/>
        <v>-12.84</v>
      </c>
      <c r="H331" s="73">
        <f t="shared" si="36"/>
        <v>2.1599999999999997</v>
      </c>
    </row>
    <row r="332" spans="1:8" x14ac:dyDescent="0.25">
      <c r="A332" s="26">
        <v>-408</v>
      </c>
      <c r="B332" s="25">
        <v>7.2499999999999995E-2</v>
      </c>
      <c r="C332" s="68">
        <f t="shared" si="31"/>
        <v>27.824999999999999</v>
      </c>
      <c r="D332" s="69">
        <f t="shared" si="32"/>
        <v>12.824999999999999</v>
      </c>
      <c r="E332" s="70">
        <f t="shared" si="33"/>
        <v>-2.1749999999999998</v>
      </c>
      <c r="F332" s="71">
        <f t="shared" si="34"/>
        <v>-27.824999999999999</v>
      </c>
      <c r="G332" s="72">
        <f t="shared" si="35"/>
        <v>-12.824999999999999</v>
      </c>
      <c r="H332" s="73">
        <f t="shared" si="36"/>
        <v>2.1749999999999998</v>
      </c>
    </row>
    <row r="333" spans="1:8" x14ac:dyDescent="0.25">
      <c r="A333" s="26">
        <v>-407</v>
      </c>
      <c r="B333" s="25">
        <v>7.2999999999999995E-2</v>
      </c>
      <c r="C333" s="68">
        <f t="shared" si="31"/>
        <v>27.81</v>
      </c>
      <c r="D333" s="69">
        <f t="shared" si="32"/>
        <v>12.81</v>
      </c>
      <c r="E333" s="70">
        <f t="shared" si="33"/>
        <v>-2.19</v>
      </c>
      <c r="F333" s="71">
        <f t="shared" si="34"/>
        <v>-27.81</v>
      </c>
      <c r="G333" s="72">
        <f t="shared" si="35"/>
        <v>-12.81</v>
      </c>
      <c r="H333" s="73">
        <f t="shared" si="36"/>
        <v>2.19</v>
      </c>
    </row>
    <row r="334" spans="1:8" x14ac:dyDescent="0.25">
      <c r="A334" s="26">
        <v>-406</v>
      </c>
      <c r="B334" s="25">
        <v>7.3499999999999996E-2</v>
      </c>
      <c r="C334" s="68">
        <f t="shared" si="31"/>
        <v>27.795000000000002</v>
      </c>
      <c r="D334" s="69">
        <f t="shared" si="32"/>
        <v>12.795</v>
      </c>
      <c r="E334" s="70">
        <f t="shared" si="33"/>
        <v>-2.2050000000000001</v>
      </c>
      <c r="F334" s="71">
        <f t="shared" si="34"/>
        <v>-27.795000000000002</v>
      </c>
      <c r="G334" s="72">
        <f t="shared" si="35"/>
        <v>-12.795</v>
      </c>
      <c r="H334" s="73">
        <f t="shared" si="36"/>
        <v>2.2050000000000001</v>
      </c>
    </row>
    <row r="335" spans="1:8" x14ac:dyDescent="0.25">
      <c r="A335" s="26">
        <v>-405</v>
      </c>
      <c r="B335" s="25">
        <v>7.3999999999999996E-2</v>
      </c>
      <c r="C335" s="68">
        <f t="shared" si="31"/>
        <v>27.78</v>
      </c>
      <c r="D335" s="69">
        <f t="shared" si="32"/>
        <v>12.780000000000001</v>
      </c>
      <c r="E335" s="70">
        <f t="shared" si="33"/>
        <v>-2.2199999999999998</v>
      </c>
      <c r="F335" s="71">
        <f t="shared" si="34"/>
        <v>-27.78</v>
      </c>
      <c r="G335" s="72">
        <f t="shared" si="35"/>
        <v>-12.780000000000001</v>
      </c>
      <c r="H335" s="73">
        <f t="shared" si="36"/>
        <v>2.2199999999999998</v>
      </c>
    </row>
    <row r="336" spans="1:8" x14ac:dyDescent="0.25">
      <c r="A336" s="26">
        <v>-404</v>
      </c>
      <c r="B336" s="25">
        <v>7.4499999999999997E-2</v>
      </c>
      <c r="C336" s="68">
        <f t="shared" si="31"/>
        <v>27.765000000000001</v>
      </c>
      <c r="D336" s="69">
        <f t="shared" si="32"/>
        <v>12.765000000000001</v>
      </c>
      <c r="E336" s="70">
        <f t="shared" si="33"/>
        <v>-2.2349999999999999</v>
      </c>
      <c r="F336" s="71">
        <f t="shared" si="34"/>
        <v>-27.765000000000001</v>
      </c>
      <c r="G336" s="72">
        <f t="shared" si="35"/>
        <v>-12.765000000000001</v>
      </c>
      <c r="H336" s="73">
        <f t="shared" si="36"/>
        <v>2.2349999999999999</v>
      </c>
    </row>
    <row r="337" spans="1:8" x14ac:dyDescent="0.25">
      <c r="A337" s="26">
        <v>-403</v>
      </c>
      <c r="B337" s="25">
        <v>7.4999999999999997E-2</v>
      </c>
      <c r="C337" s="68">
        <f t="shared" si="31"/>
        <v>27.75</v>
      </c>
      <c r="D337" s="69">
        <f t="shared" si="32"/>
        <v>12.75</v>
      </c>
      <c r="E337" s="70">
        <f t="shared" si="33"/>
        <v>-2.25</v>
      </c>
      <c r="F337" s="71">
        <f t="shared" si="34"/>
        <v>-27.75</v>
      </c>
      <c r="G337" s="72">
        <f t="shared" si="35"/>
        <v>-12.75</v>
      </c>
      <c r="H337" s="73">
        <f t="shared" si="36"/>
        <v>2.25</v>
      </c>
    </row>
    <row r="338" spans="1:8" x14ac:dyDescent="0.25">
      <c r="A338" s="26">
        <v>-402</v>
      </c>
      <c r="B338" s="25">
        <v>7.5499999999999998E-2</v>
      </c>
      <c r="C338" s="68">
        <f t="shared" si="31"/>
        <v>27.734999999999999</v>
      </c>
      <c r="D338" s="69">
        <f t="shared" si="32"/>
        <v>12.734999999999999</v>
      </c>
      <c r="E338" s="70">
        <f t="shared" si="33"/>
        <v>-2.2650000000000001</v>
      </c>
      <c r="F338" s="71">
        <f t="shared" si="34"/>
        <v>-27.734999999999999</v>
      </c>
      <c r="G338" s="72">
        <f t="shared" si="35"/>
        <v>-12.734999999999999</v>
      </c>
      <c r="H338" s="73">
        <f t="shared" si="36"/>
        <v>2.2650000000000001</v>
      </c>
    </row>
    <row r="339" spans="1:8" x14ac:dyDescent="0.25">
      <c r="A339" s="26">
        <v>-401</v>
      </c>
      <c r="B339" s="25">
        <v>7.5999999999999998E-2</v>
      </c>
      <c r="C339" s="68">
        <f t="shared" si="31"/>
        <v>27.72</v>
      </c>
      <c r="D339" s="69">
        <f t="shared" si="32"/>
        <v>12.72</v>
      </c>
      <c r="E339" s="70">
        <f t="shared" si="33"/>
        <v>-2.2799999999999998</v>
      </c>
      <c r="F339" s="71">
        <f t="shared" si="34"/>
        <v>-27.72</v>
      </c>
      <c r="G339" s="72">
        <f t="shared" si="35"/>
        <v>-12.72</v>
      </c>
      <c r="H339" s="73">
        <f t="shared" si="36"/>
        <v>2.2799999999999998</v>
      </c>
    </row>
    <row r="340" spans="1:8" x14ac:dyDescent="0.25">
      <c r="A340" s="26">
        <v>-400</v>
      </c>
      <c r="B340" s="25">
        <v>7.6499999999999999E-2</v>
      </c>
      <c r="C340" s="68">
        <f t="shared" si="31"/>
        <v>27.704999999999998</v>
      </c>
      <c r="D340" s="69">
        <f t="shared" si="32"/>
        <v>12.705</v>
      </c>
      <c r="E340" s="70">
        <f t="shared" si="33"/>
        <v>-2.2949999999999999</v>
      </c>
      <c r="F340" s="71">
        <f t="shared" si="34"/>
        <v>-27.704999999999998</v>
      </c>
      <c r="G340" s="72">
        <f t="shared" si="35"/>
        <v>-12.705</v>
      </c>
      <c r="H340" s="73">
        <f t="shared" si="36"/>
        <v>2.2949999999999999</v>
      </c>
    </row>
    <row r="341" spans="1:8" x14ac:dyDescent="0.25">
      <c r="A341" s="26">
        <v>-399</v>
      </c>
      <c r="B341" s="25">
        <v>7.6999999999999999E-2</v>
      </c>
      <c r="C341" s="68">
        <f t="shared" si="31"/>
        <v>27.69</v>
      </c>
      <c r="D341" s="69">
        <f t="shared" si="32"/>
        <v>12.69</v>
      </c>
      <c r="E341" s="70">
        <f t="shared" si="33"/>
        <v>-2.31</v>
      </c>
      <c r="F341" s="71">
        <f t="shared" si="34"/>
        <v>-27.69</v>
      </c>
      <c r="G341" s="72">
        <f t="shared" si="35"/>
        <v>-12.69</v>
      </c>
      <c r="H341" s="73">
        <f t="shared" si="36"/>
        <v>2.31</v>
      </c>
    </row>
    <row r="342" spans="1:8" x14ac:dyDescent="0.25">
      <c r="A342" s="26">
        <v>-398</v>
      </c>
      <c r="B342" s="25">
        <v>7.7499999999999999E-2</v>
      </c>
      <c r="C342" s="68">
        <f t="shared" si="31"/>
        <v>27.675000000000001</v>
      </c>
      <c r="D342" s="69">
        <f t="shared" si="32"/>
        <v>12.675000000000001</v>
      </c>
      <c r="E342" s="70">
        <f t="shared" si="33"/>
        <v>-2.3250000000000002</v>
      </c>
      <c r="F342" s="71">
        <f t="shared" si="34"/>
        <v>-27.675000000000001</v>
      </c>
      <c r="G342" s="72">
        <f t="shared" si="35"/>
        <v>-12.675000000000001</v>
      </c>
      <c r="H342" s="73">
        <f t="shared" si="36"/>
        <v>2.3250000000000002</v>
      </c>
    </row>
    <row r="343" spans="1:8" x14ac:dyDescent="0.25">
      <c r="A343" s="26">
        <v>-397</v>
      </c>
      <c r="B343" s="25">
        <v>7.8E-2</v>
      </c>
      <c r="C343" s="68">
        <f t="shared" si="31"/>
        <v>27.66</v>
      </c>
      <c r="D343" s="69">
        <f t="shared" si="32"/>
        <v>12.66</v>
      </c>
      <c r="E343" s="70">
        <f t="shared" si="33"/>
        <v>-2.34</v>
      </c>
      <c r="F343" s="71">
        <f t="shared" si="34"/>
        <v>-27.66</v>
      </c>
      <c r="G343" s="72">
        <f t="shared" si="35"/>
        <v>-12.66</v>
      </c>
      <c r="H343" s="73">
        <f t="shared" si="36"/>
        <v>2.34</v>
      </c>
    </row>
    <row r="344" spans="1:8" x14ac:dyDescent="0.25">
      <c r="A344" s="26">
        <v>-396</v>
      </c>
      <c r="B344" s="25">
        <v>7.85E-2</v>
      </c>
      <c r="C344" s="68">
        <f t="shared" si="31"/>
        <v>27.645</v>
      </c>
      <c r="D344" s="69">
        <f t="shared" si="32"/>
        <v>12.645</v>
      </c>
      <c r="E344" s="70">
        <f t="shared" si="33"/>
        <v>-2.355</v>
      </c>
      <c r="F344" s="71">
        <f t="shared" si="34"/>
        <v>-27.645</v>
      </c>
      <c r="G344" s="72">
        <f t="shared" si="35"/>
        <v>-12.645</v>
      </c>
      <c r="H344" s="73">
        <f t="shared" si="36"/>
        <v>2.355</v>
      </c>
    </row>
    <row r="345" spans="1:8" x14ac:dyDescent="0.25">
      <c r="A345" s="26">
        <v>-395</v>
      </c>
      <c r="B345" s="25">
        <v>7.9000000000000001E-2</v>
      </c>
      <c r="C345" s="68">
        <f t="shared" si="31"/>
        <v>27.63</v>
      </c>
      <c r="D345" s="69">
        <f t="shared" si="32"/>
        <v>12.629999999999999</v>
      </c>
      <c r="E345" s="70">
        <f t="shared" si="33"/>
        <v>-2.37</v>
      </c>
      <c r="F345" s="71">
        <f t="shared" si="34"/>
        <v>-27.63</v>
      </c>
      <c r="G345" s="72">
        <f t="shared" si="35"/>
        <v>-12.629999999999999</v>
      </c>
      <c r="H345" s="73">
        <f t="shared" si="36"/>
        <v>2.37</v>
      </c>
    </row>
    <row r="346" spans="1:8" x14ac:dyDescent="0.25">
      <c r="A346" s="26">
        <v>-394</v>
      </c>
      <c r="B346" s="25">
        <v>7.9500000000000001E-2</v>
      </c>
      <c r="C346" s="68">
        <f t="shared" si="31"/>
        <v>27.614999999999998</v>
      </c>
      <c r="D346" s="69">
        <f t="shared" si="32"/>
        <v>12.615</v>
      </c>
      <c r="E346" s="70">
        <f t="shared" si="33"/>
        <v>-2.3850000000000002</v>
      </c>
      <c r="F346" s="71">
        <f t="shared" si="34"/>
        <v>-27.614999999999998</v>
      </c>
      <c r="G346" s="72">
        <f t="shared" si="35"/>
        <v>-12.615</v>
      </c>
      <c r="H346" s="73">
        <f t="shared" si="36"/>
        <v>2.3850000000000002</v>
      </c>
    </row>
    <row r="347" spans="1:8" x14ac:dyDescent="0.25">
      <c r="A347" s="26">
        <v>-393</v>
      </c>
      <c r="B347" s="25">
        <v>0.08</v>
      </c>
      <c r="C347" s="68">
        <f t="shared" si="31"/>
        <v>27.6</v>
      </c>
      <c r="D347" s="69">
        <f t="shared" si="32"/>
        <v>12.6</v>
      </c>
      <c r="E347" s="70">
        <f t="shared" si="33"/>
        <v>-2.4</v>
      </c>
      <c r="F347" s="71">
        <f t="shared" si="34"/>
        <v>-27.6</v>
      </c>
      <c r="G347" s="72">
        <f t="shared" si="35"/>
        <v>-12.6</v>
      </c>
      <c r="H347" s="73">
        <f t="shared" si="36"/>
        <v>2.4</v>
      </c>
    </row>
    <row r="348" spans="1:8" x14ac:dyDescent="0.25">
      <c r="A348" s="26">
        <v>-392</v>
      </c>
      <c r="B348" s="25">
        <v>8.0589999999999995E-2</v>
      </c>
      <c r="C348" s="68">
        <f t="shared" si="31"/>
        <v>27.5823</v>
      </c>
      <c r="D348" s="69">
        <f t="shared" si="32"/>
        <v>12.5823</v>
      </c>
      <c r="E348" s="70">
        <f t="shared" si="33"/>
        <v>-2.4177</v>
      </c>
      <c r="F348" s="71">
        <f t="shared" si="34"/>
        <v>-27.5823</v>
      </c>
      <c r="G348" s="72">
        <f t="shared" si="35"/>
        <v>-12.5823</v>
      </c>
      <c r="H348" s="73">
        <f t="shared" si="36"/>
        <v>2.4177</v>
      </c>
    </row>
    <row r="349" spans="1:8" x14ac:dyDescent="0.25">
      <c r="A349" s="26">
        <v>-391</v>
      </c>
      <c r="B349" s="25">
        <v>8.1180000000000002E-2</v>
      </c>
      <c r="C349" s="68">
        <f t="shared" si="31"/>
        <v>27.564599999999999</v>
      </c>
      <c r="D349" s="69">
        <f t="shared" si="32"/>
        <v>12.5646</v>
      </c>
      <c r="E349" s="70">
        <f t="shared" si="33"/>
        <v>-2.4354</v>
      </c>
      <c r="F349" s="71">
        <f t="shared" si="34"/>
        <v>-27.564599999999999</v>
      </c>
      <c r="G349" s="72">
        <f t="shared" si="35"/>
        <v>-12.5646</v>
      </c>
      <c r="H349" s="73">
        <f t="shared" si="36"/>
        <v>2.4354</v>
      </c>
    </row>
    <row r="350" spans="1:8" x14ac:dyDescent="0.25">
      <c r="A350" s="26">
        <v>-390</v>
      </c>
      <c r="B350" s="25">
        <v>8.1759999999999999E-2</v>
      </c>
      <c r="C350" s="68">
        <f t="shared" si="31"/>
        <v>27.5472</v>
      </c>
      <c r="D350" s="69">
        <f t="shared" si="32"/>
        <v>12.5472</v>
      </c>
      <c r="E350" s="70">
        <f t="shared" si="33"/>
        <v>-2.4527999999999999</v>
      </c>
      <c r="F350" s="71">
        <f t="shared" si="34"/>
        <v>-27.5472</v>
      </c>
      <c r="G350" s="72">
        <f t="shared" si="35"/>
        <v>-12.5472</v>
      </c>
      <c r="H350" s="73">
        <f t="shared" si="36"/>
        <v>2.4527999999999999</v>
      </c>
    </row>
    <row r="351" spans="1:8" x14ac:dyDescent="0.25">
      <c r="A351" s="26">
        <v>-389</v>
      </c>
      <c r="B351" s="25">
        <v>8.2350000000000007E-2</v>
      </c>
      <c r="C351" s="68">
        <f t="shared" si="31"/>
        <v>27.529499999999999</v>
      </c>
      <c r="D351" s="69">
        <f t="shared" si="32"/>
        <v>12.529499999999999</v>
      </c>
      <c r="E351" s="70">
        <f t="shared" si="33"/>
        <v>-2.4705000000000004</v>
      </c>
      <c r="F351" s="71">
        <f t="shared" si="34"/>
        <v>-27.529499999999999</v>
      </c>
      <c r="G351" s="72">
        <f t="shared" si="35"/>
        <v>-12.529499999999999</v>
      </c>
      <c r="H351" s="73">
        <f t="shared" si="36"/>
        <v>2.4705000000000004</v>
      </c>
    </row>
    <row r="352" spans="1:8" x14ac:dyDescent="0.25">
      <c r="A352" s="26">
        <v>-388</v>
      </c>
      <c r="B352" s="25">
        <v>8.294E-2</v>
      </c>
      <c r="C352" s="68">
        <f t="shared" si="31"/>
        <v>27.511800000000001</v>
      </c>
      <c r="D352" s="69">
        <f t="shared" si="32"/>
        <v>12.511800000000001</v>
      </c>
      <c r="E352" s="70">
        <f t="shared" si="33"/>
        <v>-2.4882</v>
      </c>
      <c r="F352" s="71">
        <f t="shared" si="34"/>
        <v>-27.511800000000001</v>
      </c>
      <c r="G352" s="72">
        <f t="shared" si="35"/>
        <v>-12.511800000000001</v>
      </c>
      <c r="H352" s="73">
        <f t="shared" si="36"/>
        <v>2.4882</v>
      </c>
    </row>
    <row r="353" spans="1:8" x14ac:dyDescent="0.25">
      <c r="A353" s="26">
        <v>-387</v>
      </c>
      <c r="B353" s="25">
        <v>8.3529999999999993E-2</v>
      </c>
      <c r="C353" s="68">
        <f t="shared" si="31"/>
        <v>27.4941</v>
      </c>
      <c r="D353" s="69">
        <f t="shared" si="32"/>
        <v>12.4941</v>
      </c>
      <c r="E353" s="70">
        <f t="shared" si="33"/>
        <v>-2.5058999999999996</v>
      </c>
      <c r="F353" s="71">
        <f t="shared" si="34"/>
        <v>-27.4941</v>
      </c>
      <c r="G353" s="72">
        <f t="shared" si="35"/>
        <v>-12.4941</v>
      </c>
      <c r="H353" s="73">
        <f t="shared" si="36"/>
        <v>2.5058999999999996</v>
      </c>
    </row>
    <row r="354" spans="1:8" x14ac:dyDescent="0.25">
      <c r="A354" s="26">
        <v>-386</v>
      </c>
      <c r="B354" s="25">
        <v>8.412E-2</v>
      </c>
      <c r="C354" s="68">
        <f t="shared" si="31"/>
        <v>27.476399999999998</v>
      </c>
      <c r="D354" s="69">
        <f t="shared" si="32"/>
        <v>12.4764</v>
      </c>
      <c r="E354" s="70">
        <f t="shared" si="33"/>
        <v>-2.5236000000000001</v>
      </c>
      <c r="F354" s="71">
        <f t="shared" si="34"/>
        <v>-27.476399999999998</v>
      </c>
      <c r="G354" s="72">
        <f t="shared" si="35"/>
        <v>-12.4764</v>
      </c>
      <c r="H354" s="73">
        <f t="shared" si="36"/>
        <v>2.5236000000000001</v>
      </c>
    </row>
    <row r="355" spans="1:8" x14ac:dyDescent="0.25">
      <c r="A355" s="26">
        <v>-385</v>
      </c>
      <c r="B355" s="25">
        <v>8.4709999999999994E-2</v>
      </c>
      <c r="C355" s="68">
        <f t="shared" si="31"/>
        <v>27.4587</v>
      </c>
      <c r="D355" s="69">
        <f t="shared" si="32"/>
        <v>12.4587</v>
      </c>
      <c r="E355" s="70">
        <f t="shared" si="33"/>
        <v>-2.5412999999999997</v>
      </c>
      <c r="F355" s="71">
        <f t="shared" si="34"/>
        <v>-27.4587</v>
      </c>
      <c r="G355" s="72">
        <f t="shared" si="35"/>
        <v>-12.4587</v>
      </c>
      <c r="H355" s="73">
        <f t="shared" si="36"/>
        <v>2.5412999999999997</v>
      </c>
    </row>
    <row r="356" spans="1:8" x14ac:dyDescent="0.25">
      <c r="A356" s="26">
        <v>-384</v>
      </c>
      <c r="B356" s="25">
        <v>8.5290000000000005E-2</v>
      </c>
      <c r="C356" s="68">
        <f t="shared" si="31"/>
        <v>27.441299999999998</v>
      </c>
      <c r="D356" s="69">
        <f t="shared" si="32"/>
        <v>12.4413</v>
      </c>
      <c r="E356" s="70">
        <f t="shared" si="33"/>
        <v>-2.5587</v>
      </c>
      <c r="F356" s="71">
        <f t="shared" si="34"/>
        <v>-27.441299999999998</v>
      </c>
      <c r="G356" s="72">
        <f t="shared" si="35"/>
        <v>-12.4413</v>
      </c>
      <c r="H356" s="73">
        <f t="shared" si="36"/>
        <v>2.5587</v>
      </c>
    </row>
    <row r="357" spans="1:8" x14ac:dyDescent="0.25">
      <c r="A357" s="26">
        <v>-383</v>
      </c>
      <c r="B357" s="25">
        <v>8.5879999999999998E-2</v>
      </c>
      <c r="C357" s="68">
        <f t="shared" si="31"/>
        <v>27.4236</v>
      </c>
      <c r="D357" s="69">
        <f t="shared" si="32"/>
        <v>12.4236</v>
      </c>
      <c r="E357" s="70">
        <f t="shared" si="33"/>
        <v>-2.5764</v>
      </c>
      <c r="F357" s="71">
        <f t="shared" si="34"/>
        <v>-27.4236</v>
      </c>
      <c r="G357" s="72">
        <f t="shared" si="35"/>
        <v>-12.4236</v>
      </c>
      <c r="H357" s="73">
        <f t="shared" si="36"/>
        <v>2.5764</v>
      </c>
    </row>
    <row r="358" spans="1:8" x14ac:dyDescent="0.25">
      <c r="A358" s="26">
        <v>-382</v>
      </c>
      <c r="B358" s="25">
        <v>8.6470000000000005E-2</v>
      </c>
      <c r="C358" s="68">
        <f t="shared" si="31"/>
        <v>27.405899999999999</v>
      </c>
      <c r="D358" s="69">
        <f t="shared" si="32"/>
        <v>12.405899999999999</v>
      </c>
      <c r="E358" s="70">
        <f t="shared" si="33"/>
        <v>-2.5941000000000001</v>
      </c>
      <c r="F358" s="71">
        <f t="shared" si="34"/>
        <v>-27.405899999999999</v>
      </c>
      <c r="G358" s="72">
        <f t="shared" si="35"/>
        <v>-12.405899999999999</v>
      </c>
      <c r="H358" s="73">
        <f t="shared" si="36"/>
        <v>2.5941000000000001</v>
      </c>
    </row>
    <row r="359" spans="1:8" x14ac:dyDescent="0.25">
      <c r="A359" s="26">
        <v>-381</v>
      </c>
      <c r="B359" s="25">
        <v>8.7059999999999998E-2</v>
      </c>
      <c r="C359" s="68">
        <f t="shared" si="31"/>
        <v>27.388200000000001</v>
      </c>
      <c r="D359" s="69">
        <f t="shared" si="32"/>
        <v>12.388199999999999</v>
      </c>
      <c r="E359" s="70">
        <f t="shared" si="33"/>
        <v>-2.6118000000000001</v>
      </c>
      <c r="F359" s="71">
        <f t="shared" si="34"/>
        <v>-27.388200000000001</v>
      </c>
      <c r="G359" s="72">
        <f t="shared" si="35"/>
        <v>-12.388199999999999</v>
      </c>
      <c r="H359" s="73">
        <f t="shared" si="36"/>
        <v>2.6118000000000001</v>
      </c>
    </row>
    <row r="360" spans="1:8" x14ac:dyDescent="0.25">
      <c r="A360" s="26">
        <v>-380</v>
      </c>
      <c r="B360" s="25">
        <v>8.7650000000000006E-2</v>
      </c>
      <c r="C360" s="68">
        <f t="shared" si="31"/>
        <v>27.3705</v>
      </c>
      <c r="D360" s="69">
        <f t="shared" si="32"/>
        <v>12.3705</v>
      </c>
      <c r="E360" s="70">
        <f t="shared" si="33"/>
        <v>-2.6295000000000002</v>
      </c>
      <c r="F360" s="71">
        <f t="shared" si="34"/>
        <v>-27.3705</v>
      </c>
      <c r="G360" s="72">
        <f t="shared" si="35"/>
        <v>-12.3705</v>
      </c>
      <c r="H360" s="73">
        <f t="shared" si="36"/>
        <v>2.6295000000000002</v>
      </c>
    </row>
    <row r="361" spans="1:8" x14ac:dyDescent="0.25">
      <c r="A361" s="26">
        <v>-379</v>
      </c>
      <c r="B361" s="25">
        <v>8.8239999999999999E-2</v>
      </c>
      <c r="C361" s="68">
        <f t="shared" si="31"/>
        <v>27.352800000000002</v>
      </c>
      <c r="D361" s="69">
        <f t="shared" si="32"/>
        <v>12.3528</v>
      </c>
      <c r="E361" s="70">
        <f t="shared" si="33"/>
        <v>-2.6471999999999998</v>
      </c>
      <c r="F361" s="71">
        <f t="shared" si="34"/>
        <v>-27.352800000000002</v>
      </c>
      <c r="G361" s="72">
        <f t="shared" si="35"/>
        <v>-12.3528</v>
      </c>
      <c r="H361" s="73">
        <f t="shared" si="36"/>
        <v>2.6471999999999998</v>
      </c>
    </row>
    <row r="362" spans="1:8" x14ac:dyDescent="0.25">
      <c r="A362" s="26">
        <v>-378</v>
      </c>
      <c r="B362" s="25">
        <v>8.8819999999999996E-2</v>
      </c>
      <c r="C362" s="68">
        <f t="shared" si="31"/>
        <v>27.3354</v>
      </c>
      <c r="D362" s="69">
        <f t="shared" si="32"/>
        <v>12.3354</v>
      </c>
      <c r="E362" s="70">
        <f t="shared" si="33"/>
        <v>-2.6646000000000001</v>
      </c>
      <c r="F362" s="71">
        <f t="shared" si="34"/>
        <v>-27.3354</v>
      </c>
      <c r="G362" s="72">
        <f t="shared" si="35"/>
        <v>-12.3354</v>
      </c>
      <c r="H362" s="73">
        <f t="shared" si="36"/>
        <v>2.6646000000000001</v>
      </c>
    </row>
    <row r="363" spans="1:8" x14ac:dyDescent="0.25">
      <c r="A363" s="26">
        <v>-377</v>
      </c>
      <c r="B363" s="25">
        <v>8.9410000000000003E-2</v>
      </c>
      <c r="C363" s="68">
        <f t="shared" si="31"/>
        <v>27.317699999999999</v>
      </c>
      <c r="D363" s="69">
        <f t="shared" si="32"/>
        <v>12.3177</v>
      </c>
      <c r="E363" s="70">
        <f t="shared" si="33"/>
        <v>-2.6823000000000001</v>
      </c>
      <c r="F363" s="71">
        <f t="shared" si="34"/>
        <v>-27.317699999999999</v>
      </c>
      <c r="G363" s="72">
        <f t="shared" si="35"/>
        <v>-12.3177</v>
      </c>
      <c r="H363" s="73">
        <f t="shared" si="36"/>
        <v>2.6823000000000001</v>
      </c>
    </row>
    <row r="364" spans="1:8" x14ac:dyDescent="0.25">
      <c r="A364" s="26">
        <v>-376</v>
      </c>
      <c r="B364" s="25">
        <v>0.09</v>
      </c>
      <c r="C364" s="68">
        <f t="shared" si="31"/>
        <v>27.3</v>
      </c>
      <c r="D364" s="69">
        <f t="shared" si="32"/>
        <v>12.3</v>
      </c>
      <c r="E364" s="70">
        <f t="shared" si="33"/>
        <v>-2.6999999999999997</v>
      </c>
      <c r="F364" s="71">
        <f t="shared" si="34"/>
        <v>-27.3</v>
      </c>
      <c r="G364" s="72">
        <f t="shared" si="35"/>
        <v>-12.3</v>
      </c>
      <c r="H364" s="73">
        <f t="shared" si="36"/>
        <v>2.6999999999999997</v>
      </c>
    </row>
    <row r="365" spans="1:8" x14ac:dyDescent="0.25">
      <c r="A365" s="26">
        <v>-375</v>
      </c>
      <c r="B365" s="25">
        <v>9.0590000000000004E-2</v>
      </c>
      <c r="C365" s="68">
        <f t="shared" si="31"/>
        <v>27.282299999999999</v>
      </c>
      <c r="D365" s="69">
        <f t="shared" si="32"/>
        <v>12.282299999999999</v>
      </c>
      <c r="E365" s="70">
        <f t="shared" si="33"/>
        <v>-2.7177000000000002</v>
      </c>
      <c r="F365" s="71">
        <f t="shared" si="34"/>
        <v>-27.282299999999999</v>
      </c>
      <c r="G365" s="72">
        <f t="shared" si="35"/>
        <v>-12.282299999999999</v>
      </c>
      <c r="H365" s="73">
        <f t="shared" si="36"/>
        <v>2.7177000000000002</v>
      </c>
    </row>
    <row r="366" spans="1:8" x14ac:dyDescent="0.25">
      <c r="A366" s="26">
        <v>-374</v>
      </c>
      <c r="B366" s="25">
        <v>9.1179999999999997E-2</v>
      </c>
      <c r="C366" s="68">
        <f t="shared" si="31"/>
        <v>27.264600000000002</v>
      </c>
      <c r="D366" s="69">
        <f t="shared" si="32"/>
        <v>12.2646</v>
      </c>
      <c r="E366" s="70">
        <f t="shared" si="33"/>
        <v>-2.7353999999999998</v>
      </c>
      <c r="F366" s="71">
        <f t="shared" si="34"/>
        <v>-27.264600000000002</v>
      </c>
      <c r="G366" s="72">
        <f t="shared" si="35"/>
        <v>-12.2646</v>
      </c>
      <c r="H366" s="73">
        <f t="shared" si="36"/>
        <v>2.7353999999999998</v>
      </c>
    </row>
    <row r="367" spans="1:8" x14ac:dyDescent="0.25">
      <c r="A367" s="26">
        <v>-373</v>
      </c>
      <c r="B367" s="25">
        <v>9.1759999999999994E-2</v>
      </c>
      <c r="C367" s="68">
        <f t="shared" si="31"/>
        <v>27.247199999999999</v>
      </c>
      <c r="D367" s="69">
        <f t="shared" si="32"/>
        <v>12.247199999999999</v>
      </c>
      <c r="E367" s="70">
        <f t="shared" si="33"/>
        <v>-2.7527999999999997</v>
      </c>
      <c r="F367" s="71">
        <f t="shared" si="34"/>
        <v>-27.247199999999999</v>
      </c>
      <c r="G367" s="72">
        <f t="shared" si="35"/>
        <v>-12.247199999999999</v>
      </c>
      <c r="H367" s="73">
        <f t="shared" si="36"/>
        <v>2.7527999999999997</v>
      </c>
    </row>
    <row r="368" spans="1:8" x14ac:dyDescent="0.25">
      <c r="A368" s="26">
        <v>-372</v>
      </c>
      <c r="B368" s="25">
        <v>9.2350000000000002E-2</v>
      </c>
      <c r="C368" s="68">
        <f t="shared" si="31"/>
        <v>27.229500000000002</v>
      </c>
      <c r="D368" s="69">
        <f t="shared" si="32"/>
        <v>12.2295</v>
      </c>
      <c r="E368" s="70">
        <f t="shared" si="33"/>
        <v>-2.7705000000000002</v>
      </c>
      <c r="F368" s="71">
        <f t="shared" si="34"/>
        <v>-27.229500000000002</v>
      </c>
      <c r="G368" s="72">
        <f t="shared" si="35"/>
        <v>-12.2295</v>
      </c>
      <c r="H368" s="73">
        <f t="shared" si="36"/>
        <v>2.7705000000000002</v>
      </c>
    </row>
    <row r="369" spans="1:8" x14ac:dyDescent="0.25">
      <c r="A369" s="26">
        <v>-371</v>
      </c>
      <c r="B369" s="25">
        <v>9.2939999999999995E-2</v>
      </c>
      <c r="C369" s="68">
        <f t="shared" si="31"/>
        <v>27.2118</v>
      </c>
      <c r="D369" s="69">
        <f t="shared" si="32"/>
        <v>12.2118</v>
      </c>
      <c r="E369" s="70">
        <f t="shared" si="33"/>
        <v>-2.7881999999999998</v>
      </c>
      <c r="F369" s="71">
        <f t="shared" si="34"/>
        <v>-27.2118</v>
      </c>
      <c r="G369" s="72">
        <f t="shared" si="35"/>
        <v>-12.2118</v>
      </c>
      <c r="H369" s="73">
        <f t="shared" si="36"/>
        <v>2.7881999999999998</v>
      </c>
    </row>
    <row r="370" spans="1:8" x14ac:dyDescent="0.25">
      <c r="A370" s="26">
        <v>-370</v>
      </c>
      <c r="B370" s="25">
        <v>9.3530000000000002E-2</v>
      </c>
      <c r="C370" s="68">
        <f t="shared" si="31"/>
        <v>27.194099999999999</v>
      </c>
      <c r="D370" s="69">
        <f t="shared" si="32"/>
        <v>12.194099999999999</v>
      </c>
      <c r="E370" s="70">
        <f t="shared" si="33"/>
        <v>-2.8059000000000003</v>
      </c>
      <c r="F370" s="71">
        <f t="shared" si="34"/>
        <v>-27.194099999999999</v>
      </c>
      <c r="G370" s="72">
        <f t="shared" si="35"/>
        <v>-12.194099999999999</v>
      </c>
      <c r="H370" s="73">
        <f t="shared" si="36"/>
        <v>2.8059000000000003</v>
      </c>
    </row>
    <row r="371" spans="1:8" x14ac:dyDescent="0.25">
      <c r="A371" s="26">
        <v>-369</v>
      </c>
      <c r="B371" s="25">
        <v>9.4119999999999995E-2</v>
      </c>
      <c r="C371" s="68">
        <f t="shared" si="31"/>
        <v>27.176400000000001</v>
      </c>
      <c r="D371" s="69">
        <f t="shared" si="32"/>
        <v>12.176400000000001</v>
      </c>
      <c r="E371" s="70">
        <f t="shared" si="33"/>
        <v>-2.8235999999999999</v>
      </c>
      <c r="F371" s="71">
        <f t="shared" si="34"/>
        <v>-27.176400000000001</v>
      </c>
      <c r="G371" s="72">
        <f t="shared" si="35"/>
        <v>-12.176400000000001</v>
      </c>
      <c r="H371" s="73">
        <f t="shared" si="36"/>
        <v>2.8235999999999999</v>
      </c>
    </row>
    <row r="372" spans="1:8" x14ac:dyDescent="0.25">
      <c r="A372" s="26">
        <v>-368</v>
      </c>
      <c r="B372" s="25">
        <v>9.4710000000000003E-2</v>
      </c>
      <c r="C372" s="68">
        <f t="shared" si="31"/>
        <v>27.1587</v>
      </c>
      <c r="D372" s="69">
        <f t="shared" si="32"/>
        <v>12.1587</v>
      </c>
      <c r="E372" s="70">
        <f t="shared" si="33"/>
        <v>-2.8412999999999999</v>
      </c>
      <c r="F372" s="71">
        <f t="shared" si="34"/>
        <v>-27.1587</v>
      </c>
      <c r="G372" s="72">
        <f t="shared" si="35"/>
        <v>-12.1587</v>
      </c>
      <c r="H372" s="73">
        <f t="shared" si="36"/>
        <v>2.8412999999999999</v>
      </c>
    </row>
    <row r="373" spans="1:8" x14ac:dyDescent="0.25">
      <c r="A373" s="26">
        <v>-367</v>
      </c>
      <c r="B373" s="25">
        <v>9.529E-2</v>
      </c>
      <c r="C373" s="68">
        <f t="shared" si="31"/>
        <v>27.141300000000001</v>
      </c>
      <c r="D373" s="69">
        <f t="shared" si="32"/>
        <v>12.141300000000001</v>
      </c>
      <c r="E373" s="70">
        <f t="shared" si="33"/>
        <v>-2.8586999999999998</v>
      </c>
      <c r="F373" s="71">
        <f t="shared" si="34"/>
        <v>-27.141300000000001</v>
      </c>
      <c r="G373" s="72">
        <f t="shared" si="35"/>
        <v>-12.141300000000001</v>
      </c>
      <c r="H373" s="73">
        <f t="shared" si="36"/>
        <v>2.8586999999999998</v>
      </c>
    </row>
    <row r="374" spans="1:8" x14ac:dyDescent="0.25">
      <c r="A374" s="26">
        <v>-366</v>
      </c>
      <c r="B374" s="25">
        <v>9.5880000000000007E-2</v>
      </c>
      <c r="C374" s="68">
        <f t="shared" si="31"/>
        <v>27.1236</v>
      </c>
      <c r="D374" s="69">
        <f t="shared" si="32"/>
        <v>12.1236</v>
      </c>
      <c r="E374" s="70">
        <f t="shared" si="33"/>
        <v>-2.8764000000000003</v>
      </c>
      <c r="F374" s="71">
        <f t="shared" si="34"/>
        <v>-27.1236</v>
      </c>
      <c r="G374" s="72">
        <f t="shared" si="35"/>
        <v>-12.1236</v>
      </c>
      <c r="H374" s="73">
        <f t="shared" si="36"/>
        <v>2.8764000000000003</v>
      </c>
    </row>
    <row r="375" spans="1:8" x14ac:dyDescent="0.25">
      <c r="A375" s="26">
        <v>-365</v>
      </c>
      <c r="B375" s="25">
        <v>9.647E-2</v>
      </c>
      <c r="C375" s="68">
        <f t="shared" si="31"/>
        <v>27.105899999999998</v>
      </c>
      <c r="D375" s="69">
        <f t="shared" si="32"/>
        <v>12.1059</v>
      </c>
      <c r="E375" s="70">
        <f t="shared" si="33"/>
        <v>-2.8940999999999999</v>
      </c>
      <c r="F375" s="71">
        <f t="shared" si="34"/>
        <v>-27.105899999999998</v>
      </c>
      <c r="G375" s="72">
        <f t="shared" si="35"/>
        <v>-12.1059</v>
      </c>
      <c r="H375" s="73">
        <f t="shared" si="36"/>
        <v>2.8940999999999999</v>
      </c>
    </row>
    <row r="376" spans="1:8" x14ac:dyDescent="0.25">
      <c r="A376" s="26">
        <v>-364</v>
      </c>
      <c r="B376" s="25">
        <v>9.7059999999999994E-2</v>
      </c>
      <c r="C376" s="68">
        <f t="shared" si="31"/>
        <v>27.088200000000001</v>
      </c>
      <c r="D376" s="69">
        <f t="shared" si="32"/>
        <v>12.088200000000001</v>
      </c>
      <c r="E376" s="70">
        <f t="shared" si="33"/>
        <v>-2.9117999999999999</v>
      </c>
      <c r="F376" s="71">
        <f t="shared" si="34"/>
        <v>-27.088200000000001</v>
      </c>
      <c r="G376" s="72">
        <f t="shared" si="35"/>
        <v>-12.088200000000001</v>
      </c>
      <c r="H376" s="73">
        <f t="shared" si="36"/>
        <v>2.9117999999999999</v>
      </c>
    </row>
    <row r="377" spans="1:8" x14ac:dyDescent="0.25">
      <c r="A377" s="26">
        <v>-363</v>
      </c>
      <c r="B377" s="25">
        <v>9.7650000000000001E-2</v>
      </c>
      <c r="C377" s="68">
        <f t="shared" si="31"/>
        <v>27.070499999999999</v>
      </c>
      <c r="D377" s="69">
        <f t="shared" si="32"/>
        <v>12.070499999999999</v>
      </c>
      <c r="E377" s="70">
        <f t="shared" si="33"/>
        <v>-2.9295</v>
      </c>
      <c r="F377" s="71">
        <f t="shared" si="34"/>
        <v>-27.070499999999999</v>
      </c>
      <c r="G377" s="72">
        <f t="shared" si="35"/>
        <v>-12.070499999999999</v>
      </c>
      <c r="H377" s="73">
        <f t="shared" si="36"/>
        <v>2.9295</v>
      </c>
    </row>
    <row r="378" spans="1:8" x14ac:dyDescent="0.25">
      <c r="A378" s="26">
        <v>-362</v>
      </c>
      <c r="B378" s="25">
        <v>9.8239999999999994E-2</v>
      </c>
      <c r="C378" s="68">
        <f t="shared" si="31"/>
        <v>27.052800000000001</v>
      </c>
      <c r="D378" s="69">
        <f t="shared" si="32"/>
        <v>12.052800000000001</v>
      </c>
      <c r="E378" s="70">
        <f t="shared" si="33"/>
        <v>-2.9471999999999996</v>
      </c>
      <c r="F378" s="71">
        <f t="shared" si="34"/>
        <v>-27.052800000000001</v>
      </c>
      <c r="G378" s="72">
        <f t="shared" si="35"/>
        <v>-12.052800000000001</v>
      </c>
      <c r="H378" s="73">
        <f t="shared" si="36"/>
        <v>2.9471999999999996</v>
      </c>
    </row>
    <row r="379" spans="1:8" x14ac:dyDescent="0.25">
      <c r="A379" s="26">
        <v>-361</v>
      </c>
      <c r="B379" s="25">
        <v>9.8820000000000005E-2</v>
      </c>
      <c r="C379" s="68">
        <f t="shared" si="31"/>
        <v>27.035399999999999</v>
      </c>
      <c r="D379" s="69">
        <f t="shared" si="32"/>
        <v>12.035399999999999</v>
      </c>
      <c r="E379" s="70">
        <f t="shared" si="33"/>
        <v>-2.9646000000000003</v>
      </c>
      <c r="F379" s="71">
        <f t="shared" si="34"/>
        <v>-27.035399999999999</v>
      </c>
      <c r="G379" s="72">
        <f t="shared" si="35"/>
        <v>-12.035399999999999</v>
      </c>
      <c r="H379" s="73">
        <f t="shared" si="36"/>
        <v>2.9646000000000003</v>
      </c>
    </row>
    <row r="380" spans="1:8" x14ac:dyDescent="0.25">
      <c r="A380" s="26">
        <v>-360</v>
      </c>
      <c r="B380" s="25">
        <v>9.9409999999999998E-2</v>
      </c>
      <c r="C380" s="68">
        <f t="shared" si="31"/>
        <v>27.017700000000001</v>
      </c>
      <c r="D380" s="69">
        <f t="shared" si="32"/>
        <v>12.0177</v>
      </c>
      <c r="E380" s="70">
        <f t="shared" si="33"/>
        <v>-2.9823</v>
      </c>
      <c r="F380" s="71">
        <f t="shared" si="34"/>
        <v>-27.017700000000001</v>
      </c>
      <c r="G380" s="72">
        <f t="shared" si="35"/>
        <v>-12.0177</v>
      </c>
      <c r="H380" s="73">
        <f t="shared" si="36"/>
        <v>2.9823</v>
      </c>
    </row>
    <row r="381" spans="1:8" x14ac:dyDescent="0.25">
      <c r="A381" s="26">
        <v>-359</v>
      </c>
      <c r="B381" s="25">
        <v>0.1</v>
      </c>
      <c r="C381" s="68">
        <f t="shared" si="31"/>
        <v>27</v>
      </c>
      <c r="D381" s="69">
        <f t="shared" si="32"/>
        <v>12</v>
      </c>
      <c r="E381" s="70">
        <f t="shared" si="33"/>
        <v>-3</v>
      </c>
      <c r="F381" s="71">
        <f t="shared" si="34"/>
        <v>-27</v>
      </c>
      <c r="G381" s="72">
        <f t="shared" si="35"/>
        <v>-12</v>
      </c>
      <c r="H381" s="73">
        <f t="shared" si="36"/>
        <v>3</v>
      </c>
    </row>
    <row r="382" spans="1:8" x14ac:dyDescent="0.25">
      <c r="A382" s="26">
        <v>-358</v>
      </c>
      <c r="B382" s="25">
        <v>0.10294</v>
      </c>
      <c r="C382" s="68">
        <f t="shared" si="31"/>
        <v>26.911799999999999</v>
      </c>
      <c r="D382" s="69">
        <f t="shared" si="32"/>
        <v>11.911799999999999</v>
      </c>
      <c r="E382" s="70">
        <f t="shared" si="33"/>
        <v>-3.0882000000000001</v>
      </c>
      <c r="F382" s="71">
        <f t="shared" si="34"/>
        <v>-26.911799999999999</v>
      </c>
      <c r="G382" s="72">
        <f t="shared" si="35"/>
        <v>-11.911799999999999</v>
      </c>
      <c r="H382" s="73">
        <f t="shared" si="36"/>
        <v>3.0882000000000001</v>
      </c>
    </row>
    <row r="383" spans="1:8" x14ac:dyDescent="0.25">
      <c r="A383" s="26">
        <v>-357</v>
      </c>
      <c r="B383" s="25">
        <v>0.10353</v>
      </c>
      <c r="C383" s="68">
        <f t="shared" si="31"/>
        <v>26.894100000000002</v>
      </c>
      <c r="D383" s="69">
        <f t="shared" si="32"/>
        <v>11.8941</v>
      </c>
      <c r="E383" s="70">
        <f t="shared" si="33"/>
        <v>-3.1059000000000001</v>
      </c>
      <c r="F383" s="71">
        <f t="shared" si="34"/>
        <v>-26.894100000000002</v>
      </c>
      <c r="G383" s="72">
        <f t="shared" si="35"/>
        <v>-11.8941</v>
      </c>
      <c r="H383" s="73">
        <f t="shared" si="36"/>
        <v>3.1059000000000001</v>
      </c>
    </row>
    <row r="384" spans="1:8" x14ac:dyDescent="0.25">
      <c r="A384" s="26">
        <v>-356</v>
      </c>
      <c r="B384" s="25">
        <v>0.10412</v>
      </c>
      <c r="C384" s="68">
        <f t="shared" si="31"/>
        <v>26.8764</v>
      </c>
      <c r="D384" s="69">
        <f t="shared" si="32"/>
        <v>11.8764</v>
      </c>
      <c r="E384" s="70">
        <f t="shared" si="33"/>
        <v>-3.1236000000000002</v>
      </c>
      <c r="F384" s="71">
        <f t="shared" si="34"/>
        <v>-26.8764</v>
      </c>
      <c r="G384" s="72">
        <f t="shared" si="35"/>
        <v>-11.8764</v>
      </c>
      <c r="H384" s="73">
        <f t="shared" si="36"/>
        <v>3.1236000000000002</v>
      </c>
    </row>
    <row r="385" spans="1:8" x14ac:dyDescent="0.25">
      <c r="A385" s="26">
        <v>-355</v>
      </c>
      <c r="B385" s="25">
        <v>0.10471</v>
      </c>
      <c r="C385" s="68">
        <f t="shared" si="31"/>
        <v>26.858699999999999</v>
      </c>
      <c r="D385" s="69">
        <f t="shared" si="32"/>
        <v>11.858700000000001</v>
      </c>
      <c r="E385" s="70">
        <f t="shared" si="33"/>
        <v>-3.1412999999999998</v>
      </c>
      <c r="F385" s="71">
        <f t="shared" si="34"/>
        <v>-26.858699999999999</v>
      </c>
      <c r="G385" s="72">
        <f t="shared" si="35"/>
        <v>-11.858700000000001</v>
      </c>
      <c r="H385" s="73">
        <f t="shared" si="36"/>
        <v>3.1412999999999998</v>
      </c>
    </row>
    <row r="386" spans="1:8" x14ac:dyDescent="0.25">
      <c r="A386" s="26">
        <v>-354</v>
      </c>
      <c r="B386" s="25">
        <v>0.10528999999999999</v>
      </c>
      <c r="C386" s="68">
        <f t="shared" si="31"/>
        <v>26.8413</v>
      </c>
      <c r="D386" s="69">
        <f t="shared" si="32"/>
        <v>11.8413</v>
      </c>
      <c r="E386" s="70">
        <f t="shared" si="33"/>
        <v>-3.1586999999999996</v>
      </c>
      <c r="F386" s="71">
        <f t="shared" si="34"/>
        <v>-26.8413</v>
      </c>
      <c r="G386" s="72">
        <f t="shared" si="35"/>
        <v>-11.8413</v>
      </c>
      <c r="H386" s="73">
        <f t="shared" si="36"/>
        <v>3.1586999999999996</v>
      </c>
    </row>
    <row r="387" spans="1:8" x14ac:dyDescent="0.25">
      <c r="A387" s="26">
        <v>-353</v>
      </c>
      <c r="B387" s="25">
        <v>0.10588</v>
      </c>
      <c r="C387" s="68">
        <f t="shared" si="31"/>
        <v>26.823599999999999</v>
      </c>
      <c r="D387" s="69">
        <f t="shared" si="32"/>
        <v>11.823599999999999</v>
      </c>
      <c r="E387" s="70">
        <f t="shared" si="33"/>
        <v>-3.1764000000000001</v>
      </c>
      <c r="F387" s="71">
        <f t="shared" si="34"/>
        <v>-26.823599999999999</v>
      </c>
      <c r="G387" s="72">
        <f t="shared" si="35"/>
        <v>-11.823599999999999</v>
      </c>
      <c r="H387" s="73">
        <f t="shared" si="36"/>
        <v>3.1764000000000001</v>
      </c>
    </row>
    <row r="388" spans="1:8" x14ac:dyDescent="0.25">
      <c r="A388" s="26">
        <v>-352</v>
      </c>
      <c r="B388" s="25">
        <v>0.10647</v>
      </c>
      <c r="C388" s="68">
        <f t="shared" si="31"/>
        <v>26.805900000000001</v>
      </c>
      <c r="D388" s="69">
        <f t="shared" si="32"/>
        <v>11.805900000000001</v>
      </c>
      <c r="E388" s="70">
        <f t="shared" si="33"/>
        <v>-3.1940999999999997</v>
      </c>
      <c r="F388" s="71">
        <f t="shared" si="34"/>
        <v>-26.805900000000001</v>
      </c>
      <c r="G388" s="72">
        <f t="shared" si="35"/>
        <v>-11.805900000000001</v>
      </c>
      <c r="H388" s="73">
        <f t="shared" si="36"/>
        <v>3.1940999999999997</v>
      </c>
    </row>
    <row r="389" spans="1:8" x14ac:dyDescent="0.25">
      <c r="A389" s="26">
        <v>-351</v>
      </c>
      <c r="B389" s="25">
        <v>0.10706</v>
      </c>
      <c r="C389" s="68">
        <f t="shared" si="31"/>
        <v>26.7882</v>
      </c>
      <c r="D389" s="69">
        <f t="shared" si="32"/>
        <v>11.7882</v>
      </c>
      <c r="E389" s="70">
        <f t="shared" si="33"/>
        <v>-3.2118000000000002</v>
      </c>
      <c r="F389" s="71">
        <f t="shared" si="34"/>
        <v>-26.7882</v>
      </c>
      <c r="G389" s="72">
        <f t="shared" si="35"/>
        <v>-11.7882</v>
      </c>
      <c r="H389" s="73">
        <f t="shared" si="36"/>
        <v>3.2118000000000002</v>
      </c>
    </row>
    <row r="390" spans="1:8" x14ac:dyDescent="0.25">
      <c r="A390" s="26">
        <v>-350</v>
      </c>
      <c r="B390" s="25">
        <v>0.10765</v>
      </c>
      <c r="C390" s="68">
        <f t="shared" si="31"/>
        <v>26.770499999999998</v>
      </c>
      <c r="D390" s="69">
        <f t="shared" si="32"/>
        <v>11.7705</v>
      </c>
      <c r="E390" s="70">
        <f t="shared" si="33"/>
        <v>-3.2294999999999998</v>
      </c>
      <c r="F390" s="71">
        <f t="shared" si="34"/>
        <v>-26.770499999999998</v>
      </c>
      <c r="G390" s="72">
        <f t="shared" si="35"/>
        <v>-11.7705</v>
      </c>
      <c r="H390" s="73">
        <f t="shared" si="36"/>
        <v>3.2294999999999998</v>
      </c>
    </row>
    <row r="391" spans="1:8" x14ac:dyDescent="0.25">
      <c r="A391" s="26">
        <v>-349</v>
      </c>
      <c r="B391" s="25">
        <v>0.10824</v>
      </c>
      <c r="C391" s="68">
        <f t="shared" ref="C391:C454" si="37">KFactor-KFactor*B391</f>
        <v>26.752800000000001</v>
      </c>
      <c r="D391" s="69">
        <f t="shared" ref="D391:D454" si="38">KFactor/2-KFactor*B391</f>
        <v>11.752800000000001</v>
      </c>
      <c r="E391" s="70">
        <f t="shared" ref="E391:E454" si="39">0-KFactor*B391</f>
        <v>-3.2472000000000003</v>
      </c>
      <c r="F391" s="71">
        <f t="shared" ref="F391:F454" si="40">-C391</f>
        <v>-26.752800000000001</v>
      </c>
      <c r="G391" s="72">
        <f t="shared" ref="G391:G454" si="41">-D391</f>
        <v>-11.752800000000001</v>
      </c>
      <c r="H391" s="73">
        <f t="shared" ref="H391:H454" si="42">-E391</f>
        <v>3.2472000000000003</v>
      </c>
    </row>
    <row r="392" spans="1:8" x14ac:dyDescent="0.25">
      <c r="A392" s="26">
        <v>-348</v>
      </c>
      <c r="B392" s="25">
        <v>0.10882</v>
      </c>
      <c r="C392" s="68">
        <f t="shared" si="37"/>
        <v>26.735399999999998</v>
      </c>
      <c r="D392" s="69">
        <f t="shared" si="38"/>
        <v>11.7354</v>
      </c>
      <c r="E392" s="70">
        <f t="shared" si="39"/>
        <v>-3.2646000000000002</v>
      </c>
      <c r="F392" s="71">
        <f t="shared" si="40"/>
        <v>-26.735399999999998</v>
      </c>
      <c r="G392" s="72">
        <f t="shared" si="41"/>
        <v>-11.7354</v>
      </c>
      <c r="H392" s="73">
        <f t="shared" si="42"/>
        <v>3.2646000000000002</v>
      </c>
    </row>
    <row r="393" spans="1:8" x14ac:dyDescent="0.25">
      <c r="A393" s="26">
        <v>-347</v>
      </c>
      <c r="B393" s="25">
        <v>0.10940999999999999</v>
      </c>
      <c r="C393" s="68">
        <f t="shared" si="37"/>
        <v>26.717700000000001</v>
      </c>
      <c r="D393" s="69">
        <f t="shared" si="38"/>
        <v>11.717700000000001</v>
      </c>
      <c r="E393" s="70">
        <f t="shared" si="39"/>
        <v>-3.2822999999999998</v>
      </c>
      <c r="F393" s="71">
        <f t="shared" si="40"/>
        <v>-26.717700000000001</v>
      </c>
      <c r="G393" s="72">
        <f t="shared" si="41"/>
        <v>-11.717700000000001</v>
      </c>
      <c r="H393" s="73">
        <f t="shared" si="42"/>
        <v>3.2822999999999998</v>
      </c>
    </row>
    <row r="394" spans="1:8" x14ac:dyDescent="0.25">
      <c r="A394" s="26">
        <v>-346</v>
      </c>
      <c r="B394" s="25">
        <v>0.11</v>
      </c>
      <c r="C394" s="68">
        <f t="shared" si="37"/>
        <v>26.7</v>
      </c>
      <c r="D394" s="69">
        <f t="shared" si="38"/>
        <v>11.7</v>
      </c>
      <c r="E394" s="70">
        <f t="shared" si="39"/>
        <v>-3.3</v>
      </c>
      <c r="F394" s="71">
        <f t="shared" si="40"/>
        <v>-26.7</v>
      </c>
      <c r="G394" s="72">
        <f t="shared" si="41"/>
        <v>-11.7</v>
      </c>
      <c r="H394" s="73">
        <f t="shared" si="42"/>
        <v>3.3</v>
      </c>
    </row>
    <row r="395" spans="1:8" x14ac:dyDescent="0.25">
      <c r="A395" s="26">
        <v>-345</v>
      </c>
      <c r="B395" s="25">
        <v>0.11063000000000001</v>
      </c>
      <c r="C395" s="68">
        <f t="shared" si="37"/>
        <v>26.681100000000001</v>
      </c>
      <c r="D395" s="69">
        <f t="shared" si="38"/>
        <v>11.681100000000001</v>
      </c>
      <c r="E395" s="70">
        <f t="shared" si="39"/>
        <v>-3.3189000000000002</v>
      </c>
      <c r="F395" s="71">
        <f t="shared" si="40"/>
        <v>-26.681100000000001</v>
      </c>
      <c r="G395" s="72">
        <f t="shared" si="41"/>
        <v>-11.681100000000001</v>
      </c>
      <c r="H395" s="73">
        <f t="shared" si="42"/>
        <v>3.3189000000000002</v>
      </c>
    </row>
    <row r="396" spans="1:8" x14ac:dyDescent="0.25">
      <c r="A396" s="26">
        <v>-344</v>
      </c>
      <c r="B396" s="25">
        <v>0.11125</v>
      </c>
      <c r="C396" s="68">
        <f t="shared" si="37"/>
        <v>26.662500000000001</v>
      </c>
      <c r="D396" s="69">
        <f t="shared" si="38"/>
        <v>11.6625</v>
      </c>
      <c r="E396" s="70">
        <f t="shared" si="39"/>
        <v>-3.3374999999999999</v>
      </c>
      <c r="F396" s="71">
        <f t="shared" si="40"/>
        <v>-26.662500000000001</v>
      </c>
      <c r="G396" s="72">
        <f t="shared" si="41"/>
        <v>-11.6625</v>
      </c>
      <c r="H396" s="73">
        <f t="shared" si="42"/>
        <v>3.3374999999999999</v>
      </c>
    </row>
    <row r="397" spans="1:8" x14ac:dyDescent="0.25">
      <c r="A397" s="26">
        <v>-343</v>
      </c>
      <c r="B397" s="25">
        <v>0.11187999999999999</v>
      </c>
      <c r="C397" s="68">
        <f t="shared" si="37"/>
        <v>26.643599999999999</v>
      </c>
      <c r="D397" s="69">
        <f t="shared" si="38"/>
        <v>11.643599999999999</v>
      </c>
      <c r="E397" s="70">
        <f t="shared" si="39"/>
        <v>-3.3563999999999998</v>
      </c>
      <c r="F397" s="71">
        <f t="shared" si="40"/>
        <v>-26.643599999999999</v>
      </c>
      <c r="G397" s="72">
        <f t="shared" si="41"/>
        <v>-11.643599999999999</v>
      </c>
      <c r="H397" s="73">
        <f t="shared" si="42"/>
        <v>3.3563999999999998</v>
      </c>
    </row>
    <row r="398" spans="1:8" x14ac:dyDescent="0.25">
      <c r="A398" s="26">
        <v>-342</v>
      </c>
      <c r="B398" s="25">
        <v>0.1125</v>
      </c>
      <c r="C398" s="68">
        <f t="shared" si="37"/>
        <v>26.625</v>
      </c>
      <c r="D398" s="69">
        <f t="shared" si="38"/>
        <v>11.625</v>
      </c>
      <c r="E398" s="70">
        <f t="shared" si="39"/>
        <v>-3.375</v>
      </c>
      <c r="F398" s="71">
        <f t="shared" si="40"/>
        <v>-26.625</v>
      </c>
      <c r="G398" s="72">
        <f t="shared" si="41"/>
        <v>-11.625</v>
      </c>
      <c r="H398" s="73">
        <f t="shared" si="42"/>
        <v>3.375</v>
      </c>
    </row>
    <row r="399" spans="1:8" x14ac:dyDescent="0.25">
      <c r="A399" s="26">
        <v>-341</v>
      </c>
      <c r="B399" s="25">
        <v>0.11312999999999999</v>
      </c>
      <c r="C399" s="68">
        <f t="shared" si="37"/>
        <v>26.606100000000001</v>
      </c>
      <c r="D399" s="69">
        <f t="shared" si="38"/>
        <v>11.6061</v>
      </c>
      <c r="E399" s="70">
        <f t="shared" si="39"/>
        <v>-3.3938999999999999</v>
      </c>
      <c r="F399" s="71">
        <f t="shared" si="40"/>
        <v>-26.606100000000001</v>
      </c>
      <c r="G399" s="72">
        <f t="shared" si="41"/>
        <v>-11.6061</v>
      </c>
      <c r="H399" s="73">
        <f t="shared" si="42"/>
        <v>3.3938999999999999</v>
      </c>
    </row>
    <row r="400" spans="1:8" x14ac:dyDescent="0.25">
      <c r="A400" s="26">
        <v>-340</v>
      </c>
      <c r="B400" s="25">
        <v>0.11375</v>
      </c>
      <c r="C400" s="68">
        <f t="shared" si="37"/>
        <v>26.587499999999999</v>
      </c>
      <c r="D400" s="69">
        <f t="shared" si="38"/>
        <v>11.5875</v>
      </c>
      <c r="E400" s="70">
        <f t="shared" si="39"/>
        <v>-3.4125000000000001</v>
      </c>
      <c r="F400" s="71">
        <f t="shared" si="40"/>
        <v>-26.587499999999999</v>
      </c>
      <c r="G400" s="72">
        <f t="shared" si="41"/>
        <v>-11.5875</v>
      </c>
      <c r="H400" s="73">
        <f t="shared" si="42"/>
        <v>3.4125000000000001</v>
      </c>
    </row>
    <row r="401" spans="1:8" x14ac:dyDescent="0.25">
      <c r="A401" s="26">
        <v>-339</v>
      </c>
      <c r="B401" s="25">
        <v>0.11438</v>
      </c>
      <c r="C401" s="68">
        <f t="shared" si="37"/>
        <v>26.5686</v>
      </c>
      <c r="D401" s="69">
        <f t="shared" si="38"/>
        <v>11.5686</v>
      </c>
      <c r="E401" s="70">
        <f t="shared" si="39"/>
        <v>-3.4314</v>
      </c>
      <c r="F401" s="71">
        <f t="shared" si="40"/>
        <v>-26.5686</v>
      </c>
      <c r="G401" s="72">
        <f t="shared" si="41"/>
        <v>-11.5686</v>
      </c>
      <c r="H401" s="73">
        <f t="shared" si="42"/>
        <v>3.4314</v>
      </c>
    </row>
    <row r="402" spans="1:8" x14ac:dyDescent="0.25">
      <c r="A402" s="26">
        <v>-338</v>
      </c>
      <c r="B402" s="25">
        <v>0.115</v>
      </c>
      <c r="C402" s="68">
        <f t="shared" si="37"/>
        <v>26.55</v>
      </c>
      <c r="D402" s="69">
        <f t="shared" si="38"/>
        <v>11.55</v>
      </c>
      <c r="E402" s="70">
        <f t="shared" si="39"/>
        <v>-3.45</v>
      </c>
      <c r="F402" s="71">
        <f t="shared" si="40"/>
        <v>-26.55</v>
      </c>
      <c r="G402" s="72">
        <f t="shared" si="41"/>
        <v>-11.55</v>
      </c>
      <c r="H402" s="73">
        <f t="shared" si="42"/>
        <v>3.45</v>
      </c>
    </row>
    <row r="403" spans="1:8" x14ac:dyDescent="0.25">
      <c r="A403" s="26">
        <v>-337</v>
      </c>
      <c r="B403" s="25">
        <v>0.11563</v>
      </c>
      <c r="C403" s="68">
        <f t="shared" si="37"/>
        <v>26.531099999999999</v>
      </c>
      <c r="D403" s="69">
        <f t="shared" si="38"/>
        <v>11.5311</v>
      </c>
      <c r="E403" s="70">
        <f t="shared" si="39"/>
        <v>-3.4689000000000001</v>
      </c>
      <c r="F403" s="71">
        <f t="shared" si="40"/>
        <v>-26.531099999999999</v>
      </c>
      <c r="G403" s="72">
        <f t="shared" si="41"/>
        <v>-11.5311</v>
      </c>
      <c r="H403" s="73">
        <f t="shared" si="42"/>
        <v>3.4689000000000001</v>
      </c>
    </row>
    <row r="404" spans="1:8" x14ac:dyDescent="0.25">
      <c r="A404" s="26">
        <v>-336</v>
      </c>
      <c r="B404" s="25">
        <v>0.11625000000000001</v>
      </c>
      <c r="C404" s="68">
        <f t="shared" si="37"/>
        <v>26.512499999999999</v>
      </c>
      <c r="D404" s="69">
        <f t="shared" si="38"/>
        <v>11.512499999999999</v>
      </c>
      <c r="E404" s="70">
        <f t="shared" si="39"/>
        <v>-3.4875000000000003</v>
      </c>
      <c r="F404" s="71">
        <f t="shared" si="40"/>
        <v>-26.512499999999999</v>
      </c>
      <c r="G404" s="72">
        <f t="shared" si="41"/>
        <v>-11.512499999999999</v>
      </c>
      <c r="H404" s="73">
        <f t="shared" si="42"/>
        <v>3.4875000000000003</v>
      </c>
    </row>
    <row r="405" spans="1:8" x14ac:dyDescent="0.25">
      <c r="A405" s="26">
        <v>-335</v>
      </c>
      <c r="B405" s="25">
        <v>0.11688</v>
      </c>
      <c r="C405" s="68">
        <f t="shared" si="37"/>
        <v>26.493600000000001</v>
      </c>
      <c r="D405" s="69">
        <f t="shared" si="38"/>
        <v>11.493600000000001</v>
      </c>
      <c r="E405" s="70">
        <f t="shared" si="39"/>
        <v>-3.5063999999999997</v>
      </c>
      <c r="F405" s="71">
        <f t="shared" si="40"/>
        <v>-26.493600000000001</v>
      </c>
      <c r="G405" s="72">
        <f t="shared" si="41"/>
        <v>-11.493600000000001</v>
      </c>
      <c r="H405" s="73">
        <f t="shared" si="42"/>
        <v>3.5063999999999997</v>
      </c>
    </row>
    <row r="406" spans="1:8" x14ac:dyDescent="0.25">
      <c r="A406" s="26">
        <v>-334</v>
      </c>
      <c r="B406" s="25">
        <v>0.11749999999999999</v>
      </c>
      <c r="C406" s="68">
        <f t="shared" si="37"/>
        <v>26.475000000000001</v>
      </c>
      <c r="D406" s="69">
        <f t="shared" si="38"/>
        <v>11.475</v>
      </c>
      <c r="E406" s="70">
        <f t="shared" si="39"/>
        <v>-3.5249999999999999</v>
      </c>
      <c r="F406" s="71">
        <f t="shared" si="40"/>
        <v>-26.475000000000001</v>
      </c>
      <c r="G406" s="72">
        <f t="shared" si="41"/>
        <v>-11.475</v>
      </c>
      <c r="H406" s="73">
        <f t="shared" si="42"/>
        <v>3.5249999999999999</v>
      </c>
    </row>
    <row r="407" spans="1:8" x14ac:dyDescent="0.25">
      <c r="A407" s="26">
        <v>-333</v>
      </c>
      <c r="B407" s="25">
        <v>0.11813</v>
      </c>
      <c r="C407" s="68">
        <f t="shared" si="37"/>
        <v>26.456099999999999</v>
      </c>
      <c r="D407" s="69">
        <f t="shared" si="38"/>
        <v>11.456099999999999</v>
      </c>
      <c r="E407" s="70">
        <f t="shared" si="39"/>
        <v>-3.5438999999999998</v>
      </c>
      <c r="F407" s="71">
        <f t="shared" si="40"/>
        <v>-26.456099999999999</v>
      </c>
      <c r="G407" s="72">
        <f t="shared" si="41"/>
        <v>-11.456099999999999</v>
      </c>
      <c r="H407" s="73">
        <f t="shared" si="42"/>
        <v>3.5438999999999998</v>
      </c>
    </row>
    <row r="408" spans="1:8" x14ac:dyDescent="0.25">
      <c r="A408" s="26">
        <v>-332</v>
      </c>
      <c r="B408" s="25">
        <v>0.11874999999999999</v>
      </c>
      <c r="C408" s="68">
        <f t="shared" si="37"/>
        <v>26.4375</v>
      </c>
      <c r="D408" s="69">
        <f t="shared" si="38"/>
        <v>11.4375</v>
      </c>
      <c r="E408" s="70">
        <f t="shared" si="39"/>
        <v>-3.5625</v>
      </c>
      <c r="F408" s="71">
        <f t="shared" si="40"/>
        <v>-26.4375</v>
      </c>
      <c r="G408" s="72">
        <f t="shared" si="41"/>
        <v>-11.4375</v>
      </c>
      <c r="H408" s="73">
        <f t="shared" si="42"/>
        <v>3.5625</v>
      </c>
    </row>
    <row r="409" spans="1:8" x14ac:dyDescent="0.25">
      <c r="A409" s="26">
        <v>-331</v>
      </c>
      <c r="B409" s="25">
        <v>0.11938</v>
      </c>
      <c r="C409" s="68">
        <f t="shared" si="37"/>
        <v>26.418600000000001</v>
      </c>
      <c r="D409" s="69">
        <f t="shared" si="38"/>
        <v>11.4186</v>
      </c>
      <c r="E409" s="70">
        <f t="shared" si="39"/>
        <v>-3.5813999999999999</v>
      </c>
      <c r="F409" s="71">
        <f t="shared" si="40"/>
        <v>-26.418600000000001</v>
      </c>
      <c r="G409" s="72">
        <f t="shared" si="41"/>
        <v>-11.4186</v>
      </c>
      <c r="H409" s="73">
        <f t="shared" si="42"/>
        <v>3.5813999999999999</v>
      </c>
    </row>
    <row r="410" spans="1:8" x14ac:dyDescent="0.25">
      <c r="A410" s="26">
        <v>-330</v>
      </c>
      <c r="B410" s="25">
        <v>0.12</v>
      </c>
      <c r="C410" s="68">
        <f t="shared" si="37"/>
        <v>26.4</v>
      </c>
      <c r="D410" s="69">
        <f t="shared" si="38"/>
        <v>11.4</v>
      </c>
      <c r="E410" s="70">
        <f t="shared" si="39"/>
        <v>-3.5999999999999996</v>
      </c>
      <c r="F410" s="71">
        <f t="shared" si="40"/>
        <v>-26.4</v>
      </c>
      <c r="G410" s="72">
        <f t="shared" si="41"/>
        <v>-11.4</v>
      </c>
      <c r="H410" s="73">
        <f t="shared" si="42"/>
        <v>3.5999999999999996</v>
      </c>
    </row>
    <row r="411" spans="1:8" x14ac:dyDescent="0.25">
      <c r="A411" s="26">
        <v>-329</v>
      </c>
      <c r="B411" s="25">
        <v>0.12077</v>
      </c>
      <c r="C411" s="68">
        <f t="shared" si="37"/>
        <v>26.376899999999999</v>
      </c>
      <c r="D411" s="69">
        <f t="shared" si="38"/>
        <v>11.376899999999999</v>
      </c>
      <c r="E411" s="70">
        <f t="shared" si="39"/>
        <v>-3.6231</v>
      </c>
      <c r="F411" s="71">
        <f t="shared" si="40"/>
        <v>-26.376899999999999</v>
      </c>
      <c r="G411" s="72">
        <f t="shared" si="41"/>
        <v>-11.376899999999999</v>
      </c>
      <c r="H411" s="73">
        <f t="shared" si="42"/>
        <v>3.6231</v>
      </c>
    </row>
    <row r="412" spans="1:8" x14ac:dyDescent="0.25">
      <c r="A412" s="26">
        <v>-328</v>
      </c>
      <c r="B412" s="25">
        <v>0.12154</v>
      </c>
      <c r="C412" s="68">
        <f t="shared" si="37"/>
        <v>26.3538</v>
      </c>
      <c r="D412" s="69">
        <f t="shared" si="38"/>
        <v>11.3538</v>
      </c>
      <c r="E412" s="70">
        <f t="shared" si="39"/>
        <v>-3.6461999999999999</v>
      </c>
      <c r="F412" s="71">
        <f t="shared" si="40"/>
        <v>-26.3538</v>
      </c>
      <c r="G412" s="72">
        <f t="shared" si="41"/>
        <v>-11.3538</v>
      </c>
      <c r="H412" s="73">
        <f t="shared" si="42"/>
        <v>3.6461999999999999</v>
      </c>
    </row>
    <row r="413" spans="1:8" x14ac:dyDescent="0.25">
      <c r="A413" s="26">
        <v>-327</v>
      </c>
      <c r="B413" s="25">
        <v>0.12231</v>
      </c>
      <c r="C413" s="68">
        <f t="shared" si="37"/>
        <v>26.3307</v>
      </c>
      <c r="D413" s="69">
        <f t="shared" si="38"/>
        <v>11.3307</v>
      </c>
      <c r="E413" s="70">
        <f t="shared" si="39"/>
        <v>-3.6693000000000002</v>
      </c>
      <c r="F413" s="71">
        <f t="shared" si="40"/>
        <v>-26.3307</v>
      </c>
      <c r="G413" s="72">
        <f t="shared" si="41"/>
        <v>-11.3307</v>
      </c>
      <c r="H413" s="73">
        <f t="shared" si="42"/>
        <v>3.6693000000000002</v>
      </c>
    </row>
    <row r="414" spans="1:8" x14ac:dyDescent="0.25">
      <c r="A414" s="26">
        <v>-326</v>
      </c>
      <c r="B414" s="25">
        <v>0.12307999999999999</v>
      </c>
      <c r="C414" s="68">
        <f t="shared" si="37"/>
        <v>26.307600000000001</v>
      </c>
      <c r="D414" s="69">
        <f t="shared" si="38"/>
        <v>11.307600000000001</v>
      </c>
      <c r="E414" s="70">
        <f t="shared" si="39"/>
        <v>-3.6923999999999997</v>
      </c>
      <c r="F414" s="71">
        <f t="shared" si="40"/>
        <v>-26.307600000000001</v>
      </c>
      <c r="G414" s="72">
        <f t="shared" si="41"/>
        <v>-11.307600000000001</v>
      </c>
      <c r="H414" s="73">
        <f t="shared" si="42"/>
        <v>3.6923999999999997</v>
      </c>
    </row>
    <row r="415" spans="1:8" x14ac:dyDescent="0.25">
      <c r="A415" s="26">
        <v>-325</v>
      </c>
      <c r="B415" s="25">
        <v>0.12385</v>
      </c>
      <c r="C415" s="68">
        <f t="shared" si="37"/>
        <v>26.284500000000001</v>
      </c>
      <c r="D415" s="69">
        <f t="shared" si="38"/>
        <v>11.2845</v>
      </c>
      <c r="E415" s="70">
        <f t="shared" si="39"/>
        <v>-3.7155</v>
      </c>
      <c r="F415" s="71">
        <f t="shared" si="40"/>
        <v>-26.284500000000001</v>
      </c>
      <c r="G415" s="72">
        <f t="shared" si="41"/>
        <v>-11.2845</v>
      </c>
      <c r="H415" s="73">
        <f t="shared" si="42"/>
        <v>3.7155</v>
      </c>
    </row>
    <row r="416" spans="1:8" x14ac:dyDescent="0.25">
      <c r="A416" s="26">
        <v>-324</v>
      </c>
      <c r="B416" s="25">
        <v>0.12461999999999999</v>
      </c>
      <c r="C416" s="68">
        <f t="shared" si="37"/>
        <v>26.261400000000002</v>
      </c>
      <c r="D416" s="69">
        <f t="shared" si="38"/>
        <v>11.2614</v>
      </c>
      <c r="E416" s="70">
        <f t="shared" si="39"/>
        <v>-3.7385999999999999</v>
      </c>
      <c r="F416" s="71">
        <f t="shared" si="40"/>
        <v>-26.261400000000002</v>
      </c>
      <c r="G416" s="72">
        <f t="shared" si="41"/>
        <v>-11.2614</v>
      </c>
      <c r="H416" s="73">
        <f t="shared" si="42"/>
        <v>3.7385999999999999</v>
      </c>
    </row>
    <row r="417" spans="1:8" x14ac:dyDescent="0.25">
      <c r="A417" s="26">
        <v>-323</v>
      </c>
      <c r="B417" s="25">
        <v>0.12537999999999999</v>
      </c>
      <c r="C417" s="68">
        <f t="shared" si="37"/>
        <v>26.238600000000002</v>
      </c>
      <c r="D417" s="69">
        <f t="shared" si="38"/>
        <v>11.2386</v>
      </c>
      <c r="E417" s="70">
        <f t="shared" si="39"/>
        <v>-3.7613999999999996</v>
      </c>
      <c r="F417" s="71">
        <f t="shared" si="40"/>
        <v>-26.238600000000002</v>
      </c>
      <c r="G417" s="72">
        <f t="shared" si="41"/>
        <v>-11.2386</v>
      </c>
      <c r="H417" s="73">
        <f t="shared" si="42"/>
        <v>3.7613999999999996</v>
      </c>
    </row>
    <row r="418" spans="1:8" x14ac:dyDescent="0.25">
      <c r="A418" s="26">
        <v>-322</v>
      </c>
      <c r="B418" s="25">
        <v>0.12615000000000001</v>
      </c>
      <c r="C418" s="68">
        <f t="shared" si="37"/>
        <v>26.215499999999999</v>
      </c>
      <c r="D418" s="69">
        <f t="shared" si="38"/>
        <v>11.215499999999999</v>
      </c>
      <c r="E418" s="70">
        <f t="shared" si="39"/>
        <v>-3.7845000000000004</v>
      </c>
      <c r="F418" s="71">
        <f t="shared" si="40"/>
        <v>-26.215499999999999</v>
      </c>
      <c r="G418" s="72">
        <f t="shared" si="41"/>
        <v>-11.215499999999999</v>
      </c>
      <c r="H418" s="73">
        <f t="shared" si="42"/>
        <v>3.7845000000000004</v>
      </c>
    </row>
    <row r="419" spans="1:8" x14ac:dyDescent="0.25">
      <c r="A419" s="26">
        <v>-321</v>
      </c>
      <c r="B419" s="25">
        <v>0.12692000000000001</v>
      </c>
      <c r="C419" s="68">
        <f t="shared" si="37"/>
        <v>26.192399999999999</v>
      </c>
      <c r="D419" s="69">
        <f t="shared" si="38"/>
        <v>11.192399999999999</v>
      </c>
      <c r="E419" s="70">
        <f t="shared" si="39"/>
        <v>-3.8076000000000003</v>
      </c>
      <c r="F419" s="71">
        <f t="shared" si="40"/>
        <v>-26.192399999999999</v>
      </c>
      <c r="G419" s="72">
        <f t="shared" si="41"/>
        <v>-11.192399999999999</v>
      </c>
      <c r="H419" s="73">
        <f t="shared" si="42"/>
        <v>3.8076000000000003</v>
      </c>
    </row>
    <row r="420" spans="1:8" x14ac:dyDescent="0.25">
      <c r="A420" s="26">
        <v>-320</v>
      </c>
      <c r="B420" s="25">
        <v>0.12769</v>
      </c>
      <c r="C420" s="68">
        <f t="shared" si="37"/>
        <v>26.1693</v>
      </c>
      <c r="D420" s="69">
        <f t="shared" si="38"/>
        <v>11.1693</v>
      </c>
      <c r="E420" s="70">
        <f t="shared" si="39"/>
        <v>-3.8306999999999998</v>
      </c>
      <c r="F420" s="71">
        <f t="shared" si="40"/>
        <v>-26.1693</v>
      </c>
      <c r="G420" s="72">
        <f t="shared" si="41"/>
        <v>-11.1693</v>
      </c>
      <c r="H420" s="73">
        <f t="shared" si="42"/>
        <v>3.8306999999999998</v>
      </c>
    </row>
    <row r="421" spans="1:8" x14ac:dyDescent="0.25">
      <c r="A421" s="26">
        <v>-319</v>
      </c>
      <c r="B421" s="25">
        <v>0.12845999999999999</v>
      </c>
      <c r="C421" s="68">
        <f t="shared" si="37"/>
        <v>26.1462</v>
      </c>
      <c r="D421" s="69">
        <f t="shared" si="38"/>
        <v>11.1462</v>
      </c>
      <c r="E421" s="70">
        <f t="shared" si="39"/>
        <v>-3.8537999999999997</v>
      </c>
      <c r="F421" s="71">
        <f t="shared" si="40"/>
        <v>-26.1462</v>
      </c>
      <c r="G421" s="72">
        <f t="shared" si="41"/>
        <v>-11.1462</v>
      </c>
      <c r="H421" s="73">
        <f t="shared" si="42"/>
        <v>3.8537999999999997</v>
      </c>
    </row>
    <row r="422" spans="1:8" x14ac:dyDescent="0.25">
      <c r="A422" s="26">
        <v>-318</v>
      </c>
      <c r="B422" s="25">
        <v>0.12923000000000001</v>
      </c>
      <c r="C422" s="68">
        <f t="shared" si="37"/>
        <v>26.123100000000001</v>
      </c>
      <c r="D422" s="69">
        <f t="shared" si="38"/>
        <v>11.123099999999999</v>
      </c>
      <c r="E422" s="70">
        <f t="shared" si="39"/>
        <v>-3.8769000000000005</v>
      </c>
      <c r="F422" s="71">
        <f t="shared" si="40"/>
        <v>-26.123100000000001</v>
      </c>
      <c r="G422" s="72">
        <f t="shared" si="41"/>
        <v>-11.123099999999999</v>
      </c>
      <c r="H422" s="73">
        <f t="shared" si="42"/>
        <v>3.8769000000000005</v>
      </c>
    </row>
    <row r="423" spans="1:8" x14ac:dyDescent="0.25">
      <c r="A423" s="26">
        <v>-317</v>
      </c>
      <c r="B423" s="25">
        <v>0.13</v>
      </c>
      <c r="C423" s="68">
        <f t="shared" si="37"/>
        <v>26.1</v>
      </c>
      <c r="D423" s="69">
        <f t="shared" si="38"/>
        <v>11.1</v>
      </c>
      <c r="E423" s="70">
        <f t="shared" si="39"/>
        <v>-3.9000000000000004</v>
      </c>
      <c r="F423" s="71">
        <f t="shared" si="40"/>
        <v>-26.1</v>
      </c>
      <c r="G423" s="72">
        <f t="shared" si="41"/>
        <v>-11.1</v>
      </c>
      <c r="H423" s="73">
        <f t="shared" si="42"/>
        <v>3.9000000000000004</v>
      </c>
    </row>
    <row r="424" spans="1:8" x14ac:dyDescent="0.25">
      <c r="A424" s="26">
        <v>-316</v>
      </c>
      <c r="B424" s="25">
        <v>0.13077</v>
      </c>
      <c r="C424" s="68">
        <f t="shared" si="37"/>
        <v>26.076900000000002</v>
      </c>
      <c r="D424" s="69">
        <f t="shared" si="38"/>
        <v>11.0769</v>
      </c>
      <c r="E424" s="70">
        <f t="shared" si="39"/>
        <v>-3.9230999999999998</v>
      </c>
      <c r="F424" s="71">
        <f t="shared" si="40"/>
        <v>-26.076900000000002</v>
      </c>
      <c r="G424" s="72">
        <f t="shared" si="41"/>
        <v>-11.0769</v>
      </c>
      <c r="H424" s="73">
        <f t="shared" si="42"/>
        <v>3.9230999999999998</v>
      </c>
    </row>
    <row r="425" spans="1:8" x14ac:dyDescent="0.25">
      <c r="A425" s="26">
        <v>-315</v>
      </c>
      <c r="B425" s="25">
        <v>0.13153999999999999</v>
      </c>
      <c r="C425" s="68">
        <f t="shared" si="37"/>
        <v>26.053799999999999</v>
      </c>
      <c r="D425" s="69">
        <f t="shared" si="38"/>
        <v>11.053800000000001</v>
      </c>
      <c r="E425" s="70">
        <f t="shared" si="39"/>
        <v>-3.9461999999999997</v>
      </c>
      <c r="F425" s="71">
        <f t="shared" si="40"/>
        <v>-26.053799999999999</v>
      </c>
      <c r="G425" s="72">
        <f t="shared" si="41"/>
        <v>-11.053800000000001</v>
      </c>
      <c r="H425" s="73">
        <f t="shared" si="42"/>
        <v>3.9461999999999997</v>
      </c>
    </row>
    <row r="426" spans="1:8" x14ac:dyDescent="0.25">
      <c r="A426" s="26">
        <v>-314</v>
      </c>
      <c r="B426" s="25">
        <v>0.13231000000000001</v>
      </c>
      <c r="C426" s="68">
        <f t="shared" si="37"/>
        <v>26.0307</v>
      </c>
      <c r="D426" s="69">
        <f t="shared" si="38"/>
        <v>11.0307</v>
      </c>
      <c r="E426" s="70">
        <f t="shared" si="39"/>
        <v>-3.9693000000000005</v>
      </c>
      <c r="F426" s="71">
        <f t="shared" si="40"/>
        <v>-26.0307</v>
      </c>
      <c r="G426" s="72">
        <f t="shared" si="41"/>
        <v>-11.0307</v>
      </c>
      <c r="H426" s="73">
        <f t="shared" si="42"/>
        <v>3.9693000000000005</v>
      </c>
    </row>
    <row r="427" spans="1:8" x14ac:dyDescent="0.25">
      <c r="A427" s="26">
        <v>-313</v>
      </c>
      <c r="B427" s="25">
        <v>0.13308</v>
      </c>
      <c r="C427" s="68">
        <f t="shared" si="37"/>
        <v>26.0076</v>
      </c>
      <c r="D427" s="69">
        <f t="shared" si="38"/>
        <v>11.0076</v>
      </c>
      <c r="E427" s="70">
        <f t="shared" si="39"/>
        <v>-3.9923999999999999</v>
      </c>
      <c r="F427" s="71">
        <f t="shared" si="40"/>
        <v>-26.0076</v>
      </c>
      <c r="G427" s="72">
        <f t="shared" si="41"/>
        <v>-11.0076</v>
      </c>
      <c r="H427" s="73">
        <f t="shared" si="42"/>
        <v>3.9923999999999999</v>
      </c>
    </row>
    <row r="428" spans="1:8" x14ac:dyDescent="0.25">
      <c r="A428" s="26">
        <v>-312</v>
      </c>
      <c r="B428" s="25">
        <v>0.13385</v>
      </c>
      <c r="C428" s="68">
        <f t="shared" si="37"/>
        <v>25.984500000000001</v>
      </c>
      <c r="D428" s="69">
        <f t="shared" si="38"/>
        <v>10.984500000000001</v>
      </c>
      <c r="E428" s="70">
        <f t="shared" si="39"/>
        <v>-4.0155000000000003</v>
      </c>
      <c r="F428" s="71">
        <f t="shared" si="40"/>
        <v>-25.984500000000001</v>
      </c>
      <c r="G428" s="72">
        <f t="shared" si="41"/>
        <v>-10.984500000000001</v>
      </c>
      <c r="H428" s="73">
        <f t="shared" si="42"/>
        <v>4.0155000000000003</v>
      </c>
    </row>
    <row r="429" spans="1:8" x14ac:dyDescent="0.25">
      <c r="A429" s="26">
        <v>-311</v>
      </c>
      <c r="B429" s="25">
        <v>0.13461999999999999</v>
      </c>
      <c r="C429" s="68">
        <f t="shared" si="37"/>
        <v>25.961400000000001</v>
      </c>
      <c r="D429" s="69">
        <f t="shared" si="38"/>
        <v>10.961400000000001</v>
      </c>
      <c r="E429" s="70">
        <f t="shared" si="39"/>
        <v>-4.0385999999999997</v>
      </c>
      <c r="F429" s="71">
        <f t="shared" si="40"/>
        <v>-25.961400000000001</v>
      </c>
      <c r="G429" s="72">
        <f t="shared" si="41"/>
        <v>-10.961400000000001</v>
      </c>
      <c r="H429" s="73">
        <f t="shared" si="42"/>
        <v>4.0385999999999997</v>
      </c>
    </row>
    <row r="430" spans="1:8" x14ac:dyDescent="0.25">
      <c r="A430" s="26">
        <v>-310</v>
      </c>
      <c r="B430" s="25">
        <v>0.13538</v>
      </c>
      <c r="C430" s="68">
        <f t="shared" si="37"/>
        <v>25.938600000000001</v>
      </c>
      <c r="D430" s="69">
        <f t="shared" si="38"/>
        <v>10.938600000000001</v>
      </c>
      <c r="E430" s="70">
        <f t="shared" si="39"/>
        <v>-4.0613999999999999</v>
      </c>
      <c r="F430" s="71">
        <f t="shared" si="40"/>
        <v>-25.938600000000001</v>
      </c>
      <c r="G430" s="72">
        <f t="shared" si="41"/>
        <v>-10.938600000000001</v>
      </c>
      <c r="H430" s="73">
        <f t="shared" si="42"/>
        <v>4.0613999999999999</v>
      </c>
    </row>
    <row r="431" spans="1:8" x14ac:dyDescent="0.25">
      <c r="A431" s="26">
        <v>-309</v>
      </c>
      <c r="B431" s="25">
        <v>0.13614999999999999</v>
      </c>
      <c r="C431" s="68">
        <f t="shared" si="37"/>
        <v>25.915500000000002</v>
      </c>
      <c r="D431" s="69">
        <f t="shared" si="38"/>
        <v>10.9155</v>
      </c>
      <c r="E431" s="70">
        <f t="shared" si="39"/>
        <v>-4.0845000000000002</v>
      </c>
      <c r="F431" s="71">
        <f t="shared" si="40"/>
        <v>-25.915500000000002</v>
      </c>
      <c r="G431" s="72">
        <f t="shared" si="41"/>
        <v>-10.9155</v>
      </c>
      <c r="H431" s="73">
        <f t="shared" si="42"/>
        <v>4.0845000000000002</v>
      </c>
    </row>
    <row r="432" spans="1:8" x14ac:dyDescent="0.25">
      <c r="A432" s="26">
        <v>-308</v>
      </c>
      <c r="B432" s="25">
        <v>0.13691999999999999</v>
      </c>
      <c r="C432" s="68">
        <f t="shared" si="37"/>
        <v>25.892400000000002</v>
      </c>
      <c r="D432" s="69">
        <f t="shared" si="38"/>
        <v>10.8924</v>
      </c>
      <c r="E432" s="70">
        <f t="shared" si="39"/>
        <v>-4.1075999999999997</v>
      </c>
      <c r="F432" s="71">
        <f t="shared" si="40"/>
        <v>-25.892400000000002</v>
      </c>
      <c r="G432" s="72">
        <f t="shared" si="41"/>
        <v>-10.8924</v>
      </c>
      <c r="H432" s="73">
        <f t="shared" si="42"/>
        <v>4.1075999999999997</v>
      </c>
    </row>
    <row r="433" spans="1:8" x14ac:dyDescent="0.25">
      <c r="A433" s="26">
        <v>-307</v>
      </c>
      <c r="B433" s="25">
        <v>0.13769000000000001</v>
      </c>
      <c r="C433" s="68">
        <f t="shared" si="37"/>
        <v>25.869299999999999</v>
      </c>
      <c r="D433" s="69">
        <f t="shared" si="38"/>
        <v>10.869299999999999</v>
      </c>
      <c r="E433" s="70">
        <f t="shared" si="39"/>
        <v>-4.1307</v>
      </c>
      <c r="F433" s="71">
        <f t="shared" si="40"/>
        <v>-25.869299999999999</v>
      </c>
      <c r="G433" s="72">
        <f t="shared" si="41"/>
        <v>-10.869299999999999</v>
      </c>
      <c r="H433" s="73">
        <f t="shared" si="42"/>
        <v>4.1307</v>
      </c>
    </row>
    <row r="434" spans="1:8" x14ac:dyDescent="0.25">
      <c r="A434" s="26">
        <v>-306</v>
      </c>
      <c r="B434" s="25">
        <v>0.13846</v>
      </c>
      <c r="C434" s="68">
        <f t="shared" si="37"/>
        <v>25.8462</v>
      </c>
      <c r="D434" s="69">
        <f t="shared" si="38"/>
        <v>10.8462</v>
      </c>
      <c r="E434" s="70">
        <f t="shared" si="39"/>
        <v>-4.1538000000000004</v>
      </c>
      <c r="F434" s="71">
        <f t="shared" si="40"/>
        <v>-25.8462</v>
      </c>
      <c r="G434" s="72">
        <f t="shared" si="41"/>
        <v>-10.8462</v>
      </c>
      <c r="H434" s="73">
        <f t="shared" si="42"/>
        <v>4.1538000000000004</v>
      </c>
    </row>
    <row r="435" spans="1:8" x14ac:dyDescent="0.25">
      <c r="A435" s="26">
        <v>-305</v>
      </c>
      <c r="B435" s="25">
        <v>0.13922999999999999</v>
      </c>
      <c r="C435" s="68">
        <f t="shared" si="37"/>
        <v>25.8231</v>
      </c>
      <c r="D435" s="69">
        <f t="shared" si="38"/>
        <v>10.8231</v>
      </c>
      <c r="E435" s="70">
        <f t="shared" si="39"/>
        <v>-4.1768999999999998</v>
      </c>
      <c r="F435" s="71">
        <f t="shared" si="40"/>
        <v>-25.8231</v>
      </c>
      <c r="G435" s="72">
        <f t="shared" si="41"/>
        <v>-10.8231</v>
      </c>
      <c r="H435" s="73">
        <f t="shared" si="42"/>
        <v>4.1768999999999998</v>
      </c>
    </row>
    <row r="436" spans="1:8" x14ac:dyDescent="0.25">
      <c r="A436" s="26">
        <v>-304</v>
      </c>
      <c r="B436" s="25">
        <v>0.14000000000000001</v>
      </c>
      <c r="C436" s="68">
        <f t="shared" si="37"/>
        <v>25.8</v>
      </c>
      <c r="D436" s="69">
        <f t="shared" si="38"/>
        <v>10.8</v>
      </c>
      <c r="E436" s="70">
        <f t="shared" si="39"/>
        <v>-4.2</v>
      </c>
      <c r="F436" s="71">
        <f t="shared" si="40"/>
        <v>-25.8</v>
      </c>
      <c r="G436" s="72">
        <f t="shared" si="41"/>
        <v>-10.8</v>
      </c>
      <c r="H436" s="73">
        <f t="shared" si="42"/>
        <v>4.2</v>
      </c>
    </row>
    <row r="437" spans="1:8" x14ac:dyDescent="0.25">
      <c r="A437" s="26">
        <v>-303</v>
      </c>
      <c r="B437" s="25">
        <v>0.14083000000000001</v>
      </c>
      <c r="C437" s="68">
        <f t="shared" si="37"/>
        <v>25.775100000000002</v>
      </c>
      <c r="D437" s="69">
        <f t="shared" si="38"/>
        <v>10.7751</v>
      </c>
      <c r="E437" s="70">
        <f t="shared" si="39"/>
        <v>-4.2248999999999999</v>
      </c>
      <c r="F437" s="71">
        <f t="shared" si="40"/>
        <v>-25.775100000000002</v>
      </c>
      <c r="G437" s="72">
        <f t="shared" si="41"/>
        <v>-10.7751</v>
      </c>
      <c r="H437" s="73">
        <f t="shared" si="42"/>
        <v>4.2248999999999999</v>
      </c>
    </row>
    <row r="438" spans="1:8" x14ac:dyDescent="0.25">
      <c r="A438" s="26">
        <v>-302</v>
      </c>
      <c r="B438" s="25">
        <v>0.14166999999999999</v>
      </c>
      <c r="C438" s="68">
        <f t="shared" si="37"/>
        <v>25.7499</v>
      </c>
      <c r="D438" s="69">
        <f t="shared" si="38"/>
        <v>10.7499</v>
      </c>
      <c r="E438" s="70">
        <f t="shared" si="39"/>
        <v>-4.2500999999999998</v>
      </c>
      <c r="F438" s="71">
        <f t="shared" si="40"/>
        <v>-25.7499</v>
      </c>
      <c r="G438" s="72">
        <f t="shared" si="41"/>
        <v>-10.7499</v>
      </c>
      <c r="H438" s="73">
        <f t="shared" si="42"/>
        <v>4.2500999999999998</v>
      </c>
    </row>
    <row r="439" spans="1:8" x14ac:dyDescent="0.25">
      <c r="A439" s="26">
        <v>-301</v>
      </c>
      <c r="B439" s="25">
        <v>0.14249999999999999</v>
      </c>
      <c r="C439" s="68">
        <f t="shared" si="37"/>
        <v>25.725000000000001</v>
      </c>
      <c r="D439" s="69">
        <f t="shared" si="38"/>
        <v>10.725000000000001</v>
      </c>
      <c r="E439" s="70">
        <f t="shared" si="39"/>
        <v>-4.2749999999999995</v>
      </c>
      <c r="F439" s="71">
        <f t="shared" si="40"/>
        <v>-25.725000000000001</v>
      </c>
      <c r="G439" s="72">
        <f t="shared" si="41"/>
        <v>-10.725000000000001</v>
      </c>
      <c r="H439" s="73">
        <f t="shared" si="42"/>
        <v>4.2749999999999995</v>
      </c>
    </row>
    <row r="440" spans="1:8" x14ac:dyDescent="0.25">
      <c r="A440" s="26">
        <v>-300</v>
      </c>
      <c r="B440" s="25">
        <v>0.14333000000000001</v>
      </c>
      <c r="C440" s="68">
        <f t="shared" si="37"/>
        <v>25.700099999999999</v>
      </c>
      <c r="D440" s="69">
        <f t="shared" si="38"/>
        <v>10.700099999999999</v>
      </c>
      <c r="E440" s="70">
        <f t="shared" si="39"/>
        <v>-4.2999000000000001</v>
      </c>
      <c r="F440" s="71">
        <f t="shared" si="40"/>
        <v>-25.700099999999999</v>
      </c>
      <c r="G440" s="72">
        <f t="shared" si="41"/>
        <v>-10.700099999999999</v>
      </c>
      <c r="H440" s="73">
        <f t="shared" si="42"/>
        <v>4.2999000000000001</v>
      </c>
    </row>
    <row r="441" spans="1:8" x14ac:dyDescent="0.25">
      <c r="A441" s="26">
        <v>-299</v>
      </c>
      <c r="B441" s="25">
        <v>0.14416999999999999</v>
      </c>
      <c r="C441" s="68">
        <f t="shared" si="37"/>
        <v>25.674900000000001</v>
      </c>
      <c r="D441" s="69">
        <f t="shared" si="38"/>
        <v>10.674900000000001</v>
      </c>
      <c r="E441" s="70">
        <f t="shared" si="39"/>
        <v>-4.3250999999999999</v>
      </c>
      <c r="F441" s="71">
        <f t="shared" si="40"/>
        <v>-25.674900000000001</v>
      </c>
      <c r="G441" s="72">
        <f t="shared" si="41"/>
        <v>-10.674900000000001</v>
      </c>
      <c r="H441" s="73">
        <f t="shared" si="42"/>
        <v>4.3250999999999999</v>
      </c>
    </row>
    <row r="442" spans="1:8" x14ac:dyDescent="0.25">
      <c r="A442" s="26">
        <v>-298</v>
      </c>
      <c r="B442" s="25">
        <v>0.14499999999999999</v>
      </c>
      <c r="C442" s="68">
        <f t="shared" si="37"/>
        <v>25.65</v>
      </c>
      <c r="D442" s="69">
        <f t="shared" si="38"/>
        <v>10.65</v>
      </c>
      <c r="E442" s="70">
        <f t="shared" si="39"/>
        <v>-4.3499999999999996</v>
      </c>
      <c r="F442" s="71">
        <f t="shared" si="40"/>
        <v>-25.65</v>
      </c>
      <c r="G442" s="72">
        <f t="shared" si="41"/>
        <v>-10.65</v>
      </c>
      <c r="H442" s="73">
        <f t="shared" si="42"/>
        <v>4.3499999999999996</v>
      </c>
    </row>
    <row r="443" spans="1:8" x14ac:dyDescent="0.25">
      <c r="A443" s="26">
        <v>-297</v>
      </c>
      <c r="B443" s="25">
        <v>0.14582999999999999</v>
      </c>
      <c r="C443" s="68">
        <f t="shared" si="37"/>
        <v>25.6251</v>
      </c>
      <c r="D443" s="69">
        <f t="shared" si="38"/>
        <v>10.6251</v>
      </c>
      <c r="E443" s="70">
        <f t="shared" si="39"/>
        <v>-4.3748999999999993</v>
      </c>
      <c r="F443" s="71">
        <f t="shared" si="40"/>
        <v>-25.6251</v>
      </c>
      <c r="G443" s="72">
        <f t="shared" si="41"/>
        <v>-10.6251</v>
      </c>
      <c r="H443" s="73">
        <f t="shared" si="42"/>
        <v>4.3748999999999993</v>
      </c>
    </row>
    <row r="444" spans="1:8" x14ac:dyDescent="0.25">
      <c r="A444" s="26">
        <v>-296</v>
      </c>
      <c r="B444" s="25">
        <v>0.14666999999999999</v>
      </c>
      <c r="C444" s="68">
        <f t="shared" si="37"/>
        <v>25.599899999999998</v>
      </c>
      <c r="D444" s="69">
        <f t="shared" si="38"/>
        <v>10.5999</v>
      </c>
      <c r="E444" s="70">
        <f t="shared" si="39"/>
        <v>-4.4001000000000001</v>
      </c>
      <c r="F444" s="71">
        <f t="shared" si="40"/>
        <v>-25.599899999999998</v>
      </c>
      <c r="G444" s="72">
        <f t="shared" si="41"/>
        <v>-10.5999</v>
      </c>
      <c r="H444" s="73">
        <f t="shared" si="42"/>
        <v>4.4001000000000001</v>
      </c>
    </row>
    <row r="445" spans="1:8" x14ac:dyDescent="0.25">
      <c r="A445" s="26">
        <v>-295</v>
      </c>
      <c r="B445" s="25">
        <v>0.14749999999999999</v>
      </c>
      <c r="C445" s="68">
        <f t="shared" si="37"/>
        <v>25.574999999999999</v>
      </c>
      <c r="D445" s="69">
        <f t="shared" si="38"/>
        <v>10.574999999999999</v>
      </c>
      <c r="E445" s="70">
        <f t="shared" si="39"/>
        <v>-4.4249999999999998</v>
      </c>
      <c r="F445" s="71">
        <f t="shared" si="40"/>
        <v>-25.574999999999999</v>
      </c>
      <c r="G445" s="72">
        <f t="shared" si="41"/>
        <v>-10.574999999999999</v>
      </c>
      <c r="H445" s="73">
        <f t="shared" si="42"/>
        <v>4.4249999999999998</v>
      </c>
    </row>
    <row r="446" spans="1:8" x14ac:dyDescent="0.25">
      <c r="A446" s="26">
        <v>-294</v>
      </c>
      <c r="B446" s="25">
        <v>0.14832999999999999</v>
      </c>
      <c r="C446" s="68">
        <f t="shared" si="37"/>
        <v>25.5501</v>
      </c>
      <c r="D446" s="69">
        <f t="shared" si="38"/>
        <v>10.5501</v>
      </c>
      <c r="E446" s="70">
        <f t="shared" si="39"/>
        <v>-4.4498999999999995</v>
      </c>
      <c r="F446" s="71">
        <f t="shared" si="40"/>
        <v>-25.5501</v>
      </c>
      <c r="G446" s="72">
        <f t="shared" si="41"/>
        <v>-10.5501</v>
      </c>
      <c r="H446" s="73">
        <f t="shared" si="42"/>
        <v>4.4498999999999995</v>
      </c>
    </row>
    <row r="447" spans="1:8" x14ac:dyDescent="0.25">
      <c r="A447" s="26">
        <v>-293</v>
      </c>
      <c r="B447" s="25">
        <v>0.14917</v>
      </c>
      <c r="C447" s="68">
        <f t="shared" si="37"/>
        <v>25.524899999999999</v>
      </c>
      <c r="D447" s="69">
        <f t="shared" si="38"/>
        <v>10.524899999999999</v>
      </c>
      <c r="E447" s="70">
        <f t="shared" si="39"/>
        <v>-4.4751000000000003</v>
      </c>
      <c r="F447" s="71">
        <f t="shared" si="40"/>
        <v>-25.524899999999999</v>
      </c>
      <c r="G447" s="72">
        <f t="shared" si="41"/>
        <v>-10.524899999999999</v>
      </c>
      <c r="H447" s="73">
        <f t="shared" si="42"/>
        <v>4.4751000000000003</v>
      </c>
    </row>
    <row r="448" spans="1:8" x14ac:dyDescent="0.25">
      <c r="A448" s="26">
        <v>-292</v>
      </c>
      <c r="B448" s="25">
        <v>0.15</v>
      </c>
      <c r="C448" s="68">
        <f t="shared" si="37"/>
        <v>25.5</v>
      </c>
      <c r="D448" s="69">
        <f t="shared" si="38"/>
        <v>10.5</v>
      </c>
      <c r="E448" s="70">
        <f t="shared" si="39"/>
        <v>-4.5</v>
      </c>
      <c r="F448" s="71">
        <f t="shared" si="40"/>
        <v>-25.5</v>
      </c>
      <c r="G448" s="72">
        <f t="shared" si="41"/>
        <v>-10.5</v>
      </c>
      <c r="H448" s="73">
        <f t="shared" si="42"/>
        <v>4.5</v>
      </c>
    </row>
    <row r="449" spans="1:8" x14ac:dyDescent="0.25">
      <c r="A449" s="26">
        <v>-291</v>
      </c>
      <c r="B449" s="25">
        <v>0.15082999999999999</v>
      </c>
      <c r="C449" s="68">
        <f t="shared" si="37"/>
        <v>25.475100000000001</v>
      </c>
      <c r="D449" s="69">
        <f t="shared" si="38"/>
        <v>10.475100000000001</v>
      </c>
      <c r="E449" s="70">
        <f t="shared" si="39"/>
        <v>-4.5248999999999997</v>
      </c>
      <c r="F449" s="71">
        <f t="shared" si="40"/>
        <v>-25.475100000000001</v>
      </c>
      <c r="G449" s="72">
        <f t="shared" si="41"/>
        <v>-10.475100000000001</v>
      </c>
      <c r="H449" s="73">
        <f t="shared" si="42"/>
        <v>4.5248999999999997</v>
      </c>
    </row>
    <row r="450" spans="1:8" x14ac:dyDescent="0.25">
      <c r="A450" s="26">
        <v>-290</v>
      </c>
      <c r="B450" s="25">
        <v>0.15167</v>
      </c>
      <c r="C450" s="68">
        <f t="shared" si="37"/>
        <v>25.4499</v>
      </c>
      <c r="D450" s="69">
        <f t="shared" si="38"/>
        <v>10.4499</v>
      </c>
      <c r="E450" s="70">
        <f t="shared" si="39"/>
        <v>-4.5500999999999996</v>
      </c>
      <c r="F450" s="71">
        <f t="shared" si="40"/>
        <v>-25.4499</v>
      </c>
      <c r="G450" s="72">
        <f t="shared" si="41"/>
        <v>-10.4499</v>
      </c>
      <c r="H450" s="73">
        <f t="shared" si="42"/>
        <v>4.5500999999999996</v>
      </c>
    </row>
    <row r="451" spans="1:8" x14ac:dyDescent="0.25">
      <c r="A451" s="26">
        <v>-289</v>
      </c>
      <c r="B451" s="25">
        <v>0.1525</v>
      </c>
      <c r="C451" s="68">
        <f t="shared" si="37"/>
        <v>25.425000000000001</v>
      </c>
      <c r="D451" s="69">
        <f t="shared" si="38"/>
        <v>10.425000000000001</v>
      </c>
      <c r="E451" s="70">
        <f t="shared" si="39"/>
        <v>-4.5750000000000002</v>
      </c>
      <c r="F451" s="71">
        <f t="shared" si="40"/>
        <v>-25.425000000000001</v>
      </c>
      <c r="G451" s="72">
        <f t="shared" si="41"/>
        <v>-10.425000000000001</v>
      </c>
      <c r="H451" s="73">
        <f t="shared" si="42"/>
        <v>4.5750000000000002</v>
      </c>
    </row>
    <row r="452" spans="1:8" x14ac:dyDescent="0.25">
      <c r="A452" s="26">
        <v>-288</v>
      </c>
      <c r="B452" s="25">
        <v>0.15332999999999999</v>
      </c>
      <c r="C452" s="68">
        <f t="shared" si="37"/>
        <v>25.400100000000002</v>
      </c>
      <c r="D452" s="69">
        <f t="shared" si="38"/>
        <v>10.4001</v>
      </c>
      <c r="E452" s="70">
        <f t="shared" si="39"/>
        <v>-4.5998999999999999</v>
      </c>
      <c r="F452" s="71">
        <f t="shared" si="40"/>
        <v>-25.400100000000002</v>
      </c>
      <c r="G452" s="72">
        <f t="shared" si="41"/>
        <v>-10.4001</v>
      </c>
      <c r="H452" s="73">
        <f t="shared" si="42"/>
        <v>4.5998999999999999</v>
      </c>
    </row>
    <row r="453" spans="1:8" x14ac:dyDescent="0.25">
      <c r="A453" s="26">
        <v>-287</v>
      </c>
      <c r="B453" s="25">
        <v>0.15417</v>
      </c>
      <c r="C453" s="68">
        <f t="shared" si="37"/>
        <v>25.3749</v>
      </c>
      <c r="D453" s="69">
        <f t="shared" si="38"/>
        <v>10.3749</v>
      </c>
      <c r="E453" s="70">
        <f t="shared" si="39"/>
        <v>-4.6250999999999998</v>
      </c>
      <c r="F453" s="71">
        <f t="shared" si="40"/>
        <v>-25.3749</v>
      </c>
      <c r="G453" s="72">
        <f t="shared" si="41"/>
        <v>-10.3749</v>
      </c>
      <c r="H453" s="73">
        <f t="shared" si="42"/>
        <v>4.6250999999999998</v>
      </c>
    </row>
    <row r="454" spans="1:8" x14ac:dyDescent="0.25">
      <c r="A454" s="26">
        <v>-286</v>
      </c>
      <c r="B454" s="25">
        <v>0.155</v>
      </c>
      <c r="C454" s="68">
        <f t="shared" si="37"/>
        <v>25.35</v>
      </c>
      <c r="D454" s="69">
        <f t="shared" si="38"/>
        <v>10.35</v>
      </c>
      <c r="E454" s="70">
        <f t="shared" si="39"/>
        <v>-4.6500000000000004</v>
      </c>
      <c r="F454" s="71">
        <f t="shared" si="40"/>
        <v>-25.35</v>
      </c>
      <c r="G454" s="72">
        <f t="shared" si="41"/>
        <v>-10.35</v>
      </c>
      <c r="H454" s="73">
        <f t="shared" si="42"/>
        <v>4.6500000000000004</v>
      </c>
    </row>
    <row r="455" spans="1:8" x14ac:dyDescent="0.25">
      <c r="A455" s="26">
        <v>-285</v>
      </c>
      <c r="B455" s="25">
        <v>0.15583</v>
      </c>
      <c r="C455" s="68">
        <f t="shared" ref="C455:C518" si="43">KFactor-KFactor*B455</f>
        <v>25.325099999999999</v>
      </c>
      <c r="D455" s="69">
        <f t="shared" ref="D455:D518" si="44">KFactor/2-KFactor*B455</f>
        <v>10.325099999999999</v>
      </c>
      <c r="E455" s="70">
        <f t="shared" ref="E455:E518" si="45">0-KFactor*B455</f>
        <v>-4.6749000000000001</v>
      </c>
      <c r="F455" s="71">
        <f t="shared" ref="F455:F518" si="46">-C455</f>
        <v>-25.325099999999999</v>
      </c>
      <c r="G455" s="72">
        <f t="shared" ref="G455:G518" si="47">-D455</f>
        <v>-10.325099999999999</v>
      </c>
      <c r="H455" s="73">
        <f t="shared" ref="H455:H518" si="48">-E455</f>
        <v>4.6749000000000001</v>
      </c>
    </row>
    <row r="456" spans="1:8" x14ac:dyDescent="0.25">
      <c r="A456" s="26">
        <v>-284</v>
      </c>
      <c r="B456" s="25">
        <v>0.15667</v>
      </c>
      <c r="C456" s="68">
        <f t="shared" si="43"/>
        <v>25.299900000000001</v>
      </c>
      <c r="D456" s="69">
        <f t="shared" si="44"/>
        <v>10.299900000000001</v>
      </c>
      <c r="E456" s="70">
        <f t="shared" si="45"/>
        <v>-4.7000999999999999</v>
      </c>
      <c r="F456" s="71">
        <f t="shared" si="46"/>
        <v>-25.299900000000001</v>
      </c>
      <c r="G456" s="72">
        <f t="shared" si="47"/>
        <v>-10.299900000000001</v>
      </c>
      <c r="H456" s="73">
        <f t="shared" si="48"/>
        <v>4.7000999999999999</v>
      </c>
    </row>
    <row r="457" spans="1:8" x14ac:dyDescent="0.25">
      <c r="A457" s="26">
        <v>-283</v>
      </c>
      <c r="B457" s="25">
        <v>0.1575</v>
      </c>
      <c r="C457" s="68">
        <f t="shared" si="43"/>
        <v>25.274999999999999</v>
      </c>
      <c r="D457" s="69">
        <f t="shared" si="44"/>
        <v>10.275</v>
      </c>
      <c r="E457" s="70">
        <f t="shared" si="45"/>
        <v>-4.7249999999999996</v>
      </c>
      <c r="F457" s="71">
        <f t="shared" si="46"/>
        <v>-25.274999999999999</v>
      </c>
      <c r="G457" s="72">
        <f t="shared" si="47"/>
        <v>-10.275</v>
      </c>
      <c r="H457" s="73">
        <f t="shared" si="48"/>
        <v>4.7249999999999996</v>
      </c>
    </row>
    <row r="458" spans="1:8" x14ac:dyDescent="0.25">
      <c r="A458" s="26">
        <v>-282</v>
      </c>
      <c r="B458" s="25">
        <v>0.15833</v>
      </c>
      <c r="C458" s="68">
        <f t="shared" si="43"/>
        <v>25.2501</v>
      </c>
      <c r="D458" s="69">
        <f t="shared" si="44"/>
        <v>10.2501</v>
      </c>
      <c r="E458" s="70">
        <f t="shared" si="45"/>
        <v>-4.7499000000000002</v>
      </c>
      <c r="F458" s="71">
        <f t="shared" si="46"/>
        <v>-25.2501</v>
      </c>
      <c r="G458" s="72">
        <f t="shared" si="47"/>
        <v>-10.2501</v>
      </c>
      <c r="H458" s="73">
        <f t="shared" si="48"/>
        <v>4.7499000000000002</v>
      </c>
    </row>
    <row r="459" spans="1:8" x14ac:dyDescent="0.25">
      <c r="A459" s="26">
        <v>-281</v>
      </c>
      <c r="B459" s="25">
        <v>0.15917000000000001</v>
      </c>
      <c r="C459" s="68">
        <f t="shared" si="43"/>
        <v>25.224899999999998</v>
      </c>
      <c r="D459" s="69">
        <f t="shared" si="44"/>
        <v>10.2249</v>
      </c>
      <c r="E459" s="70">
        <f t="shared" si="45"/>
        <v>-4.7751000000000001</v>
      </c>
      <c r="F459" s="71">
        <f t="shared" si="46"/>
        <v>-25.224899999999998</v>
      </c>
      <c r="G459" s="72">
        <f t="shared" si="47"/>
        <v>-10.2249</v>
      </c>
      <c r="H459" s="73">
        <f t="shared" si="48"/>
        <v>4.7751000000000001</v>
      </c>
    </row>
    <row r="460" spans="1:8" x14ac:dyDescent="0.25">
      <c r="A460" s="26">
        <v>-280</v>
      </c>
      <c r="B460" s="25">
        <v>0.16</v>
      </c>
      <c r="C460" s="68">
        <f t="shared" si="43"/>
        <v>25.2</v>
      </c>
      <c r="D460" s="69">
        <f t="shared" si="44"/>
        <v>10.199999999999999</v>
      </c>
      <c r="E460" s="70">
        <f t="shared" si="45"/>
        <v>-4.8</v>
      </c>
      <c r="F460" s="71">
        <f t="shared" si="46"/>
        <v>-25.2</v>
      </c>
      <c r="G460" s="72">
        <f t="shared" si="47"/>
        <v>-10.199999999999999</v>
      </c>
      <c r="H460" s="73">
        <f t="shared" si="48"/>
        <v>4.8</v>
      </c>
    </row>
    <row r="461" spans="1:8" x14ac:dyDescent="0.25">
      <c r="A461" s="26">
        <v>-279</v>
      </c>
      <c r="B461" s="25">
        <v>0.16091</v>
      </c>
      <c r="C461" s="68">
        <f t="shared" si="43"/>
        <v>25.172699999999999</v>
      </c>
      <c r="D461" s="69">
        <f t="shared" si="44"/>
        <v>10.172699999999999</v>
      </c>
      <c r="E461" s="70">
        <f t="shared" si="45"/>
        <v>-4.8273000000000001</v>
      </c>
      <c r="F461" s="71">
        <f t="shared" si="46"/>
        <v>-25.172699999999999</v>
      </c>
      <c r="G461" s="72">
        <f t="shared" si="47"/>
        <v>-10.172699999999999</v>
      </c>
      <c r="H461" s="73">
        <f t="shared" si="48"/>
        <v>4.8273000000000001</v>
      </c>
    </row>
    <row r="462" spans="1:8" x14ac:dyDescent="0.25">
      <c r="A462" s="26">
        <v>-278</v>
      </c>
      <c r="B462" s="25">
        <v>0.16181999999999999</v>
      </c>
      <c r="C462" s="68">
        <f t="shared" si="43"/>
        <v>25.145400000000002</v>
      </c>
      <c r="D462" s="69">
        <f t="shared" si="44"/>
        <v>10.1454</v>
      </c>
      <c r="E462" s="70">
        <f t="shared" si="45"/>
        <v>-4.8545999999999996</v>
      </c>
      <c r="F462" s="71">
        <f t="shared" si="46"/>
        <v>-25.145400000000002</v>
      </c>
      <c r="G462" s="72">
        <f t="shared" si="47"/>
        <v>-10.1454</v>
      </c>
      <c r="H462" s="73">
        <f t="shared" si="48"/>
        <v>4.8545999999999996</v>
      </c>
    </row>
    <row r="463" spans="1:8" x14ac:dyDescent="0.25">
      <c r="A463" s="26">
        <v>-277</v>
      </c>
      <c r="B463" s="25">
        <v>0.16273000000000001</v>
      </c>
      <c r="C463" s="68">
        <f t="shared" si="43"/>
        <v>25.118099999999998</v>
      </c>
      <c r="D463" s="69">
        <f t="shared" si="44"/>
        <v>10.118099999999998</v>
      </c>
      <c r="E463" s="70">
        <f t="shared" si="45"/>
        <v>-4.8819000000000008</v>
      </c>
      <c r="F463" s="71">
        <f t="shared" si="46"/>
        <v>-25.118099999999998</v>
      </c>
      <c r="G463" s="72">
        <f t="shared" si="47"/>
        <v>-10.118099999999998</v>
      </c>
      <c r="H463" s="73">
        <f t="shared" si="48"/>
        <v>4.8819000000000008</v>
      </c>
    </row>
    <row r="464" spans="1:8" x14ac:dyDescent="0.25">
      <c r="A464" s="26">
        <v>-276</v>
      </c>
      <c r="B464" s="25">
        <v>0.16364000000000001</v>
      </c>
      <c r="C464" s="68">
        <f t="shared" si="43"/>
        <v>25.090800000000002</v>
      </c>
      <c r="D464" s="69">
        <f t="shared" si="44"/>
        <v>10.0908</v>
      </c>
      <c r="E464" s="70">
        <f t="shared" si="45"/>
        <v>-4.9092000000000002</v>
      </c>
      <c r="F464" s="71">
        <f t="shared" si="46"/>
        <v>-25.090800000000002</v>
      </c>
      <c r="G464" s="72">
        <f t="shared" si="47"/>
        <v>-10.0908</v>
      </c>
      <c r="H464" s="73">
        <f t="shared" si="48"/>
        <v>4.9092000000000002</v>
      </c>
    </row>
    <row r="465" spans="1:8" x14ac:dyDescent="0.25">
      <c r="A465" s="26">
        <v>-275</v>
      </c>
      <c r="B465" s="25">
        <v>0.16455</v>
      </c>
      <c r="C465" s="68">
        <f t="shared" si="43"/>
        <v>25.063500000000001</v>
      </c>
      <c r="D465" s="69">
        <f t="shared" si="44"/>
        <v>10.063500000000001</v>
      </c>
      <c r="E465" s="70">
        <f t="shared" si="45"/>
        <v>-4.9364999999999997</v>
      </c>
      <c r="F465" s="71">
        <f t="shared" si="46"/>
        <v>-25.063500000000001</v>
      </c>
      <c r="G465" s="72">
        <f t="shared" si="47"/>
        <v>-10.063500000000001</v>
      </c>
      <c r="H465" s="73">
        <f t="shared" si="48"/>
        <v>4.9364999999999997</v>
      </c>
    </row>
    <row r="466" spans="1:8" x14ac:dyDescent="0.25">
      <c r="A466" s="26">
        <v>-274</v>
      </c>
      <c r="B466" s="25">
        <v>0.16545000000000001</v>
      </c>
      <c r="C466" s="68">
        <f t="shared" si="43"/>
        <v>25.0365</v>
      </c>
      <c r="D466" s="69">
        <f t="shared" si="44"/>
        <v>10.0365</v>
      </c>
      <c r="E466" s="70">
        <f t="shared" si="45"/>
        <v>-4.9635000000000007</v>
      </c>
      <c r="F466" s="71">
        <f t="shared" si="46"/>
        <v>-25.0365</v>
      </c>
      <c r="G466" s="72">
        <f t="shared" si="47"/>
        <v>-10.0365</v>
      </c>
      <c r="H466" s="73">
        <f t="shared" si="48"/>
        <v>4.9635000000000007</v>
      </c>
    </row>
    <row r="467" spans="1:8" x14ac:dyDescent="0.25">
      <c r="A467" s="26">
        <v>-273</v>
      </c>
      <c r="B467" s="25">
        <v>0.16636000000000001</v>
      </c>
      <c r="C467" s="68">
        <f t="shared" si="43"/>
        <v>25.0092</v>
      </c>
      <c r="D467" s="69">
        <f t="shared" si="44"/>
        <v>10.0092</v>
      </c>
      <c r="E467" s="70">
        <f t="shared" si="45"/>
        <v>-4.9908000000000001</v>
      </c>
      <c r="F467" s="71">
        <f t="shared" si="46"/>
        <v>-25.0092</v>
      </c>
      <c r="G467" s="72">
        <f t="shared" si="47"/>
        <v>-10.0092</v>
      </c>
      <c r="H467" s="73">
        <f t="shared" si="48"/>
        <v>4.9908000000000001</v>
      </c>
    </row>
    <row r="468" spans="1:8" x14ac:dyDescent="0.25">
      <c r="A468" s="26">
        <v>-272</v>
      </c>
      <c r="B468" s="25">
        <v>0.16727</v>
      </c>
      <c r="C468" s="68">
        <f t="shared" si="43"/>
        <v>24.9819</v>
      </c>
      <c r="D468" s="69">
        <f t="shared" si="44"/>
        <v>9.9818999999999996</v>
      </c>
      <c r="E468" s="70">
        <f t="shared" si="45"/>
        <v>-5.0181000000000004</v>
      </c>
      <c r="F468" s="71">
        <f t="shared" si="46"/>
        <v>-24.9819</v>
      </c>
      <c r="G468" s="72">
        <f t="shared" si="47"/>
        <v>-9.9818999999999996</v>
      </c>
      <c r="H468" s="73">
        <f t="shared" si="48"/>
        <v>5.0181000000000004</v>
      </c>
    </row>
    <row r="469" spans="1:8" x14ac:dyDescent="0.25">
      <c r="A469" s="26">
        <v>-271</v>
      </c>
      <c r="B469" s="25">
        <v>0.16818</v>
      </c>
      <c r="C469" s="68">
        <f t="shared" si="43"/>
        <v>24.954599999999999</v>
      </c>
      <c r="D469" s="69">
        <f t="shared" si="44"/>
        <v>9.9545999999999992</v>
      </c>
      <c r="E469" s="70">
        <f t="shared" si="45"/>
        <v>-5.0453999999999999</v>
      </c>
      <c r="F469" s="71">
        <f t="shared" si="46"/>
        <v>-24.954599999999999</v>
      </c>
      <c r="G469" s="72">
        <f t="shared" si="47"/>
        <v>-9.9545999999999992</v>
      </c>
      <c r="H469" s="73">
        <f t="shared" si="48"/>
        <v>5.0453999999999999</v>
      </c>
    </row>
    <row r="470" spans="1:8" x14ac:dyDescent="0.25">
      <c r="A470" s="26">
        <v>-270</v>
      </c>
      <c r="B470" s="25">
        <v>0.16908999999999999</v>
      </c>
      <c r="C470" s="68">
        <f t="shared" si="43"/>
        <v>24.927300000000002</v>
      </c>
      <c r="D470" s="69">
        <f t="shared" si="44"/>
        <v>9.9273000000000007</v>
      </c>
      <c r="E470" s="70">
        <f t="shared" si="45"/>
        <v>-5.0726999999999993</v>
      </c>
      <c r="F470" s="71">
        <f t="shared" si="46"/>
        <v>-24.927300000000002</v>
      </c>
      <c r="G470" s="72">
        <f t="shared" si="47"/>
        <v>-9.9273000000000007</v>
      </c>
      <c r="H470" s="73">
        <f t="shared" si="48"/>
        <v>5.0726999999999993</v>
      </c>
    </row>
    <row r="471" spans="1:8" x14ac:dyDescent="0.25">
      <c r="A471" s="26">
        <v>-269</v>
      </c>
      <c r="B471" s="25">
        <v>0.17</v>
      </c>
      <c r="C471" s="68">
        <f t="shared" si="43"/>
        <v>24.9</v>
      </c>
      <c r="D471" s="69">
        <f t="shared" si="44"/>
        <v>9.8999999999999986</v>
      </c>
      <c r="E471" s="70">
        <f t="shared" si="45"/>
        <v>-5.1000000000000005</v>
      </c>
      <c r="F471" s="71">
        <f t="shared" si="46"/>
        <v>-24.9</v>
      </c>
      <c r="G471" s="72">
        <f t="shared" si="47"/>
        <v>-9.8999999999999986</v>
      </c>
      <c r="H471" s="73">
        <f t="shared" si="48"/>
        <v>5.1000000000000005</v>
      </c>
    </row>
    <row r="472" spans="1:8" x14ac:dyDescent="0.25">
      <c r="A472" s="26">
        <v>-268</v>
      </c>
      <c r="B472" s="25">
        <v>0.17091000000000001</v>
      </c>
      <c r="C472" s="68">
        <f t="shared" si="43"/>
        <v>24.872700000000002</v>
      </c>
      <c r="D472" s="69">
        <f t="shared" si="44"/>
        <v>9.8727</v>
      </c>
      <c r="E472" s="70">
        <f t="shared" si="45"/>
        <v>-5.1273</v>
      </c>
      <c r="F472" s="71">
        <f t="shared" si="46"/>
        <v>-24.872700000000002</v>
      </c>
      <c r="G472" s="72">
        <f t="shared" si="47"/>
        <v>-9.8727</v>
      </c>
      <c r="H472" s="73">
        <f t="shared" si="48"/>
        <v>5.1273</v>
      </c>
    </row>
    <row r="473" spans="1:8" x14ac:dyDescent="0.25">
      <c r="A473" s="26">
        <v>-267</v>
      </c>
      <c r="B473" s="25">
        <v>0.17182</v>
      </c>
      <c r="C473" s="68">
        <f t="shared" si="43"/>
        <v>24.845399999999998</v>
      </c>
      <c r="D473" s="69">
        <f t="shared" si="44"/>
        <v>9.8453999999999997</v>
      </c>
      <c r="E473" s="70">
        <f t="shared" si="45"/>
        <v>-5.1546000000000003</v>
      </c>
      <c r="F473" s="71">
        <f t="shared" si="46"/>
        <v>-24.845399999999998</v>
      </c>
      <c r="G473" s="72">
        <f t="shared" si="47"/>
        <v>-9.8453999999999997</v>
      </c>
      <c r="H473" s="73">
        <f t="shared" si="48"/>
        <v>5.1546000000000003</v>
      </c>
    </row>
    <row r="474" spans="1:8" x14ac:dyDescent="0.25">
      <c r="A474" s="26">
        <v>-266</v>
      </c>
      <c r="B474" s="25">
        <v>0.17272999999999999</v>
      </c>
      <c r="C474" s="68">
        <f t="shared" si="43"/>
        <v>24.818100000000001</v>
      </c>
      <c r="D474" s="69">
        <f t="shared" si="44"/>
        <v>9.8181000000000012</v>
      </c>
      <c r="E474" s="70">
        <f t="shared" si="45"/>
        <v>-5.1818999999999997</v>
      </c>
      <c r="F474" s="71">
        <f t="shared" si="46"/>
        <v>-24.818100000000001</v>
      </c>
      <c r="G474" s="72">
        <f t="shared" si="47"/>
        <v>-9.8181000000000012</v>
      </c>
      <c r="H474" s="73">
        <f t="shared" si="48"/>
        <v>5.1818999999999997</v>
      </c>
    </row>
    <row r="475" spans="1:8" x14ac:dyDescent="0.25">
      <c r="A475" s="26">
        <v>-265</v>
      </c>
      <c r="B475" s="25">
        <v>0.17363999999999999</v>
      </c>
      <c r="C475" s="68">
        <f t="shared" si="43"/>
        <v>24.790800000000001</v>
      </c>
      <c r="D475" s="69">
        <f t="shared" si="44"/>
        <v>9.7908000000000008</v>
      </c>
      <c r="E475" s="70">
        <f t="shared" si="45"/>
        <v>-5.2092000000000001</v>
      </c>
      <c r="F475" s="71">
        <f t="shared" si="46"/>
        <v>-24.790800000000001</v>
      </c>
      <c r="G475" s="72">
        <f t="shared" si="47"/>
        <v>-9.7908000000000008</v>
      </c>
      <c r="H475" s="73">
        <f t="shared" si="48"/>
        <v>5.2092000000000001</v>
      </c>
    </row>
    <row r="476" spans="1:8" x14ac:dyDescent="0.25">
      <c r="A476" s="26">
        <v>-264</v>
      </c>
      <c r="B476" s="25">
        <v>0.17455000000000001</v>
      </c>
      <c r="C476" s="68">
        <f t="shared" si="43"/>
        <v>24.763500000000001</v>
      </c>
      <c r="D476" s="69">
        <f t="shared" si="44"/>
        <v>9.7635000000000005</v>
      </c>
      <c r="E476" s="70">
        <f t="shared" si="45"/>
        <v>-5.2365000000000004</v>
      </c>
      <c r="F476" s="71">
        <f t="shared" si="46"/>
        <v>-24.763500000000001</v>
      </c>
      <c r="G476" s="72">
        <f t="shared" si="47"/>
        <v>-9.7635000000000005</v>
      </c>
      <c r="H476" s="73">
        <f t="shared" si="48"/>
        <v>5.2365000000000004</v>
      </c>
    </row>
    <row r="477" spans="1:8" x14ac:dyDescent="0.25">
      <c r="A477" s="26">
        <v>-263</v>
      </c>
      <c r="B477" s="25">
        <v>0.17544999999999999</v>
      </c>
      <c r="C477" s="68">
        <f t="shared" si="43"/>
        <v>24.736499999999999</v>
      </c>
      <c r="D477" s="69">
        <f t="shared" si="44"/>
        <v>9.7364999999999995</v>
      </c>
      <c r="E477" s="70">
        <f t="shared" si="45"/>
        <v>-5.2634999999999996</v>
      </c>
      <c r="F477" s="71">
        <f t="shared" si="46"/>
        <v>-24.736499999999999</v>
      </c>
      <c r="G477" s="72">
        <f t="shared" si="47"/>
        <v>-9.7364999999999995</v>
      </c>
      <c r="H477" s="73">
        <f t="shared" si="48"/>
        <v>5.2634999999999996</v>
      </c>
    </row>
    <row r="478" spans="1:8" x14ac:dyDescent="0.25">
      <c r="A478" s="26">
        <v>-262</v>
      </c>
      <c r="B478" s="25">
        <v>0.17635999999999999</v>
      </c>
      <c r="C478" s="68">
        <f t="shared" si="43"/>
        <v>24.709199999999999</v>
      </c>
      <c r="D478" s="69">
        <f t="shared" si="44"/>
        <v>9.7091999999999992</v>
      </c>
      <c r="E478" s="70">
        <f t="shared" si="45"/>
        <v>-5.2907999999999999</v>
      </c>
      <c r="F478" s="71">
        <f t="shared" si="46"/>
        <v>-24.709199999999999</v>
      </c>
      <c r="G478" s="72">
        <f t="shared" si="47"/>
        <v>-9.7091999999999992</v>
      </c>
      <c r="H478" s="73">
        <f t="shared" si="48"/>
        <v>5.2907999999999999</v>
      </c>
    </row>
    <row r="479" spans="1:8" x14ac:dyDescent="0.25">
      <c r="A479" s="26">
        <v>-261</v>
      </c>
      <c r="B479" s="25">
        <v>0.17727000000000001</v>
      </c>
      <c r="C479" s="68">
        <f t="shared" si="43"/>
        <v>24.681899999999999</v>
      </c>
      <c r="D479" s="69">
        <f t="shared" si="44"/>
        <v>9.6818999999999988</v>
      </c>
      <c r="E479" s="70">
        <f t="shared" si="45"/>
        <v>-5.3181000000000003</v>
      </c>
      <c r="F479" s="71">
        <f t="shared" si="46"/>
        <v>-24.681899999999999</v>
      </c>
      <c r="G479" s="72">
        <f t="shared" si="47"/>
        <v>-9.6818999999999988</v>
      </c>
      <c r="H479" s="73">
        <f t="shared" si="48"/>
        <v>5.3181000000000003</v>
      </c>
    </row>
    <row r="480" spans="1:8" x14ac:dyDescent="0.25">
      <c r="A480" s="26">
        <v>-260</v>
      </c>
      <c r="B480" s="25">
        <v>0.17818000000000001</v>
      </c>
      <c r="C480" s="68">
        <f t="shared" si="43"/>
        <v>24.654600000000002</v>
      </c>
      <c r="D480" s="69">
        <f t="shared" si="44"/>
        <v>9.6546000000000003</v>
      </c>
      <c r="E480" s="70">
        <f t="shared" si="45"/>
        <v>-5.3453999999999997</v>
      </c>
      <c r="F480" s="71">
        <f t="shared" si="46"/>
        <v>-24.654600000000002</v>
      </c>
      <c r="G480" s="72">
        <f t="shared" si="47"/>
        <v>-9.6546000000000003</v>
      </c>
      <c r="H480" s="73">
        <f t="shared" si="48"/>
        <v>5.3453999999999997</v>
      </c>
    </row>
    <row r="481" spans="1:8" x14ac:dyDescent="0.25">
      <c r="A481" s="26">
        <v>-259</v>
      </c>
      <c r="B481" s="25">
        <v>0.17909</v>
      </c>
      <c r="C481" s="68">
        <f t="shared" si="43"/>
        <v>24.627299999999998</v>
      </c>
      <c r="D481" s="69">
        <f t="shared" si="44"/>
        <v>9.6273</v>
      </c>
      <c r="E481" s="70">
        <f t="shared" si="45"/>
        <v>-5.3727</v>
      </c>
      <c r="F481" s="71">
        <f t="shared" si="46"/>
        <v>-24.627299999999998</v>
      </c>
      <c r="G481" s="72">
        <f t="shared" si="47"/>
        <v>-9.6273</v>
      </c>
      <c r="H481" s="73">
        <f t="shared" si="48"/>
        <v>5.3727</v>
      </c>
    </row>
    <row r="482" spans="1:8" x14ac:dyDescent="0.25">
      <c r="A482" s="26">
        <v>-258</v>
      </c>
      <c r="B482" s="25">
        <v>0.18</v>
      </c>
      <c r="C482" s="68">
        <f t="shared" si="43"/>
        <v>24.6</v>
      </c>
      <c r="D482" s="69">
        <f t="shared" si="44"/>
        <v>9.6000000000000014</v>
      </c>
      <c r="E482" s="70">
        <f t="shared" si="45"/>
        <v>-5.3999999999999995</v>
      </c>
      <c r="F482" s="71">
        <f t="shared" si="46"/>
        <v>-24.6</v>
      </c>
      <c r="G482" s="72">
        <f t="shared" si="47"/>
        <v>-9.6000000000000014</v>
      </c>
      <c r="H482" s="73">
        <f t="shared" si="48"/>
        <v>5.3999999999999995</v>
      </c>
    </row>
    <row r="483" spans="1:8" x14ac:dyDescent="0.25">
      <c r="A483" s="26">
        <v>-257</v>
      </c>
      <c r="B483" s="25">
        <v>0.18090999999999999</v>
      </c>
      <c r="C483" s="68">
        <f t="shared" si="43"/>
        <v>24.572700000000001</v>
      </c>
      <c r="D483" s="69">
        <f t="shared" si="44"/>
        <v>9.5727000000000011</v>
      </c>
      <c r="E483" s="70">
        <f t="shared" si="45"/>
        <v>-5.4272999999999998</v>
      </c>
      <c r="F483" s="71">
        <f t="shared" si="46"/>
        <v>-24.572700000000001</v>
      </c>
      <c r="G483" s="72">
        <f t="shared" si="47"/>
        <v>-9.5727000000000011</v>
      </c>
      <c r="H483" s="73">
        <f t="shared" si="48"/>
        <v>5.4272999999999998</v>
      </c>
    </row>
    <row r="484" spans="1:8" x14ac:dyDescent="0.25">
      <c r="A484" s="26">
        <v>-256</v>
      </c>
      <c r="B484" s="25">
        <v>0.18182000000000001</v>
      </c>
      <c r="C484" s="68">
        <f t="shared" si="43"/>
        <v>24.545400000000001</v>
      </c>
      <c r="D484" s="69">
        <f t="shared" si="44"/>
        <v>9.5454000000000008</v>
      </c>
      <c r="E484" s="70">
        <f t="shared" si="45"/>
        <v>-5.4546000000000001</v>
      </c>
      <c r="F484" s="71">
        <f t="shared" si="46"/>
        <v>-24.545400000000001</v>
      </c>
      <c r="G484" s="72">
        <f t="shared" si="47"/>
        <v>-9.5454000000000008</v>
      </c>
      <c r="H484" s="73">
        <f t="shared" si="48"/>
        <v>5.4546000000000001</v>
      </c>
    </row>
    <row r="485" spans="1:8" x14ac:dyDescent="0.25">
      <c r="A485" s="26">
        <v>-255</v>
      </c>
      <c r="B485" s="25">
        <v>0.18273</v>
      </c>
      <c r="C485" s="68">
        <f t="shared" si="43"/>
        <v>24.5181</v>
      </c>
      <c r="D485" s="69">
        <f t="shared" si="44"/>
        <v>9.5181000000000004</v>
      </c>
      <c r="E485" s="70">
        <f t="shared" si="45"/>
        <v>-5.4819000000000004</v>
      </c>
      <c r="F485" s="71">
        <f t="shared" si="46"/>
        <v>-24.5181</v>
      </c>
      <c r="G485" s="72">
        <f t="shared" si="47"/>
        <v>-9.5181000000000004</v>
      </c>
      <c r="H485" s="73">
        <f t="shared" si="48"/>
        <v>5.4819000000000004</v>
      </c>
    </row>
    <row r="486" spans="1:8" x14ac:dyDescent="0.25">
      <c r="A486" s="26">
        <v>-254</v>
      </c>
      <c r="B486" s="25">
        <v>0.18364</v>
      </c>
      <c r="C486" s="68">
        <f t="shared" si="43"/>
        <v>24.4908</v>
      </c>
      <c r="D486" s="69">
        <f t="shared" si="44"/>
        <v>9.4908000000000001</v>
      </c>
      <c r="E486" s="70">
        <f t="shared" si="45"/>
        <v>-5.5091999999999999</v>
      </c>
      <c r="F486" s="71">
        <f t="shared" si="46"/>
        <v>-24.4908</v>
      </c>
      <c r="G486" s="72">
        <f t="shared" si="47"/>
        <v>-9.4908000000000001</v>
      </c>
      <c r="H486" s="73">
        <f t="shared" si="48"/>
        <v>5.5091999999999999</v>
      </c>
    </row>
    <row r="487" spans="1:8" x14ac:dyDescent="0.25">
      <c r="A487" s="26">
        <v>-253</v>
      </c>
      <c r="B487" s="25">
        <v>0.18454999999999999</v>
      </c>
      <c r="C487" s="68">
        <f t="shared" si="43"/>
        <v>24.4635</v>
      </c>
      <c r="D487" s="69">
        <f t="shared" si="44"/>
        <v>9.4634999999999998</v>
      </c>
      <c r="E487" s="70">
        <f t="shared" si="45"/>
        <v>-5.5365000000000002</v>
      </c>
      <c r="F487" s="71">
        <f t="shared" si="46"/>
        <v>-24.4635</v>
      </c>
      <c r="G487" s="72">
        <f t="shared" si="47"/>
        <v>-9.4634999999999998</v>
      </c>
      <c r="H487" s="73">
        <f t="shared" si="48"/>
        <v>5.5365000000000002</v>
      </c>
    </row>
    <row r="488" spans="1:8" x14ac:dyDescent="0.25">
      <c r="A488" s="26">
        <v>-252</v>
      </c>
      <c r="B488" s="25">
        <v>0.18545</v>
      </c>
      <c r="C488" s="68">
        <f t="shared" si="43"/>
        <v>24.436499999999999</v>
      </c>
      <c r="D488" s="69">
        <f t="shared" si="44"/>
        <v>9.4364999999999988</v>
      </c>
      <c r="E488" s="70">
        <f t="shared" si="45"/>
        <v>-5.5635000000000003</v>
      </c>
      <c r="F488" s="71">
        <f t="shared" si="46"/>
        <v>-24.436499999999999</v>
      </c>
      <c r="G488" s="72">
        <f t="shared" si="47"/>
        <v>-9.4364999999999988</v>
      </c>
      <c r="H488" s="73">
        <f t="shared" si="48"/>
        <v>5.5635000000000003</v>
      </c>
    </row>
    <row r="489" spans="1:8" x14ac:dyDescent="0.25">
      <c r="A489" s="26">
        <v>-251</v>
      </c>
      <c r="B489" s="25">
        <v>0.18636</v>
      </c>
      <c r="C489" s="68">
        <f t="shared" si="43"/>
        <v>24.409199999999998</v>
      </c>
      <c r="D489" s="69">
        <f t="shared" si="44"/>
        <v>9.4092000000000002</v>
      </c>
      <c r="E489" s="70">
        <f t="shared" si="45"/>
        <v>-5.5907999999999998</v>
      </c>
      <c r="F489" s="71">
        <f t="shared" si="46"/>
        <v>-24.409199999999998</v>
      </c>
      <c r="G489" s="72">
        <f t="shared" si="47"/>
        <v>-9.4092000000000002</v>
      </c>
      <c r="H489" s="73">
        <f t="shared" si="48"/>
        <v>5.5907999999999998</v>
      </c>
    </row>
    <row r="490" spans="1:8" x14ac:dyDescent="0.25">
      <c r="A490" s="26">
        <v>-250</v>
      </c>
      <c r="B490" s="25">
        <v>0.18726999999999999</v>
      </c>
      <c r="C490" s="68">
        <f t="shared" si="43"/>
        <v>24.381900000000002</v>
      </c>
      <c r="D490" s="69">
        <f t="shared" si="44"/>
        <v>9.3818999999999999</v>
      </c>
      <c r="E490" s="70">
        <f t="shared" si="45"/>
        <v>-5.6181000000000001</v>
      </c>
      <c r="F490" s="71">
        <f t="shared" si="46"/>
        <v>-24.381900000000002</v>
      </c>
      <c r="G490" s="72">
        <f t="shared" si="47"/>
        <v>-9.3818999999999999</v>
      </c>
      <c r="H490" s="73">
        <f t="shared" si="48"/>
        <v>5.6181000000000001</v>
      </c>
    </row>
    <row r="491" spans="1:8" x14ac:dyDescent="0.25">
      <c r="A491" s="26">
        <v>-249</v>
      </c>
      <c r="B491" s="25">
        <v>0.18817999999999999</v>
      </c>
      <c r="C491" s="68">
        <f t="shared" si="43"/>
        <v>24.354600000000001</v>
      </c>
      <c r="D491" s="69">
        <f t="shared" si="44"/>
        <v>9.3546000000000014</v>
      </c>
      <c r="E491" s="70">
        <f t="shared" si="45"/>
        <v>-5.6453999999999995</v>
      </c>
      <c r="F491" s="71">
        <f t="shared" si="46"/>
        <v>-24.354600000000001</v>
      </c>
      <c r="G491" s="72">
        <f t="shared" si="47"/>
        <v>-9.3546000000000014</v>
      </c>
      <c r="H491" s="73">
        <f t="shared" si="48"/>
        <v>5.6453999999999995</v>
      </c>
    </row>
    <row r="492" spans="1:8" x14ac:dyDescent="0.25">
      <c r="A492" s="26">
        <v>-248</v>
      </c>
      <c r="B492" s="25">
        <v>0.18909000000000001</v>
      </c>
      <c r="C492" s="68">
        <f t="shared" si="43"/>
        <v>24.327300000000001</v>
      </c>
      <c r="D492" s="69">
        <f t="shared" si="44"/>
        <v>9.327300000000001</v>
      </c>
      <c r="E492" s="70">
        <f t="shared" si="45"/>
        <v>-5.6726999999999999</v>
      </c>
      <c r="F492" s="71">
        <f t="shared" si="46"/>
        <v>-24.327300000000001</v>
      </c>
      <c r="G492" s="72">
        <f t="shared" si="47"/>
        <v>-9.327300000000001</v>
      </c>
      <c r="H492" s="73">
        <f t="shared" si="48"/>
        <v>5.6726999999999999</v>
      </c>
    </row>
    <row r="493" spans="1:8" x14ac:dyDescent="0.25">
      <c r="A493" s="26">
        <v>-247</v>
      </c>
      <c r="B493" s="25">
        <v>0.19</v>
      </c>
      <c r="C493" s="68">
        <f t="shared" si="43"/>
        <v>24.3</v>
      </c>
      <c r="D493" s="69">
        <f t="shared" si="44"/>
        <v>9.3000000000000007</v>
      </c>
      <c r="E493" s="70">
        <f t="shared" si="45"/>
        <v>-5.7</v>
      </c>
      <c r="F493" s="71">
        <f t="shared" si="46"/>
        <v>-24.3</v>
      </c>
      <c r="G493" s="72">
        <f t="shared" si="47"/>
        <v>-9.3000000000000007</v>
      </c>
      <c r="H493" s="73">
        <f t="shared" si="48"/>
        <v>5.7</v>
      </c>
    </row>
    <row r="494" spans="1:8" x14ac:dyDescent="0.25">
      <c r="A494" s="26">
        <v>-246</v>
      </c>
      <c r="B494" s="25">
        <v>0.191</v>
      </c>
      <c r="C494" s="68">
        <f t="shared" si="43"/>
        <v>24.27</v>
      </c>
      <c r="D494" s="69">
        <f t="shared" si="44"/>
        <v>9.27</v>
      </c>
      <c r="E494" s="70">
        <f t="shared" si="45"/>
        <v>-5.73</v>
      </c>
      <c r="F494" s="71">
        <f t="shared" si="46"/>
        <v>-24.27</v>
      </c>
      <c r="G494" s="72">
        <f t="shared" si="47"/>
        <v>-9.27</v>
      </c>
      <c r="H494" s="73">
        <f t="shared" si="48"/>
        <v>5.73</v>
      </c>
    </row>
    <row r="495" spans="1:8" x14ac:dyDescent="0.25">
      <c r="A495" s="26">
        <v>-245</v>
      </c>
      <c r="B495" s="25">
        <v>0.192</v>
      </c>
      <c r="C495" s="68">
        <f t="shared" si="43"/>
        <v>24.240000000000002</v>
      </c>
      <c r="D495" s="69">
        <f t="shared" si="44"/>
        <v>9.24</v>
      </c>
      <c r="E495" s="70">
        <f t="shared" si="45"/>
        <v>-5.76</v>
      </c>
      <c r="F495" s="71">
        <f t="shared" si="46"/>
        <v>-24.240000000000002</v>
      </c>
      <c r="G495" s="72">
        <f t="shared" si="47"/>
        <v>-9.24</v>
      </c>
      <c r="H495" s="73">
        <f t="shared" si="48"/>
        <v>5.76</v>
      </c>
    </row>
    <row r="496" spans="1:8" x14ac:dyDescent="0.25">
      <c r="A496" s="26">
        <v>-244</v>
      </c>
      <c r="B496" s="25">
        <v>0.193</v>
      </c>
      <c r="C496" s="68">
        <f t="shared" si="43"/>
        <v>24.21</v>
      </c>
      <c r="D496" s="69">
        <f t="shared" si="44"/>
        <v>9.2100000000000009</v>
      </c>
      <c r="E496" s="70">
        <f t="shared" si="45"/>
        <v>-5.79</v>
      </c>
      <c r="F496" s="71">
        <f t="shared" si="46"/>
        <v>-24.21</v>
      </c>
      <c r="G496" s="72">
        <f t="shared" si="47"/>
        <v>-9.2100000000000009</v>
      </c>
      <c r="H496" s="73">
        <f t="shared" si="48"/>
        <v>5.79</v>
      </c>
    </row>
    <row r="497" spans="1:8" x14ac:dyDescent="0.25">
      <c r="A497" s="26">
        <v>-243</v>
      </c>
      <c r="B497" s="25">
        <v>0.19400000000000001</v>
      </c>
      <c r="C497" s="68">
        <f t="shared" si="43"/>
        <v>24.18</v>
      </c>
      <c r="D497" s="69">
        <f t="shared" si="44"/>
        <v>9.18</v>
      </c>
      <c r="E497" s="70">
        <f t="shared" si="45"/>
        <v>-5.82</v>
      </c>
      <c r="F497" s="71">
        <f t="shared" si="46"/>
        <v>-24.18</v>
      </c>
      <c r="G497" s="72">
        <f t="shared" si="47"/>
        <v>-9.18</v>
      </c>
      <c r="H497" s="73">
        <f t="shared" si="48"/>
        <v>5.82</v>
      </c>
    </row>
    <row r="498" spans="1:8" x14ac:dyDescent="0.25">
      <c r="A498" s="26">
        <v>-242</v>
      </c>
      <c r="B498" s="25">
        <v>0.19500000000000001</v>
      </c>
      <c r="C498" s="68">
        <f t="shared" si="43"/>
        <v>24.15</v>
      </c>
      <c r="D498" s="69">
        <f t="shared" si="44"/>
        <v>9.1499999999999986</v>
      </c>
      <c r="E498" s="70">
        <f t="shared" si="45"/>
        <v>-5.8500000000000005</v>
      </c>
      <c r="F498" s="71">
        <f t="shared" si="46"/>
        <v>-24.15</v>
      </c>
      <c r="G498" s="72">
        <f t="shared" si="47"/>
        <v>-9.1499999999999986</v>
      </c>
      <c r="H498" s="73">
        <f t="shared" si="48"/>
        <v>5.8500000000000005</v>
      </c>
    </row>
    <row r="499" spans="1:8" x14ac:dyDescent="0.25">
      <c r="A499" s="26">
        <v>-241</v>
      </c>
      <c r="B499" s="25">
        <v>0.19600000000000001</v>
      </c>
      <c r="C499" s="68">
        <f t="shared" si="43"/>
        <v>24.12</v>
      </c>
      <c r="D499" s="69">
        <f t="shared" si="44"/>
        <v>9.120000000000001</v>
      </c>
      <c r="E499" s="70">
        <f t="shared" si="45"/>
        <v>-5.88</v>
      </c>
      <c r="F499" s="71">
        <f t="shared" si="46"/>
        <v>-24.12</v>
      </c>
      <c r="G499" s="72">
        <f t="shared" si="47"/>
        <v>-9.120000000000001</v>
      </c>
      <c r="H499" s="73">
        <f t="shared" si="48"/>
        <v>5.88</v>
      </c>
    </row>
    <row r="500" spans="1:8" x14ac:dyDescent="0.25">
      <c r="A500" s="26">
        <v>-240</v>
      </c>
      <c r="B500" s="25">
        <v>0.19700000000000001</v>
      </c>
      <c r="C500" s="68">
        <f t="shared" si="43"/>
        <v>24.09</v>
      </c>
      <c r="D500" s="69">
        <f t="shared" si="44"/>
        <v>9.09</v>
      </c>
      <c r="E500" s="70">
        <f t="shared" si="45"/>
        <v>-5.91</v>
      </c>
      <c r="F500" s="71">
        <f t="shared" si="46"/>
        <v>-24.09</v>
      </c>
      <c r="G500" s="72">
        <f t="shared" si="47"/>
        <v>-9.09</v>
      </c>
      <c r="H500" s="73">
        <f t="shared" si="48"/>
        <v>5.91</v>
      </c>
    </row>
    <row r="501" spans="1:8" x14ac:dyDescent="0.25">
      <c r="A501" s="26">
        <v>-239</v>
      </c>
      <c r="B501" s="25">
        <v>0.19800000000000001</v>
      </c>
      <c r="C501" s="68">
        <f t="shared" si="43"/>
        <v>24.06</v>
      </c>
      <c r="D501" s="69">
        <f t="shared" si="44"/>
        <v>9.0599999999999987</v>
      </c>
      <c r="E501" s="70">
        <f t="shared" si="45"/>
        <v>-5.94</v>
      </c>
      <c r="F501" s="71">
        <f t="shared" si="46"/>
        <v>-24.06</v>
      </c>
      <c r="G501" s="72">
        <f t="shared" si="47"/>
        <v>-9.0599999999999987</v>
      </c>
      <c r="H501" s="73">
        <f t="shared" si="48"/>
        <v>5.94</v>
      </c>
    </row>
    <row r="502" spans="1:8" x14ac:dyDescent="0.25">
      <c r="A502" s="26">
        <v>-238</v>
      </c>
      <c r="B502" s="25">
        <v>0.19900000000000001</v>
      </c>
      <c r="C502" s="68">
        <f t="shared" si="43"/>
        <v>24.03</v>
      </c>
      <c r="D502" s="69">
        <f t="shared" si="44"/>
        <v>9.0299999999999994</v>
      </c>
      <c r="E502" s="70">
        <f t="shared" si="45"/>
        <v>-5.9700000000000006</v>
      </c>
      <c r="F502" s="71">
        <f t="shared" si="46"/>
        <v>-24.03</v>
      </c>
      <c r="G502" s="72">
        <f t="shared" si="47"/>
        <v>-9.0299999999999994</v>
      </c>
      <c r="H502" s="73">
        <f t="shared" si="48"/>
        <v>5.9700000000000006</v>
      </c>
    </row>
    <row r="503" spans="1:8" x14ac:dyDescent="0.25">
      <c r="A503" s="26">
        <v>-237</v>
      </c>
      <c r="B503" s="25">
        <v>0.2</v>
      </c>
      <c r="C503" s="68">
        <f t="shared" si="43"/>
        <v>24</v>
      </c>
      <c r="D503" s="69">
        <f t="shared" si="44"/>
        <v>9</v>
      </c>
      <c r="E503" s="70">
        <f t="shared" si="45"/>
        <v>-6</v>
      </c>
      <c r="F503" s="71">
        <f t="shared" si="46"/>
        <v>-24</v>
      </c>
      <c r="G503" s="72">
        <f t="shared" si="47"/>
        <v>-9</v>
      </c>
      <c r="H503" s="73">
        <f t="shared" si="48"/>
        <v>6</v>
      </c>
    </row>
    <row r="504" spans="1:8" x14ac:dyDescent="0.25">
      <c r="A504" s="26">
        <v>-236</v>
      </c>
      <c r="B504" s="25">
        <v>0.20100000000000001</v>
      </c>
      <c r="C504" s="68">
        <f t="shared" si="43"/>
        <v>23.97</v>
      </c>
      <c r="D504" s="69">
        <f t="shared" si="44"/>
        <v>8.9699999999999989</v>
      </c>
      <c r="E504" s="70">
        <f t="shared" si="45"/>
        <v>-6.03</v>
      </c>
      <c r="F504" s="71">
        <f t="shared" si="46"/>
        <v>-23.97</v>
      </c>
      <c r="G504" s="72">
        <f t="shared" si="47"/>
        <v>-8.9699999999999989</v>
      </c>
      <c r="H504" s="73">
        <f t="shared" si="48"/>
        <v>6.03</v>
      </c>
    </row>
    <row r="505" spans="1:8" x14ac:dyDescent="0.25">
      <c r="A505" s="26">
        <v>-235</v>
      </c>
      <c r="B505" s="25">
        <v>0.20200000000000001</v>
      </c>
      <c r="C505" s="68">
        <f t="shared" si="43"/>
        <v>23.939999999999998</v>
      </c>
      <c r="D505" s="69">
        <f t="shared" si="44"/>
        <v>8.94</v>
      </c>
      <c r="E505" s="70">
        <f t="shared" si="45"/>
        <v>-6.0600000000000005</v>
      </c>
      <c r="F505" s="71">
        <f t="shared" si="46"/>
        <v>-23.939999999999998</v>
      </c>
      <c r="G505" s="72">
        <f t="shared" si="47"/>
        <v>-8.94</v>
      </c>
      <c r="H505" s="73">
        <f t="shared" si="48"/>
        <v>6.0600000000000005</v>
      </c>
    </row>
    <row r="506" spans="1:8" x14ac:dyDescent="0.25">
      <c r="A506" s="26">
        <v>-234</v>
      </c>
      <c r="B506" s="25">
        <v>0.20300000000000001</v>
      </c>
      <c r="C506" s="68">
        <f t="shared" si="43"/>
        <v>23.91</v>
      </c>
      <c r="D506" s="69">
        <f t="shared" si="44"/>
        <v>8.91</v>
      </c>
      <c r="E506" s="70">
        <f t="shared" si="45"/>
        <v>-6.0900000000000007</v>
      </c>
      <c r="F506" s="71">
        <f t="shared" si="46"/>
        <v>-23.91</v>
      </c>
      <c r="G506" s="72">
        <f t="shared" si="47"/>
        <v>-8.91</v>
      </c>
      <c r="H506" s="73">
        <f t="shared" si="48"/>
        <v>6.0900000000000007</v>
      </c>
    </row>
    <row r="507" spans="1:8" x14ac:dyDescent="0.25">
      <c r="A507" s="26">
        <v>-233</v>
      </c>
      <c r="B507" s="25">
        <v>0.20399999999999999</v>
      </c>
      <c r="C507" s="68">
        <f t="shared" si="43"/>
        <v>23.880000000000003</v>
      </c>
      <c r="D507" s="69">
        <f t="shared" si="44"/>
        <v>8.8800000000000008</v>
      </c>
      <c r="E507" s="70">
        <f t="shared" si="45"/>
        <v>-6.1199999999999992</v>
      </c>
      <c r="F507" s="71">
        <f t="shared" si="46"/>
        <v>-23.880000000000003</v>
      </c>
      <c r="G507" s="72">
        <f t="shared" si="47"/>
        <v>-8.8800000000000008</v>
      </c>
      <c r="H507" s="73">
        <f t="shared" si="48"/>
        <v>6.1199999999999992</v>
      </c>
    </row>
    <row r="508" spans="1:8" x14ac:dyDescent="0.25">
      <c r="A508" s="26">
        <v>-232</v>
      </c>
      <c r="B508" s="25">
        <v>0.20499999999999999</v>
      </c>
      <c r="C508" s="68">
        <f t="shared" si="43"/>
        <v>23.85</v>
      </c>
      <c r="D508" s="69">
        <f t="shared" si="44"/>
        <v>8.8500000000000014</v>
      </c>
      <c r="E508" s="70">
        <f t="shared" si="45"/>
        <v>-6.1499999999999995</v>
      </c>
      <c r="F508" s="71">
        <f t="shared" si="46"/>
        <v>-23.85</v>
      </c>
      <c r="G508" s="72">
        <f t="shared" si="47"/>
        <v>-8.8500000000000014</v>
      </c>
      <c r="H508" s="73">
        <f t="shared" si="48"/>
        <v>6.1499999999999995</v>
      </c>
    </row>
    <row r="509" spans="1:8" x14ac:dyDescent="0.25">
      <c r="A509" s="26">
        <v>-231</v>
      </c>
      <c r="B509" s="25">
        <v>0.20599999999999999</v>
      </c>
      <c r="C509" s="68">
        <f t="shared" si="43"/>
        <v>23.82</v>
      </c>
      <c r="D509" s="69">
        <f t="shared" si="44"/>
        <v>8.82</v>
      </c>
      <c r="E509" s="70">
        <f t="shared" si="45"/>
        <v>-6.18</v>
      </c>
      <c r="F509" s="71">
        <f t="shared" si="46"/>
        <v>-23.82</v>
      </c>
      <c r="G509" s="72">
        <f t="shared" si="47"/>
        <v>-8.82</v>
      </c>
      <c r="H509" s="73">
        <f t="shared" si="48"/>
        <v>6.18</v>
      </c>
    </row>
    <row r="510" spans="1:8" x14ac:dyDescent="0.25">
      <c r="A510" s="26">
        <v>-230</v>
      </c>
      <c r="B510" s="25">
        <v>0.20699999999999999</v>
      </c>
      <c r="C510" s="68">
        <f t="shared" si="43"/>
        <v>23.79</v>
      </c>
      <c r="D510" s="69">
        <f t="shared" si="44"/>
        <v>8.7899999999999991</v>
      </c>
      <c r="E510" s="70">
        <f t="shared" si="45"/>
        <v>-6.21</v>
      </c>
      <c r="F510" s="71">
        <f t="shared" si="46"/>
        <v>-23.79</v>
      </c>
      <c r="G510" s="72">
        <f t="shared" si="47"/>
        <v>-8.7899999999999991</v>
      </c>
      <c r="H510" s="73">
        <f t="shared" si="48"/>
        <v>6.21</v>
      </c>
    </row>
    <row r="511" spans="1:8" x14ac:dyDescent="0.25">
      <c r="A511" s="26">
        <v>-229</v>
      </c>
      <c r="B511" s="25">
        <v>0.20799999999999999</v>
      </c>
      <c r="C511" s="68">
        <f t="shared" si="43"/>
        <v>23.76</v>
      </c>
      <c r="D511" s="69">
        <f t="shared" si="44"/>
        <v>8.7600000000000016</v>
      </c>
      <c r="E511" s="70">
        <f t="shared" si="45"/>
        <v>-6.2399999999999993</v>
      </c>
      <c r="F511" s="71">
        <f t="shared" si="46"/>
        <v>-23.76</v>
      </c>
      <c r="G511" s="72">
        <f t="shared" si="47"/>
        <v>-8.7600000000000016</v>
      </c>
      <c r="H511" s="73">
        <f t="shared" si="48"/>
        <v>6.2399999999999993</v>
      </c>
    </row>
    <row r="512" spans="1:8" x14ac:dyDescent="0.25">
      <c r="A512" s="26">
        <v>-228</v>
      </c>
      <c r="B512" s="25">
        <v>0.20899999999999999</v>
      </c>
      <c r="C512" s="68">
        <f t="shared" si="43"/>
        <v>23.73</v>
      </c>
      <c r="D512" s="69">
        <f t="shared" si="44"/>
        <v>8.73</v>
      </c>
      <c r="E512" s="70">
        <f t="shared" si="45"/>
        <v>-6.27</v>
      </c>
      <c r="F512" s="71">
        <f t="shared" si="46"/>
        <v>-23.73</v>
      </c>
      <c r="G512" s="72">
        <f t="shared" si="47"/>
        <v>-8.73</v>
      </c>
      <c r="H512" s="73">
        <f t="shared" si="48"/>
        <v>6.27</v>
      </c>
    </row>
    <row r="513" spans="1:8" x14ac:dyDescent="0.25">
      <c r="A513" s="26">
        <v>-227</v>
      </c>
      <c r="B513" s="25">
        <v>0.21</v>
      </c>
      <c r="C513" s="68">
        <f t="shared" si="43"/>
        <v>23.7</v>
      </c>
      <c r="D513" s="69">
        <f t="shared" si="44"/>
        <v>8.6999999999999993</v>
      </c>
      <c r="E513" s="70">
        <f t="shared" si="45"/>
        <v>-6.3</v>
      </c>
      <c r="F513" s="71">
        <f t="shared" si="46"/>
        <v>-23.7</v>
      </c>
      <c r="G513" s="72">
        <f t="shared" si="47"/>
        <v>-8.6999999999999993</v>
      </c>
      <c r="H513" s="73">
        <f t="shared" si="48"/>
        <v>6.3</v>
      </c>
    </row>
    <row r="514" spans="1:8" x14ac:dyDescent="0.25">
      <c r="A514" s="26">
        <v>-226</v>
      </c>
      <c r="B514" s="25">
        <v>0.21099999999999999</v>
      </c>
      <c r="C514" s="68">
        <f t="shared" si="43"/>
        <v>23.67</v>
      </c>
      <c r="D514" s="69">
        <f t="shared" si="44"/>
        <v>8.67</v>
      </c>
      <c r="E514" s="70">
        <f t="shared" si="45"/>
        <v>-6.33</v>
      </c>
      <c r="F514" s="71">
        <f t="shared" si="46"/>
        <v>-23.67</v>
      </c>
      <c r="G514" s="72">
        <f t="shared" si="47"/>
        <v>-8.67</v>
      </c>
      <c r="H514" s="73">
        <f t="shared" si="48"/>
        <v>6.33</v>
      </c>
    </row>
    <row r="515" spans="1:8" x14ac:dyDescent="0.25">
      <c r="A515" s="26">
        <v>-225</v>
      </c>
      <c r="B515" s="25">
        <v>0.21199999999999999</v>
      </c>
      <c r="C515" s="68">
        <f t="shared" si="43"/>
        <v>23.64</v>
      </c>
      <c r="D515" s="69">
        <f t="shared" si="44"/>
        <v>8.64</v>
      </c>
      <c r="E515" s="70">
        <f t="shared" si="45"/>
        <v>-6.3599999999999994</v>
      </c>
      <c r="F515" s="71">
        <f t="shared" si="46"/>
        <v>-23.64</v>
      </c>
      <c r="G515" s="72">
        <f t="shared" si="47"/>
        <v>-8.64</v>
      </c>
      <c r="H515" s="73">
        <f t="shared" si="48"/>
        <v>6.3599999999999994</v>
      </c>
    </row>
    <row r="516" spans="1:8" x14ac:dyDescent="0.25">
      <c r="A516" s="26">
        <v>-224</v>
      </c>
      <c r="B516" s="25">
        <v>0.21299999999999999</v>
      </c>
      <c r="C516" s="68">
        <f t="shared" si="43"/>
        <v>23.61</v>
      </c>
      <c r="D516" s="69">
        <f t="shared" si="44"/>
        <v>8.61</v>
      </c>
      <c r="E516" s="70">
        <f t="shared" si="45"/>
        <v>-6.39</v>
      </c>
      <c r="F516" s="71">
        <f t="shared" si="46"/>
        <v>-23.61</v>
      </c>
      <c r="G516" s="72">
        <f t="shared" si="47"/>
        <v>-8.61</v>
      </c>
      <c r="H516" s="73">
        <f t="shared" si="48"/>
        <v>6.39</v>
      </c>
    </row>
    <row r="517" spans="1:8" x14ac:dyDescent="0.25">
      <c r="A517" s="26">
        <v>-223</v>
      </c>
      <c r="B517" s="25">
        <v>0.214</v>
      </c>
      <c r="C517" s="68">
        <f t="shared" si="43"/>
        <v>23.58</v>
      </c>
      <c r="D517" s="69">
        <f t="shared" si="44"/>
        <v>8.58</v>
      </c>
      <c r="E517" s="70">
        <f t="shared" si="45"/>
        <v>-6.42</v>
      </c>
      <c r="F517" s="71">
        <f t="shared" si="46"/>
        <v>-23.58</v>
      </c>
      <c r="G517" s="72">
        <f t="shared" si="47"/>
        <v>-8.58</v>
      </c>
      <c r="H517" s="73">
        <f t="shared" si="48"/>
        <v>6.42</v>
      </c>
    </row>
    <row r="518" spans="1:8" x14ac:dyDescent="0.25">
      <c r="A518" s="26">
        <v>-222</v>
      </c>
      <c r="B518" s="25">
        <v>0.215</v>
      </c>
      <c r="C518" s="68">
        <f t="shared" si="43"/>
        <v>23.55</v>
      </c>
      <c r="D518" s="69">
        <f t="shared" si="44"/>
        <v>8.5500000000000007</v>
      </c>
      <c r="E518" s="70">
        <f t="shared" si="45"/>
        <v>-6.45</v>
      </c>
      <c r="F518" s="71">
        <f t="shared" si="46"/>
        <v>-23.55</v>
      </c>
      <c r="G518" s="72">
        <f t="shared" si="47"/>
        <v>-8.5500000000000007</v>
      </c>
      <c r="H518" s="73">
        <f t="shared" si="48"/>
        <v>6.45</v>
      </c>
    </row>
    <row r="519" spans="1:8" x14ac:dyDescent="0.25">
      <c r="A519" s="26">
        <v>-221</v>
      </c>
      <c r="B519" s="25">
        <v>0.216</v>
      </c>
      <c r="C519" s="68">
        <f t="shared" ref="C519:C582" si="49">KFactor-KFactor*B519</f>
        <v>23.52</v>
      </c>
      <c r="D519" s="69">
        <f t="shared" ref="D519:D582" si="50">KFactor/2-KFactor*B519</f>
        <v>8.52</v>
      </c>
      <c r="E519" s="70">
        <f t="shared" ref="E519:E582" si="51">0-KFactor*B519</f>
        <v>-6.4799999999999995</v>
      </c>
      <c r="F519" s="71">
        <f t="shared" ref="F519:F582" si="52">-C519</f>
        <v>-23.52</v>
      </c>
      <c r="G519" s="72">
        <f t="shared" ref="G519:G582" si="53">-D519</f>
        <v>-8.52</v>
      </c>
      <c r="H519" s="73">
        <f t="shared" ref="H519:H582" si="54">-E519</f>
        <v>6.4799999999999995</v>
      </c>
    </row>
    <row r="520" spans="1:8" x14ac:dyDescent="0.25">
      <c r="A520" s="26">
        <v>-220</v>
      </c>
      <c r="B520" s="25">
        <v>0.217</v>
      </c>
      <c r="C520" s="68">
        <f t="shared" si="49"/>
        <v>23.490000000000002</v>
      </c>
      <c r="D520" s="69">
        <f t="shared" si="50"/>
        <v>8.49</v>
      </c>
      <c r="E520" s="70">
        <f t="shared" si="51"/>
        <v>-6.51</v>
      </c>
      <c r="F520" s="71">
        <f t="shared" si="52"/>
        <v>-23.490000000000002</v>
      </c>
      <c r="G520" s="72">
        <f t="shared" si="53"/>
        <v>-8.49</v>
      </c>
      <c r="H520" s="73">
        <f t="shared" si="54"/>
        <v>6.51</v>
      </c>
    </row>
    <row r="521" spans="1:8" x14ac:dyDescent="0.25">
      <c r="A521" s="26">
        <v>-219</v>
      </c>
      <c r="B521" s="25">
        <v>0.218</v>
      </c>
      <c r="C521" s="68">
        <f t="shared" si="49"/>
        <v>23.46</v>
      </c>
      <c r="D521" s="69">
        <f t="shared" si="50"/>
        <v>8.4600000000000009</v>
      </c>
      <c r="E521" s="70">
        <f t="shared" si="51"/>
        <v>-6.54</v>
      </c>
      <c r="F521" s="71">
        <f t="shared" si="52"/>
        <v>-23.46</v>
      </c>
      <c r="G521" s="72">
        <f t="shared" si="53"/>
        <v>-8.4600000000000009</v>
      </c>
      <c r="H521" s="73">
        <f t="shared" si="54"/>
        <v>6.54</v>
      </c>
    </row>
    <row r="522" spans="1:8" x14ac:dyDescent="0.25">
      <c r="A522" s="26">
        <v>-218</v>
      </c>
      <c r="B522" s="25">
        <v>0.219</v>
      </c>
      <c r="C522" s="68">
        <f t="shared" si="49"/>
        <v>23.43</v>
      </c>
      <c r="D522" s="69">
        <f t="shared" si="50"/>
        <v>8.43</v>
      </c>
      <c r="E522" s="70">
        <f t="shared" si="51"/>
        <v>-6.57</v>
      </c>
      <c r="F522" s="71">
        <f t="shared" si="52"/>
        <v>-23.43</v>
      </c>
      <c r="G522" s="72">
        <f t="shared" si="53"/>
        <v>-8.43</v>
      </c>
      <c r="H522" s="73">
        <f t="shared" si="54"/>
        <v>6.57</v>
      </c>
    </row>
    <row r="523" spans="1:8" x14ac:dyDescent="0.25">
      <c r="A523" s="26">
        <v>-217</v>
      </c>
      <c r="B523" s="25">
        <v>0.22</v>
      </c>
      <c r="C523" s="68">
        <f t="shared" si="49"/>
        <v>23.4</v>
      </c>
      <c r="D523" s="69">
        <f t="shared" si="50"/>
        <v>8.4</v>
      </c>
      <c r="E523" s="70">
        <f t="shared" si="51"/>
        <v>-6.6</v>
      </c>
      <c r="F523" s="71">
        <f t="shared" si="52"/>
        <v>-23.4</v>
      </c>
      <c r="G523" s="72">
        <f t="shared" si="53"/>
        <v>-8.4</v>
      </c>
      <c r="H523" s="73">
        <f t="shared" si="54"/>
        <v>6.6</v>
      </c>
    </row>
    <row r="524" spans="1:8" x14ac:dyDescent="0.25">
      <c r="A524" s="26">
        <v>-216</v>
      </c>
      <c r="B524" s="25">
        <v>0.22111</v>
      </c>
      <c r="C524" s="68">
        <f t="shared" si="49"/>
        <v>23.366700000000002</v>
      </c>
      <c r="D524" s="69">
        <f t="shared" si="50"/>
        <v>8.3666999999999998</v>
      </c>
      <c r="E524" s="70">
        <f t="shared" si="51"/>
        <v>-6.6333000000000002</v>
      </c>
      <c r="F524" s="71">
        <f t="shared" si="52"/>
        <v>-23.366700000000002</v>
      </c>
      <c r="G524" s="72">
        <f t="shared" si="53"/>
        <v>-8.3666999999999998</v>
      </c>
      <c r="H524" s="73">
        <f t="shared" si="54"/>
        <v>6.6333000000000002</v>
      </c>
    </row>
    <row r="525" spans="1:8" x14ac:dyDescent="0.25">
      <c r="A525" s="26">
        <v>-215</v>
      </c>
      <c r="B525" s="25">
        <v>0.22222</v>
      </c>
      <c r="C525" s="68">
        <f t="shared" si="49"/>
        <v>23.333400000000001</v>
      </c>
      <c r="D525" s="69">
        <f t="shared" si="50"/>
        <v>8.333400000000001</v>
      </c>
      <c r="E525" s="70">
        <f t="shared" si="51"/>
        <v>-6.6665999999999999</v>
      </c>
      <c r="F525" s="71">
        <f t="shared" si="52"/>
        <v>-23.333400000000001</v>
      </c>
      <c r="G525" s="72">
        <f t="shared" si="53"/>
        <v>-8.333400000000001</v>
      </c>
      <c r="H525" s="73">
        <f t="shared" si="54"/>
        <v>6.6665999999999999</v>
      </c>
    </row>
    <row r="526" spans="1:8" x14ac:dyDescent="0.25">
      <c r="A526" s="26">
        <v>-214</v>
      </c>
      <c r="B526" s="25">
        <v>0.22333</v>
      </c>
      <c r="C526" s="68">
        <f t="shared" si="49"/>
        <v>23.3001</v>
      </c>
      <c r="D526" s="69">
        <f t="shared" si="50"/>
        <v>8.3001000000000005</v>
      </c>
      <c r="E526" s="70">
        <f t="shared" si="51"/>
        <v>-6.6999000000000004</v>
      </c>
      <c r="F526" s="71">
        <f t="shared" si="52"/>
        <v>-23.3001</v>
      </c>
      <c r="G526" s="72">
        <f t="shared" si="53"/>
        <v>-8.3001000000000005</v>
      </c>
      <c r="H526" s="73">
        <f t="shared" si="54"/>
        <v>6.6999000000000004</v>
      </c>
    </row>
    <row r="527" spans="1:8" x14ac:dyDescent="0.25">
      <c r="A527" s="26">
        <v>-213</v>
      </c>
      <c r="B527" s="25">
        <v>0.22444</v>
      </c>
      <c r="C527" s="68">
        <f t="shared" si="49"/>
        <v>23.2668</v>
      </c>
      <c r="D527" s="69">
        <f t="shared" si="50"/>
        <v>8.2667999999999999</v>
      </c>
      <c r="E527" s="70">
        <f t="shared" si="51"/>
        <v>-6.7332000000000001</v>
      </c>
      <c r="F527" s="71">
        <f t="shared" si="52"/>
        <v>-23.2668</v>
      </c>
      <c r="G527" s="72">
        <f t="shared" si="53"/>
        <v>-8.2667999999999999</v>
      </c>
      <c r="H527" s="73">
        <f t="shared" si="54"/>
        <v>6.7332000000000001</v>
      </c>
    </row>
    <row r="528" spans="1:8" x14ac:dyDescent="0.25">
      <c r="A528" s="26">
        <v>-212</v>
      </c>
      <c r="B528" s="25">
        <v>0.22556000000000001</v>
      </c>
      <c r="C528" s="68">
        <f t="shared" si="49"/>
        <v>23.2332</v>
      </c>
      <c r="D528" s="69">
        <f t="shared" si="50"/>
        <v>8.2332000000000001</v>
      </c>
      <c r="E528" s="70">
        <f t="shared" si="51"/>
        <v>-6.7667999999999999</v>
      </c>
      <c r="F528" s="71">
        <f t="shared" si="52"/>
        <v>-23.2332</v>
      </c>
      <c r="G528" s="72">
        <f t="shared" si="53"/>
        <v>-8.2332000000000001</v>
      </c>
      <c r="H528" s="73">
        <f t="shared" si="54"/>
        <v>6.7667999999999999</v>
      </c>
    </row>
    <row r="529" spans="1:8" x14ac:dyDescent="0.25">
      <c r="A529" s="26">
        <v>-211</v>
      </c>
      <c r="B529" s="25">
        <v>0.22667000000000001</v>
      </c>
      <c r="C529" s="68">
        <f t="shared" si="49"/>
        <v>23.1999</v>
      </c>
      <c r="D529" s="69">
        <f t="shared" si="50"/>
        <v>8.1998999999999995</v>
      </c>
      <c r="E529" s="70">
        <f t="shared" si="51"/>
        <v>-6.8001000000000005</v>
      </c>
      <c r="F529" s="71">
        <f t="shared" si="52"/>
        <v>-23.1999</v>
      </c>
      <c r="G529" s="72">
        <f t="shared" si="53"/>
        <v>-8.1998999999999995</v>
      </c>
      <c r="H529" s="73">
        <f t="shared" si="54"/>
        <v>6.8001000000000005</v>
      </c>
    </row>
    <row r="530" spans="1:8" x14ac:dyDescent="0.25">
      <c r="A530" s="26">
        <v>-210</v>
      </c>
      <c r="B530" s="25">
        <v>0.22778000000000001</v>
      </c>
      <c r="C530" s="68">
        <f t="shared" si="49"/>
        <v>23.166599999999999</v>
      </c>
      <c r="D530" s="69">
        <f t="shared" si="50"/>
        <v>8.166599999999999</v>
      </c>
      <c r="E530" s="70">
        <f t="shared" si="51"/>
        <v>-6.8334000000000001</v>
      </c>
      <c r="F530" s="71">
        <f t="shared" si="52"/>
        <v>-23.166599999999999</v>
      </c>
      <c r="G530" s="72">
        <f t="shared" si="53"/>
        <v>-8.166599999999999</v>
      </c>
      <c r="H530" s="73">
        <f t="shared" si="54"/>
        <v>6.8334000000000001</v>
      </c>
    </row>
    <row r="531" spans="1:8" x14ac:dyDescent="0.25">
      <c r="A531" s="26">
        <v>-209</v>
      </c>
      <c r="B531" s="25">
        <v>0.22889000000000001</v>
      </c>
      <c r="C531" s="68">
        <f t="shared" si="49"/>
        <v>23.133299999999998</v>
      </c>
      <c r="D531" s="69">
        <f t="shared" si="50"/>
        <v>8.1332999999999984</v>
      </c>
      <c r="E531" s="70">
        <f t="shared" si="51"/>
        <v>-6.8667000000000007</v>
      </c>
      <c r="F531" s="71">
        <f t="shared" si="52"/>
        <v>-23.133299999999998</v>
      </c>
      <c r="G531" s="72">
        <f t="shared" si="53"/>
        <v>-8.1332999999999984</v>
      </c>
      <c r="H531" s="73">
        <f t="shared" si="54"/>
        <v>6.8667000000000007</v>
      </c>
    </row>
    <row r="532" spans="1:8" x14ac:dyDescent="0.25">
      <c r="A532" s="26">
        <v>-208</v>
      </c>
      <c r="B532" s="25">
        <v>0.23</v>
      </c>
      <c r="C532" s="68">
        <f t="shared" si="49"/>
        <v>23.1</v>
      </c>
      <c r="D532" s="69">
        <f t="shared" si="50"/>
        <v>8.1</v>
      </c>
      <c r="E532" s="70">
        <f t="shared" si="51"/>
        <v>-6.9</v>
      </c>
      <c r="F532" s="71">
        <f t="shared" si="52"/>
        <v>-23.1</v>
      </c>
      <c r="G532" s="72">
        <f t="shared" si="53"/>
        <v>-8.1</v>
      </c>
      <c r="H532" s="73">
        <f t="shared" si="54"/>
        <v>6.9</v>
      </c>
    </row>
    <row r="533" spans="1:8" x14ac:dyDescent="0.25">
      <c r="A533" s="26">
        <v>-207</v>
      </c>
      <c r="B533" s="25">
        <v>0.23111000000000001</v>
      </c>
      <c r="C533" s="68">
        <f t="shared" si="49"/>
        <v>23.066700000000001</v>
      </c>
      <c r="D533" s="69">
        <f t="shared" si="50"/>
        <v>8.0667000000000009</v>
      </c>
      <c r="E533" s="70">
        <f t="shared" si="51"/>
        <v>-6.9333</v>
      </c>
      <c r="F533" s="71">
        <f t="shared" si="52"/>
        <v>-23.066700000000001</v>
      </c>
      <c r="G533" s="72">
        <f t="shared" si="53"/>
        <v>-8.0667000000000009</v>
      </c>
      <c r="H533" s="73">
        <f t="shared" si="54"/>
        <v>6.9333</v>
      </c>
    </row>
    <row r="534" spans="1:8" x14ac:dyDescent="0.25">
      <c r="A534" s="26">
        <v>-206</v>
      </c>
      <c r="B534" s="25">
        <v>0.23222000000000001</v>
      </c>
      <c r="C534" s="68">
        <f t="shared" si="49"/>
        <v>23.0334</v>
      </c>
      <c r="D534" s="69">
        <f t="shared" si="50"/>
        <v>8.0334000000000003</v>
      </c>
      <c r="E534" s="70">
        <f t="shared" si="51"/>
        <v>-6.9666000000000006</v>
      </c>
      <c r="F534" s="71">
        <f t="shared" si="52"/>
        <v>-23.0334</v>
      </c>
      <c r="G534" s="72">
        <f t="shared" si="53"/>
        <v>-8.0334000000000003</v>
      </c>
      <c r="H534" s="73">
        <f t="shared" si="54"/>
        <v>6.9666000000000006</v>
      </c>
    </row>
    <row r="535" spans="1:8" x14ac:dyDescent="0.25">
      <c r="A535" s="26">
        <v>-205</v>
      </c>
      <c r="B535" s="25">
        <v>0.23333000000000001</v>
      </c>
      <c r="C535" s="68">
        <f t="shared" si="49"/>
        <v>23.0001</v>
      </c>
      <c r="D535" s="69">
        <f t="shared" si="50"/>
        <v>8.0000999999999998</v>
      </c>
      <c r="E535" s="70">
        <f t="shared" si="51"/>
        <v>-6.9999000000000002</v>
      </c>
      <c r="F535" s="71">
        <f t="shared" si="52"/>
        <v>-23.0001</v>
      </c>
      <c r="G535" s="72">
        <f t="shared" si="53"/>
        <v>-8.0000999999999998</v>
      </c>
      <c r="H535" s="73">
        <f t="shared" si="54"/>
        <v>6.9999000000000002</v>
      </c>
    </row>
    <row r="536" spans="1:8" x14ac:dyDescent="0.25">
      <c r="A536" s="26">
        <v>-204</v>
      </c>
      <c r="B536" s="25">
        <v>0.23444000000000001</v>
      </c>
      <c r="C536" s="68">
        <f t="shared" si="49"/>
        <v>22.966799999999999</v>
      </c>
      <c r="D536" s="69">
        <f t="shared" si="50"/>
        <v>7.9668000000000001</v>
      </c>
      <c r="E536" s="70">
        <f t="shared" si="51"/>
        <v>-7.0331999999999999</v>
      </c>
      <c r="F536" s="71">
        <f t="shared" si="52"/>
        <v>-22.966799999999999</v>
      </c>
      <c r="G536" s="72">
        <f t="shared" si="53"/>
        <v>-7.9668000000000001</v>
      </c>
      <c r="H536" s="73">
        <f t="shared" si="54"/>
        <v>7.0331999999999999</v>
      </c>
    </row>
    <row r="537" spans="1:8" x14ac:dyDescent="0.25">
      <c r="A537" s="26">
        <v>-203</v>
      </c>
      <c r="B537" s="25">
        <v>0.23555999999999999</v>
      </c>
      <c r="C537" s="68">
        <f t="shared" si="49"/>
        <v>22.933199999999999</v>
      </c>
      <c r="D537" s="69">
        <f t="shared" si="50"/>
        <v>7.9332000000000003</v>
      </c>
      <c r="E537" s="70">
        <f t="shared" si="51"/>
        <v>-7.0667999999999997</v>
      </c>
      <c r="F537" s="71">
        <f t="shared" si="52"/>
        <v>-22.933199999999999</v>
      </c>
      <c r="G537" s="72">
        <f t="shared" si="53"/>
        <v>-7.9332000000000003</v>
      </c>
      <c r="H537" s="73">
        <f t="shared" si="54"/>
        <v>7.0667999999999997</v>
      </c>
    </row>
    <row r="538" spans="1:8" x14ac:dyDescent="0.25">
      <c r="A538" s="26">
        <v>-202</v>
      </c>
      <c r="B538" s="25">
        <v>0.23666999999999999</v>
      </c>
      <c r="C538" s="68">
        <f t="shared" si="49"/>
        <v>22.899900000000002</v>
      </c>
      <c r="D538" s="69">
        <f t="shared" si="50"/>
        <v>7.8999000000000006</v>
      </c>
      <c r="E538" s="70">
        <f t="shared" si="51"/>
        <v>-7.1000999999999994</v>
      </c>
      <c r="F538" s="71">
        <f t="shared" si="52"/>
        <v>-22.899900000000002</v>
      </c>
      <c r="G538" s="72">
        <f t="shared" si="53"/>
        <v>-7.8999000000000006</v>
      </c>
      <c r="H538" s="73">
        <f t="shared" si="54"/>
        <v>7.1000999999999994</v>
      </c>
    </row>
    <row r="539" spans="1:8" x14ac:dyDescent="0.25">
      <c r="A539" s="26">
        <v>-201</v>
      </c>
      <c r="B539" s="25">
        <v>0.23777999999999999</v>
      </c>
      <c r="C539" s="68">
        <f t="shared" si="49"/>
        <v>22.866599999999998</v>
      </c>
      <c r="D539" s="69">
        <f t="shared" si="50"/>
        <v>7.8666</v>
      </c>
      <c r="E539" s="70">
        <f t="shared" si="51"/>
        <v>-7.1334</v>
      </c>
      <c r="F539" s="71">
        <f t="shared" si="52"/>
        <v>-22.866599999999998</v>
      </c>
      <c r="G539" s="72">
        <f t="shared" si="53"/>
        <v>-7.8666</v>
      </c>
      <c r="H539" s="73">
        <f t="shared" si="54"/>
        <v>7.1334</v>
      </c>
    </row>
    <row r="540" spans="1:8" x14ac:dyDescent="0.25">
      <c r="A540" s="26">
        <v>-200</v>
      </c>
      <c r="B540" s="25">
        <v>0.23888999999999999</v>
      </c>
      <c r="C540" s="68">
        <f t="shared" si="49"/>
        <v>22.833300000000001</v>
      </c>
      <c r="D540" s="69">
        <f t="shared" si="50"/>
        <v>7.8333000000000004</v>
      </c>
      <c r="E540" s="70">
        <f t="shared" si="51"/>
        <v>-7.1666999999999996</v>
      </c>
      <c r="F540" s="71">
        <f t="shared" si="52"/>
        <v>-22.833300000000001</v>
      </c>
      <c r="G540" s="72">
        <f t="shared" si="53"/>
        <v>-7.8333000000000004</v>
      </c>
      <c r="H540" s="73">
        <f t="shared" si="54"/>
        <v>7.1666999999999996</v>
      </c>
    </row>
    <row r="541" spans="1:8" x14ac:dyDescent="0.25">
      <c r="A541" s="26">
        <v>-199</v>
      </c>
      <c r="B541" s="25">
        <v>0.24</v>
      </c>
      <c r="C541" s="68">
        <f t="shared" si="49"/>
        <v>22.8</v>
      </c>
      <c r="D541" s="69">
        <f t="shared" si="50"/>
        <v>7.8000000000000007</v>
      </c>
      <c r="E541" s="70">
        <f t="shared" si="51"/>
        <v>-7.1999999999999993</v>
      </c>
      <c r="F541" s="71">
        <f t="shared" si="52"/>
        <v>-22.8</v>
      </c>
      <c r="G541" s="72">
        <f t="shared" si="53"/>
        <v>-7.8000000000000007</v>
      </c>
      <c r="H541" s="73">
        <f t="shared" si="54"/>
        <v>7.1999999999999993</v>
      </c>
    </row>
    <row r="542" spans="1:8" x14ac:dyDescent="0.25">
      <c r="A542" s="26">
        <v>-198</v>
      </c>
      <c r="B542" s="25">
        <v>0.24110999999999999</v>
      </c>
      <c r="C542" s="68">
        <f t="shared" si="49"/>
        <v>22.7667</v>
      </c>
      <c r="D542" s="69">
        <f t="shared" si="50"/>
        <v>7.7667000000000002</v>
      </c>
      <c r="E542" s="70">
        <f t="shared" si="51"/>
        <v>-7.2332999999999998</v>
      </c>
      <c r="F542" s="71">
        <f t="shared" si="52"/>
        <v>-22.7667</v>
      </c>
      <c r="G542" s="72">
        <f t="shared" si="53"/>
        <v>-7.7667000000000002</v>
      </c>
      <c r="H542" s="73">
        <f t="shared" si="54"/>
        <v>7.2332999999999998</v>
      </c>
    </row>
    <row r="543" spans="1:8" x14ac:dyDescent="0.25">
      <c r="A543" s="26">
        <v>-197</v>
      </c>
      <c r="B543" s="25">
        <v>0.24221999999999999</v>
      </c>
      <c r="C543" s="68">
        <f t="shared" si="49"/>
        <v>22.7334</v>
      </c>
      <c r="D543" s="69">
        <f t="shared" si="50"/>
        <v>7.7334000000000005</v>
      </c>
      <c r="E543" s="70">
        <f t="shared" si="51"/>
        <v>-7.2665999999999995</v>
      </c>
      <c r="F543" s="71">
        <f t="shared" si="52"/>
        <v>-22.7334</v>
      </c>
      <c r="G543" s="72">
        <f t="shared" si="53"/>
        <v>-7.7334000000000005</v>
      </c>
      <c r="H543" s="73">
        <f t="shared" si="54"/>
        <v>7.2665999999999995</v>
      </c>
    </row>
    <row r="544" spans="1:8" x14ac:dyDescent="0.25">
      <c r="A544" s="26">
        <v>-196</v>
      </c>
      <c r="B544" s="25">
        <v>0.24332999999999999</v>
      </c>
      <c r="C544" s="68">
        <f t="shared" si="49"/>
        <v>22.700099999999999</v>
      </c>
      <c r="D544" s="69">
        <f t="shared" si="50"/>
        <v>7.7000999999999999</v>
      </c>
      <c r="E544" s="70">
        <f t="shared" si="51"/>
        <v>-7.2999000000000001</v>
      </c>
      <c r="F544" s="71">
        <f t="shared" si="52"/>
        <v>-22.700099999999999</v>
      </c>
      <c r="G544" s="72">
        <f t="shared" si="53"/>
        <v>-7.7000999999999999</v>
      </c>
      <c r="H544" s="73">
        <f t="shared" si="54"/>
        <v>7.2999000000000001</v>
      </c>
    </row>
    <row r="545" spans="1:8" x14ac:dyDescent="0.25">
      <c r="A545" s="26">
        <v>-195</v>
      </c>
      <c r="B545" s="25">
        <v>0.24443999999999999</v>
      </c>
      <c r="C545" s="68">
        <f t="shared" si="49"/>
        <v>22.666800000000002</v>
      </c>
      <c r="D545" s="69">
        <f t="shared" si="50"/>
        <v>7.6668000000000003</v>
      </c>
      <c r="E545" s="70">
        <f t="shared" si="51"/>
        <v>-7.3331999999999997</v>
      </c>
      <c r="F545" s="71">
        <f t="shared" si="52"/>
        <v>-22.666800000000002</v>
      </c>
      <c r="G545" s="72">
        <f t="shared" si="53"/>
        <v>-7.6668000000000003</v>
      </c>
      <c r="H545" s="73">
        <f t="shared" si="54"/>
        <v>7.3331999999999997</v>
      </c>
    </row>
    <row r="546" spans="1:8" x14ac:dyDescent="0.25">
      <c r="A546" s="26">
        <v>-194</v>
      </c>
      <c r="B546" s="25">
        <v>0.24556</v>
      </c>
      <c r="C546" s="68">
        <f t="shared" si="49"/>
        <v>22.633200000000002</v>
      </c>
      <c r="D546" s="69">
        <f t="shared" si="50"/>
        <v>7.6332000000000004</v>
      </c>
      <c r="E546" s="70">
        <f t="shared" si="51"/>
        <v>-7.3667999999999996</v>
      </c>
      <c r="F546" s="71">
        <f t="shared" si="52"/>
        <v>-22.633200000000002</v>
      </c>
      <c r="G546" s="72">
        <f t="shared" si="53"/>
        <v>-7.6332000000000004</v>
      </c>
      <c r="H546" s="73">
        <f t="shared" si="54"/>
        <v>7.3667999999999996</v>
      </c>
    </row>
    <row r="547" spans="1:8" x14ac:dyDescent="0.25">
      <c r="A547" s="26">
        <v>-193</v>
      </c>
      <c r="B547" s="25">
        <v>0.24667</v>
      </c>
      <c r="C547" s="68">
        <f t="shared" si="49"/>
        <v>22.599899999999998</v>
      </c>
      <c r="D547" s="69">
        <f t="shared" si="50"/>
        <v>7.5998999999999999</v>
      </c>
      <c r="E547" s="70">
        <f t="shared" si="51"/>
        <v>-7.4001000000000001</v>
      </c>
      <c r="F547" s="71">
        <f t="shared" si="52"/>
        <v>-22.599899999999998</v>
      </c>
      <c r="G547" s="72">
        <f t="shared" si="53"/>
        <v>-7.5998999999999999</v>
      </c>
      <c r="H547" s="73">
        <f t="shared" si="54"/>
        <v>7.4001000000000001</v>
      </c>
    </row>
    <row r="548" spans="1:8" x14ac:dyDescent="0.25">
      <c r="A548" s="26">
        <v>-192</v>
      </c>
      <c r="B548" s="25">
        <v>0.24778</v>
      </c>
      <c r="C548" s="68">
        <f t="shared" si="49"/>
        <v>22.566600000000001</v>
      </c>
      <c r="D548" s="69">
        <f t="shared" si="50"/>
        <v>7.5666000000000002</v>
      </c>
      <c r="E548" s="70">
        <f t="shared" si="51"/>
        <v>-7.4333999999999998</v>
      </c>
      <c r="F548" s="71">
        <f t="shared" si="52"/>
        <v>-22.566600000000001</v>
      </c>
      <c r="G548" s="72">
        <f t="shared" si="53"/>
        <v>-7.5666000000000002</v>
      </c>
      <c r="H548" s="73">
        <f t="shared" si="54"/>
        <v>7.4333999999999998</v>
      </c>
    </row>
    <row r="549" spans="1:8" x14ac:dyDescent="0.25">
      <c r="A549" s="26">
        <v>-191</v>
      </c>
      <c r="B549" s="25">
        <v>0.24889</v>
      </c>
      <c r="C549" s="68">
        <f t="shared" si="49"/>
        <v>22.533300000000001</v>
      </c>
      <c r="D549" s="69">
        <f t="shared" si="50"/>
        <v>7.5332999999999997</v>
      </c>
      <c r="E549" s="70">
        <f t="shared" si="51"/>
        <v>-7.4667000000000003</v>
      </c>
      <c r="F549" s="71">
        <f t="shared" si="52"/>
        <v>-22.533300000000001</v>
      </c>
      <c r="G549" s="72">
        <f t="shared" si="53"/>
        <v>-7.5332999999999997</v>
      </c>
      <c r="H549" s="73">
        <f t="shared" si="54"/>
        <v>7.4667000000000003</v>
      </c>
    </row>
    <row r="550" spans="1:8" x14ac:dyDescent="0.25">
      <c r="A550" s="26">
        <v>-190</v>
      </c>
      <c r="B550" s="25">
        <v>0.25</v>
      </c>
      <c r="C550" s="68">
        <f t="shared" si="49"/>
        <v>22.5</v>
      </c>
      <c r="D550" s="69">
        <f t="shared" si="50"/>
        <v>7.5</v>
      </c>
      <c r="E550" s="70">
        <f t="shared" si="51"/>
        <v>-7.5</v>
      </c>
      <c r="F550" s="71">
        <f t="shared" si="52"/>
        <v>-22.5</v>
      </c>
      <c r="G550" s="72">
        <f t="shared" si="53"/>
        <v>-7.5</v>
      </c>
      <c r="H550" s="73">
        <f t="shared" si="54"/>
        <v>7.5</v>
      </c>
    </row>
    <row r="551" spans="1:8" x14ac:dyDescent="0.25">
      <c r="A551" s="26">
        <v>-189</v>
      </c>
      <c r="B551" s="25">
        <v>0.25111</v>
      </c>
      <c r="C551" s="68">
        <f t="shared" si="49"/>
        <v>22.466699999999999</v>
      </c>
      <c r="D551" s="69">
        <f t="shared" si="50"/>
        <v>7.4667000000000003</v>
      </c>
      <c r="E551" s="70">
        <f t="shared" si="51"/>
        <v>-7.5332999999999997</v>
      </c>
      <c r="F551" s="71">
        <f t="shared" si="52"/>
        <v>-22.466699999999999</v>
      </c>
      <c r="G551" s="72">
        <f t="shared" si="53"/>
        <v>-7.4667000000000003</v>
      </c>
      <c r="H551" s="73">
        <f t="shared" si="54"/>
        <v>7.5332999999999997</v>
      </c>
    </row>
    <row r="552" spans="1:8" x14ac:dyDescent="0.25">
      <c r="A552" s="26">
        <v>-188</v>
      </c>
      <c r="B552" s="25">
        <v>0.25222</v>
      </c>
      <c r="C552" s="68">
        <f t="shared" si="49"/>
        <v>22.433399999999999</v>
      </c>
      <c r="D552" s="69">
        <f t="shared" si="50"/>
        <v>7.4333999999999998</v>
      </c>
      <c r="E552" s="70">
        <f t="shared" si="51"/>
        <v>-7.5666000000000002</v>
      </c>
      <c r="F552" s="71">
        <f t="shared" si="52"/>
        <v>-22.433399999999999</v>
      </c>
      <c r="G552" s="72">
        <f t="shared" si="53"/>
        <v>-7.4333999999999998</v>
      </c>
      <c r="H552" s="73">
        <f t="shared" si="54"/>
        <v>7.5666000000000002</v>
      </c>
    </row>
    <row r="553" spans="1:8" x14ac:dyDescent="0.25">
      <c r="A553" s="26">
        <v>-187</v>
      </c>
      <c r="B553" s="25">
        <v>0.25333</v>
      </c>
      <c r="C553" s="68">
        <f t="shared" si="49"/>
        <v>22.400100000000002</v>
      </c>
      <c r="D553" s="69">
        <f t="shared" si="50"/>
        <v>7.4001000000000001</v>
      </c>
      <c r="E553" s="70">
        <f t="shared" si="51"/>
        <v>-7.5998999999999999</v>
      </c>
      <c r="F553" s="71">
        <f t="shared" si="52"/>
        <v>-22.400100000000002</v>
      </c>
      <c r="G553" s="72">
        <f t="shared" si="53"/>
        <v>-7.4001000000000001</v>
      </c>
      <c r="H553" s="73">
        <f t="shared" si="54"/>
        <v>7.5998999999999999</v>
      </c>
    </row>
    <row r="554" spans="1:8" x14ac:dyDescent="0.25">
      <c r="A554" s="26">
        <v>-186</v>
      </c>
      <c r="B554" s="25">
        <v>0.25444</v>
      </c>
      <c r="C554" s="68">
        <f t="shared" si="49"/>
        <v>22.366799999999998</v>
      </c>
      <c r="D554" s="69">
        <f t="shared" si="50"/>
        <v>7.3667999999999996</v>
      </c>
      <c r="E554" s="70">
        <f t="shared" si="51"/>
        <v>-7.6332000000000004</v>
      </c>
      <c r="F554" s="71">
        <f t="shared" si="52"/>
        <v>-22.366799999999998</v>
      </c>
      <c r="G554" s="72">
        <f t="shared" si="53"/>
        <v>-7.3667999999999996</v>
      </c>
      <c r="H554" s="73">
        <f t="shared" si="54"/>
        <v>7.6332000000000004</v>
      </c>
    </row>
    <row r="555" spans="1:8" x14ac:dyDescent="0.25">
      <c r="A555" s="26">
        <v>-185</v>
      </c>
      <c r="B555" s="25">
        <v>0.25556000000000001</v>
      </c>
      <c r="C555" s="68">
        <f t="shared" si="49"/>
        <v>22.333199999999998</v>
      </c>
      <c r="D555" s="69">
        <f t="shared" si="50"/>
        <v>7.3331999999999997</v>
      </c>
      <c r="E555" s="70">
        <f t="shared" si="51"/>
        <v>-7.6668000000000003</v>
      </c>
      <c r="F555" s="71">
        <f t="shared" si="52"/>
        <v>-22.333199999999998</v>
      </c>
      <c r="G555" s="72">
        <f t="shared" si="53"/>
        <v>-7.3331999999999997</v>
      </c>
      <c r="H555" s="73">
        <f t="shared" si="54"/>
        <v>7.6668000000000003</v>
      </c>
    </row>
    <row r="556" spans="1:8" x14ac:dyDescent="0.25">
      <c r="A556" s="26">
        <v>-184</v>
      </c>
      <c r="B556" s="25">
        <v>0.25667000000000001</v>
      </c>
      <c r="C556" s="68">
        <f t="shared" si="49"/>
        <v>22.299900000000001</v>
      </c>
      <c r="D556" s="69">
        <f t="shared" si="50"/>
        <v>7.2999000000000001</v>
      </c>
      <c r="E556" s="70">
        <f t="shared" si="51"/>
        <v>-7.7000999999999999</v>
      </c>
      <c r="F556" s="71">
        <f t="shared" si="52"/>
        <v>-22.299900000000001</v>
      </c>
      <c r="G556" s="72">
        <f t="shared" si="53"/>
        <v>-7.2999000000000001</v>
      </c>
      <c r="H556" s="73">
        <f t="shared" si="54"/>
        <v>7.7000999999999999</v>
      </c>
    </row>
    <row r="557" spans="1:8" x14ac:dyDescent="0.25">
      <c r="A557" s="26">
        <v>-183</v>
      </c>
      <c r="B557" s="25">
        <v>0.25778000000000001</v>
      </c>
      <c r="C557" s="68">
        <f t="shared" si="49"/>
        <v>22.2666</v>
      </c>
      <c r="D557" s="69">
        <f t="shared" si="50"/>
        <v>7.2665999999999995</v>
      </c>
      <c r="E557" s="70">
        <f t="shared" si="51"/>
        <v>-7.7334000000000005</v>
      </c>
      <c r="F557" s="71">
        <f t="shared" si="52"/>
        <v>-22.2666</v>
      </c>
      <c r="G557" s="72">
        <f t="shared" si="53"/>
        <v>-7.2665999999999995</v>
      </c>
      <c r="H557" s="73">
        <f t="shared" si="54"/>
        <v>7.7334000000000005</v>
      </c>
    </row>
    <row r="558" spans="1:8" x14ac:dyDescent="0.25">
      <c r="A558" s="26">
        <v>-182</v>
      </c>
      <c r="B558" s="25">
        <v>0.25889000000000001</v>
      </c>
      <c r="C558" s="68">
        <f t="shared" si="49"/>
        <v>22.2333</v>
      </c>
      <c r="D558" s="69">
        <f t="shared" si="50"/>
        <v>7.2332999999999998</v>
      </c>
      <c r="E558" s="70">
        <f t="shared" si="51"/>
        <v>-7.7667000000000002</v>
      </c>
      <c r="F558" s="71">
        <f t="shared" si="52"/>
        <v>-22.2333</v>
      </c>
      <c r="G558" s="72">
        <f t="shared" si="53"/>
        <v>-7.2332999999999998</v>
      </c>
      <c r="H558" s="73">
        <f t="shared" si="54"/>
        <v>7.7667000000000002</v>
      </c>
    </row>
    <row r="559" spans="1:8" x14ac:dyDescent="0.25">
      <c r="A559" s="26">
        <v>-181</v>
      </c>
      <c r="B559" s="25">
        <v>0.26</v>
      </c>
      <c r="C559" s="68">
        <f t="shared" si="49"/>
        <v>22.2</v>
      </c>
      <c r="D559" s="69">
        <f t="shared" si="50"/>
        <v>7.1999999999999993</v>
      </c>
      <c r="E559" s="70">
        <f t="shared" si="51"/>
        <v>-7.8000000000000007</v>
      </c>
      <c r="F559" s="71">
        <f t="shared" si="52"/>
        <v>-22.2</v>
      </c>
      <c r="G559" s="72">
        <f t="shared" si="53"/>
        <v>-7.1999999999999993</v>
      </c>
      <c r="H559" s="73">
        <f t="shared" si="54"/>
        <v>7.8000000000000007</v>
      </c>
    </row>
    <row r="560" spans="1:8" x14ac:dyDescent="0.25">
      <c r="A560" s="26">
        <v>-180</v>
      </c>
      <c r="B560" s="25">
        <v>0.26111000000000001</v>
      </c>
      <c r="C560" s="68">
        <f t="shared" si="49"/>
        <v>22.166699999999999</v>
      </c>
      <c r="D560" s="69">
        <f t="shared" si="50"/>
        <v>7.1666999999999996</v>
      </c>
      <c r="E560" s="70">
        <f t="shared" si="51"/>
        <v>-7.8333000000000004</v>
      </c>
      <c r="F560" s="71">
        <f t="shared" si="52"/>
        <v>-22.166699999999999</v>
      </c>
      <c r="G560" s="72">
        <f t="shared" si="53"/>
        <v>-7.1666999999999996</v>
      </c>
      <c r="H560" s="73">
        <f t="shared" si="54"/>
        <v>7.8333000000000004</v>
      </c>
    </row>
    <row r="561" spans="1:8" x14ac:dyDescent="0.25">
      <c r="A561" s="26">
        <v>-179</v>
      </c>
      <c r="B561" s="25">
        <v>0.26222000000000001</v>
      </c>
      <c r="C561" s="68">
        <f t="shared" si="49"/>
        <v>22.133400000000002</v>
      </c>
      <c r="D561" s="69">
        <f t="shared" si="50"/>
        <v>7.1334</v>
      </c>
      <c r="E561" s="70">
        <f t="shared" si="51"/>
        <v>-7.8666</v>
      </c>
      <c r="F561" s="71">
        <f t="shared" si="52"/>
        <v>-22.133400000000002</v>
      </c>
      <c r="G561" s="72">
        <f t="shared" si="53"/>
        <v>-7.1334</v>
      </c>
      <c r="H561" s="73">
        <f t="shared" si="54"/>
        <v>7.8666</v>
      </c>
    </row>
    <row r="562" spans="1:8" x14ac:dyDescent="0.25">
      <c r="A562" s="26">
        <v>-178</v>
      </c>
      <c r="B562" s="25">
        <v>0.26333000000000001</v>
      </c>
      <c r="C562" s="68">
        <f t="shared" si="49"/>
        <v>22.100099999999998</v>
      </c>
      <c r="D562" s="69">
        <f t="shared" si="50"/>
        <v>7.1000999999999994</v>
      </c>
      <c r="E562" s="70">
        <f t="shared" si="51"/>
        <v>-7.8999000000000006</v>
      </c>
      <c r="F562" s="71">
        <f t="shared" si="52"/>
        <v>-22.100099999999998</v>
      </c>
      <c r="G562" s="72">
        <f t="shared" si="53"/>
        <v>-7.1000999999999994</v>
      </c>
      <c r="H562" s="73">
        <f t="shared" si="54"/>
        <v>7.8999000000000006</v>
      </c>
    </row>
    <row r="563" spans="1:8" x14ac:dyDescent="0.25">
      <c r="A563" s="26">
        <v>-177</v>
      </c>
      <c r="B563" s="25">
        <v>0.26444000000000001</v>
      </c>
      <c r="C563" s="68">
        <f t="shared" si="49"/>
        <v>22.066800000000001</v>
      </c>
      <c r="D563" s="69">
        <f t="shared" si="50"/>
        <v>7.0667999999999997</v>
      </c>
      <c r="E563" s="70">
        <f t="shared" si="51"/>
        <v>-7.9332000000000003</v>
      </c>
      <c r="F563" s="71">
        <f t="shared" si="52"/>
        <v>-22.066800000000001</v>
      </c>
      <c r="G563" s="72">
        <f t="shared" si="53"/>
        <v>-7.0667999999999997</v>
      </c>
      <c r="H563" s="73">
        <f t="shared" si="54"/>
        <v>7.9332000000000003</v>
      </c>
    </row>
    <row r="564" spans="1:8" x14ac:dyDescent="0.25">
      <c r="A564" s="26">
        <v>-176</v>
      </c>
      <c r="B564" s="25">
        <v>0.26556000000000002</v>
      </c>
      <c r="C564" s="68">
        <f t="shared" si="49"/>
        <v>22.033200000000001</v>
      </c>
      <c r="D564" s="69">
        <f t="shared" si="50"/>
        <v>7.033199999999999</v>
      </c>
      <c r="E564" s="70">
        <f t="shared" si="51"/>
        <v>-7.966800000000001</v>
      </c>
      <c r="F564" s="71">
        <f t="shared" si="52"/>
        <v>-22.033200000000001</v>
      </c>
      <c r="G564" s="72">
        <f t="shared" si="53"/>
        <v>-7.033199999999999</v>
      </c>
      <c r="H564" s="73">
        <f t="shared" si="54"/>
        <v>7.966800000000001</v>
      </c>
    </row>
    <row r="565" spans="1:8" x14ac:dyDescent="0.25">
      <c r="A565" s="26">
        <v>-175</v>
      </c>
      <c r="B565" s="25">
        <v>0.26667000000000002</v>
      </c>
      <c r="C565" s="68">
        <f t="shared" si="49"/>
        <v>21.9999</v>
      </c>
      <c r="D565" s="69">
        <f t="shared" si="50"/>
        <v>6.9999000000000002</v>
      </c>
      <c r="E565" s="70">
        <f t="shared" si="51"/>
        <v>-8.0000999999999998</v>
      </c>
      <c r="F565" s="71">
        <f t="shared" si="52"/>
        <v>-21.9999</v>
      </c>
      <c r="G565" s="72">
        <f t="shared" si="53"/>
        <v>-6.9999000000000002</v>
      </c>
      <c r="H565" s="73">
        <f t="shared" si="54"/>
        <v>8.0000999999999998</v>
      </c>
    </row>
    <row r="566" spans="1:8" x14ac:dyDescent="0.25">
      <c r="A566" s="26">
        <v>-174</v>
      </c>
      <c r="B566" s="25">
        <v>0.26778000000000002</v>
      </c>
      <c r="C566" s="68">
        <f t="shared" si="49"/>
        <v>21.9666</v>
      </c>
      <c r="D566" s="69">
        <f t="shared" si="50"/>
        <v>6.9665999999999997</v>
      </c>
      <c r="E566" s="70">
        <f t="shared" si="51"/>
        <v>-8.0334000000000003</v>
      </c>
      <c r="F566" s="71">
        <f t="shared" si="52"/>
        <v>-21.9666</v>
      </c>
      <c r="G566" s="72">
        <f t="shared" si="53"/>
        <v>-6.9665999999999997</v>
      </c>
      <c r="H566" s="73">
        <f t="shared" si="54"/>
        <v>8.0334000000000003</v>
      </c>
    </row>
    <row r="567" spans="1:8" x14ac:dyDescent="0.25">
      <c r="A567" s="26">
        <v>-173</v>
      </c>
      <c r="B567" s="25">
        <v>0.26889000000000002</v>
      </c>
      <c r="C567" s="68">
        <f t="shared" si="49"/>
        <v>21.933299999999999</v>
      </c>
      <c r="D567" s="69">
        <f t="shared" si="50"/>
        <v>6.9332999999999991</v>
      </c>
      <c r="E567" s="70">
        <f t="shared" si="51"/>
        <v>-8.0667000000000009</v>
      </c>
      <c r="F567" s="71">
        <f t="shared" si="52"/>
        <v>-21.933299999999999</v>
      </c>
      <c r="G567" s="72">
        <f t="shared" si="53"/>
        <v>-6.9332999999999991</v>
      </c>
      <c r="H567" s="73">
        <f t="shared" si="54"/>
        <v>8.0667000000000009</v>
      </c>
    </row>
    <row r="568" spans="1:8" x14ac:dyDescent="0.25">
      <c r="A568" s="26">
        <v>-172</v>
      </c>
      <c r="B568" s="25">
        <v>0.27</v>
      </c>
      <c r="C568" s="68">
        <f t="shared" si="49"/>
        <v>21.9</v>
      </c>
      <c r="D568" s="69">
        <f t="shared" si="50"/>
        <v>6.8999999999999986</v>
      </c>
      <c r="E568" s="70">
        <f t="shared" si="51"/>
        <v>-8.1000000000000014</v>
      </c>
      <c r="F568" s="71">
        <f t="shared" si="52"/>
        <v>-21.9</v>
      </c>
      <c r="G568" s="72">
        <f t="shared" si="53"/>
        <v>-6.8999999999999986</v>
      </c>
      <c r="H568" s="73">
        <f t="shared" si="54"/>
        <v>8.1000000000000014</v>
      </c>
    </row>
    <row r="569" spans="1:8" x14ac:dyDescent="0.25">
      <c r="A569" s="26">
        <v>-171</v>
      </c>
      <c r="B569" s="25">
        <v>0.27124999999999999</v>
      </c>
      <c r="C569" s="68">
        <f t="shared" si="49"/>
        <v>21.862500000000001</v>
      </c>
      <c r="D569" s="69">
        <f t="shared" si="50"/>
        <v>6.8625000000000007</v>
      </c>
      <c r="E569" s="70">
        <f t="shared" si="51"/>
        <v>-8.1374999999999993</v>
      </c>
      <c r="F569" s="71">
        <f t="shared" si="52"/>
        <v>-21.862500000000001</v>
      </c>
      <c r="G569" s="72">
        <f t="shared" si="53"/>
        <v>-6.8625000000000007</v>
      </c>
      <c r="H569" s="73">
        <f t="shared" si="54"/>
        <v>8.1374999999999993</v>
      </c>
    </row>
    <row r="570" spans="1:8" x14ac:dyDescent="0.25">
      <c r="A570" s="26">
        <v>-170</v>
      </c>
      <c r="B570" s="25">
        <v>0.27250000000000002</v>
      </c>
      <c r="C570" s="68">
        <f t="shared" si="49"/>
        <v>21.824999999999999</v>
      </c>
      <c r="D570" s="69">
        <f t="shared" si="50"/>
        <v>6.8249999999999993</v>
      </c>
      <c r="E570" s="70">
        <f t="shared" si="51"/>
        <v>-8.1750000000000007</v>
      </c>
      <c r="F570" s="71">
        <f t="shared" si="52"/>
        <v>-21.824999999999999</v>
      </c>
      <c r="G570" s="72">
        <f t="shared" si="53"/>
        <v>-6.8249999999999993</v>
      </c>
      <c r="H570" s="73">
        <f t="shared" si="54"/>
        <v>8.1750000000000007</v>
      </c>
    </row>
    <row r="571" spans="1:8" x14ac:dyDescent="0.25">
      <c r="A571" s="26">
        <v>-169</v>
      </c>
      <c r="B571" s="25">
        <v>0.27374999999999999</v>
      </c>
      <c r="C571" s="68">
        <f t="shared" si="49"/>
        <v>21.787500000000001</v>
      </c>
      <c r="D571" s="69">
        <f t="shared" si="50"/>
        <v>6.7874999999999996</v>
      </c>
      <c r="E571" s="70">
        <f t="shared" si="51"/>
        <v>-8.2125000000000004</v>
      </c>
      <c r="F571" s="71">
        <f t="shared" si="52"/>
        <v>-21.787500000000001</v>
      </c>
      <c r="G571" s="72">
        <f t="shared" si="53"/>
        <v>-6.7874999999999996</v>
      </c>
      <c r="H571" s="73">
        <f t="shared" si="54"/>
        <v>8.2125000000000004</v>
      </c>
    </row>
    <row r="572" spans="1:8" x14ac:dyDescent="0.25">
      <c r="A572" s="26">
        <v>-168</v>
      </c>
      <c r="B572" s="25">
        <v>0.27500000000000002</v>
      </c>
      <c r="C572" s="68">
        <f t="shared" si="49"/>
        <v>21.75</v>
      </c>
      <c r="D572" s="69">
        <f t="shared" si="50"/>
        <v>6.75</v>
      </c>
      <c r="E572" s="70">
        <f t="shared" si="51"/>
        <v>-8.25</v>
      </c>
      <c r="F572" s="71">
        <f t="shared" si="52"/>
        <v>-21.75</v>
      </c>
      <c r="G572" s="72">
        <f t="shared" si="53"/>
        <v>-6.75</v>
      </c>
      <c r="H572" s="73">
        <f t="shared" si="54"/>
        <v>8.25</v>
      </c>
    </row>
    <row r="573" spans="1:8" x14ac:dyDescent="0.25">
      <c r="A573" s="26">
        <v>-167</v>
      </c>
      <c r="B573" s="25">
        <v>0.27625</v>
      </c>
      <c r="C573" s="68">
        <f t="shared" si="49"/>
        <v>21.712499999999999</v>
      </c>
      <c r="D573" s="69">
        <f t="shared" si="50"/>
        <v>6.7125000000000004</v>
      </c>
      <c r="E573" s="70">
        <f t="shared" si="51"/>
        <v>-8.2874999999999996</v>
      </c>
      <c r="F573" s="71">
        <f t="shared" si="52"/>
        <v>-21.712499999999999</v>
      </c>
      <c r="G573" s="72">
        <f t="shared" si="53"/>
        <v>-6.7125000000000004</v>
      </c>
      <c r="H573" s="73">
        <f t="shared" si="54"/>
        <v>8.2874999999999996</v>
      </c>
    </row>
    <row r="574" spans="1:8" x14ac:dyDescent="0.25">
      <c r="A574" s="26">
        <v>-166</v>
      </c>
      <c r="B574" s="25">
        <v>0.27750000000000002</v>
      </c>
      <c r="C574" s="68">
        <f t="shared" si="49"/>
        <v>21.674999999999997</v>
      </c>
      <c r="D574" s="69">
        <f t="shared" si="50"/>
        <v>6.6749999999999989</v>
      </c>
      <c r="E574" s="70">
        <f t="shared" si="51"/>
        <v>-8.3250000000000011</v>
      </c>
      <c r="F574" s="71">
        <f t="shared" si="52"/>
        <v>-21.674999999999997</v>
      </c>
      <c r="G574" s="72">
        <f t="shared" si="53"/>
        <v>-6.6749999999999989</v>
      </c>
      <c r="H574" s="73">
        <f t="shared" si="54"/>
        <v>8.3250000000000011</v>
      </c>
    </row>
    <row r="575" spans="1:8" x14ac:dyDescent="0.25">
      <c r="A575" s="26">
        <v>-165</v>
      </c>
      <c r="B575" s="25">
        <v>0.27875</v>
      </c>
      <c r="C575" s="68">
        <f t="shared" si="49"/>
        <v>21.637499999999999</v>
      </c>
      <c r="D575" s="69">
        <f t="shared" si="50"/>
        <v>6.6374999999999993</v>
      </c>
      <c r="E575" s="70">
        <f t="shared" si="51"/>
        <v>-8.3625000000000007</v>
      </c>
      <c r="F575" s="71">
        <f t="shared" si="52"/>
        <v>-21.637499999999999</v>
      </c>
      <c r="G575" s="72">
        <f t="shared" si="53"/>
        <v>-6.6374999999999993</v>
      </c>
      <c r="H575" s="73">
        <f t="shared" si="54"/>
        <v>8.3625000000000007</v>
      </c>
    </row>
    <row r="576" spans="1:8" x14ac:dyDescent="0.25">
      <c r="A576" s="26">
        <v>-164</v>
      </c>
      <c r="B576" s="25">
        <v>0.28000000000000003</v>
      </c>
      <c r="C576" s="68">
        <f t="shared" si="49"/>
        <v>21.6</v>
      </c>
      <c r="D576" s="69">
        <f t="shared" si="50"/>
        <v>6.6</v>
      </c>
      <c r="E576" s="70">
        <f t="shared" si="51"/>
        <v>-8.4</v>
      </c>
      <c r="F576" s="71">
        <f t="shared" si="52"/>
        <v>-21.6</v>
      </c>
      <c r="G576" s="72">
        <f t="shared" si="53"/>
        <v>-6.6</v>
      </c>
      <c r="H576" s="73">
        <f t="shared" si="54"/>
        <v>8.4</v>
      </c>
    </row>
    <row r="577" spans="1:8" x14ac:dyDescent="0.25">
      <c r="A577" s="26">
        <v>-163</v>
      </c>
      <c r="B577" s="25">
        <v>0.28111000000000003</v>
      </c>
      <c r="C577" s="68">
        <f t="shared" si="49"/>
        <v>21.566699999999997</v>
      </c>
      <c r="D577" s="69">
        <f t="shared" si="50"/>
        <v>6.5666999999999991</v>
      </c>
      <c r="E577" s="70">
        <f t="shared" si="51"/>
        <v>-8.4333000000000009</v>
      </c>
      <c r="F577" s="71">
        <f t="shared" si="52"/>
        <v>-21.566699999999997</v>
      </c>
      <c r="G577" s="72">
        <f t="shared" si="53"/>
        <v>-6.5666999999999991</v>
      </c>
      <c r="H577" s="73">
        <f t="shared" si="54"/>
        <v>8.4333000000000009</v>
      </c>
    </row>
    <row r="578" spans="1:8" x14ac:dyDescent="0.25">
      <c r="A578" s="26">
        <v>-162</v>
      </c>
      <c r="B578" s="25">
        <v>0.28222000000000003</v>
      </c>
      <c r="C578" s="68">
        <f t="shared" si="49"/>
        <v>21.5334</v>
      </c>
      <c r="D578" s="69">
        <f t="shared" si="50"/>
        <v>6.5333999999999985</v>
      </c>
      <c r="E578" s="70">
        <f t="shared" si="51"/>
        <v>-8.4666000000000015</v>
      </c>
      <c r="F578" s="71">
        <f t="shared" si="52"/>
        <v>-21.5334</v>
      </c>
      <c r="G578" s="72">
        <f t="shared" si="53"/>
        <v>-6.5333999999999985</v>
      </c>
      <c r="H578" s="73">
        <f t="shared" si="54"/>
        <v>8.4666000000000015</v>
      </c>
    </row>
    <row r="579" spans="1:8" x14ac:dyDescent="0.25">
      <c r="A579" s="26">
        <v>-161</v>
      </c>
      <c r="B579" s="25">
        <v>0.28333000000000003</v>
      </c>
      <c r="C579" s="68">
        <f t="shared" si="49"/>
        <v>21.5001</v>
      </c>
      <c r="D579" s="69">
        <f t="shared" si="50"/>
        <v>6.5000999999999998</v>
      </c>
      <c r="E579" s="70">
        <f t="shared" si="51"/>
        <v>-8.4999000000000002</v>
      </c>
      <c r="F579" s="71">
        <f t="shared" si="52"/>
        <v>-21.5001</v>
      </c>
      <c r="G579" s="72">
        <f t="shared" si="53"/>
        <v>-6.5000999999999998</v>
      </c>
      <c r="H579" s="73">
        <f t="shared" si="54"/>
        <v>8.4999000000000002</v>
      </c>
    </row>
    <row r="580" spans="1:8" x14ac:dyDescent="0.25">
      <c r="A580" s="26">
        <v>-160</v>
      </c>
      <c r="B580" s="25">
        <v>0.28444000000000003</v>
      </c>
      <c r="C580" s="68">
        <f t="shared" si="49"/>
        <v>21.466799999999999</v>
      </c>
      <c r="D580" s="69">
        <f t="shared" si="50"/>
        <v>6.4667999999999992</v>
      </c>
      <c r="E580" s="70">
        <f t="shared" si="51"/>
        <v>-8.5332000000000008</v>
      </c>
      <c r="F580" s="71">
        <f t="shared" si="52"/>
        <v>-21.466799999999999</v>
      </c>
      <c r="G580" s="72">
        <f t="shared" si="53"/>
        <v>-6.4667999999999992</v>
      </c>
      <c r="H580" s="73">
        <f t="shared" si="54"/>
        <v>8.5332000000000008</v>
      </c>
    </row>
    <row r="581" spans="1:8" x14ac:dyDescent="0.25">
      <c r="A581" s="26">
        <v>-159</v>
      </c>
      <c r="B581" s="25">
        <v>0.28555999999999998</v>
      </c>
      <c r="C581" s="68">
        <f t="shared" si="49"/>
        <v>21.433199999999999</v>
      </c>
      <c r="D581" s="69">
        <f t="shared" si="50"/>
        <v>6.4332000000000011</v>
      </c>
      <c r="E581" s="70">
        <f t="shared" si="51"/>
        <v>-8.5667999999999989</v>
      </c>
      <c r="F581" s="71">
        <f t="shared" si="52"/>
        <v>-21.433199999999999</v>
      </c>
      <c r="G581" s="72">
        <f t="shared" si="53"/>
        <v>-6.4332000000000011</v>
      </c>
      <c r="H581" s="73">
        <f t="shared" si="54"/>
        <v>8.5667999999999989</v>
      </c>
    </row>
    <row r="582" spans="1:8" x14ac:dyDescent="0.25">
      <c r="A582" s="26">
        <v>-158</v>
      </c>
      <c r="B582" s="25">
        <v>0.28666999999999998</v>
      </c>
      <c r="C582" s="68">
        <f t="shared" si="49"/>
        <v>21.399900000000002</v>
      </c>
      <c r="D582" s="69">
        <f t="shared" si="50"/>
        <v>6.3999000000000006</v>
      </c>
      <c r="E582" s="70">
        <f t="shared" si="51"/>
        <v>-8.6000999999999994</v>
      </c>
      <c r="F582" s="71">
        <f t="shared" si="52"/>
        <v>-21.399900000000002</v>
      </c>
      <c r="G582" s="72">
        <f t="shared" si="53"/>
        <v>-6.3999000000000006</v>
      </c>
      <c r="H582" s="73">
        <f t="shared" si="54"/>
        <v>8.6000999999999994</v>
      </c>
    </row>
    <row r="583" spans="1:8" x14ac:dyDescent="0.25">
      <c r="A583" s="26">
        <v>-157</v>
      </c>
      <c r="B583" s="25">
        <v>0.28777999999999998</v>
      </c>
      <c r="C583" s="68">
        <f t="shared" ref="C583:C646" si="55">KFactor-KFactor*B583</f>
        <v>21.366599999999998</v>
      </c>
      <c r="D583" s="69">
        <f t="shared" ref="D583:D646" si="56">KFactor/2-KFactor*B583</f>
        <v>6.3666</v>
      </c>
      <c r="E583" s="70">
        <f t="shared" ref="E583:E646" si="57">0-KFactor*B583</f>
        <v>-8.6334</v>
      </c>
      <c r="F583" s="71">
        <f t="shared" ref="F583:F646" si="58">-C583</f>
        <v>-21.366599999999998</v>
      </c>
      <c r="G583" s="72">
        <f t="shared" ref="G583:G646" si="59">-D583</f>
        <v>-6.3666</v>
      </c>
      <c r="H583" s="73">
        <f t="shared" ref="H583:H646" si="60">-E583</f>
        <v>8.6334</v>
      </c>
    </row>
    <row r="584" spans="1:8" x14ac:dyDescent="0.25">
      <c r="A584" s="26">
        <v>-156</v>
      </c>
      <c r="B584" s="25">
        <v>0.28888999999999998</v>
      </c>
      <c r="C584" s="68">
        <f t="shared" si="55"/>
        <v>21.333300000000001</v>
      </c>
      <c r="D584" s="69">
        <f t="shared" si="56"/>
        <v>6.3333000000000013</v>
      </c>
      <c r="E584" s="70">
        <f t="shared" si="57"/>
        <v>-8.6666999999999987</v>
      </c>
      <c r="F584" s="71">
        <f t="shared" si="58"/>
        <v>-21.333300000000001</v>
      </c>
      <c r="G584" s="72">
        <f t="shared" si="59"/>
        <v>-6.3333000000000013</v>
      </c>
      <c r="H584" s="73">
        <f t="shared" si="60"/>
        <v>8.6666999999999987</v>
      </c>
    </row>
    <row r="585" spans="1:8" x14ac:dyDescent="0.25">
      <c r="A585" s="26">
        <v>-155</v>
      </c>
      <c r="B585" s="25">
        <v>0.28999999999999998</v>
      </c>
      <c r="C585" s="68">
        <f t="shared" si="55"/>
        <v>21.3</v>
      </c>
      <c r="D585" s="69">
        <f t="shared" si="56"/>
        <v>6.3000000000000007</v>
      </c>
      <c r="E585" s="70">
        <f t="shared" si="57"/>
        <v>-8.6999999999999993</v>
      </c>
      <c r="F585" s="71">
        <f t="shared" si="58"/>
        <v>-21.3</v>
      </c>
      <c r="G585" s="72">
        <f t="shared" si="59"/>
        <v>-6.3000000000000007</v>
      </c>
      <c r="H585" s="73">
        <f t="shared" si="60"/>
        <v>8.6999999999999993</v>
      </c>
    </row>
    <row r="586" spans="1:8" x14ac:dyDescent="0.25">
      <c r="A586" s="26">
        <v>-154</v>
      </c>
      <c r="B586" s="25">
        <v>0.29125000000000001</v>
      </c>
      <c r="C586" s="68">
        <f t="shared" si="55"/>
        <v>21.262499999999999</v>
      </c>
      <c r="D586" s="69">
        <f t="shared" si="56"/>
        <v>6.2624999999999993</v>
      </c>
      <c r="E586" s="70">
        <f t="shared" si="57"/>
        <v>-8.7375000000000007</v>
      </c>
      <c r="F586" s="71">
        <f t="shared" si="58"/>
        <v>-21.262499999999999</v>
      </c>
      <c r="G586" s="72">
        <f t="shared" si="59"/>
        <v>-6.2624999999999993</v>
      </c>
      <c r="H586" s="73">
        <f t="shared" si="60"/>
        <v>8.7375000000000007</v>
      </c>
    </row>
    <row r="587" spans="1:8" x14ac:dyDescent="0.25">
      <c r="A587" s="26">
        <v>-153</v>
      </c>
      <c r="B587" s="25">
        <v>0.29249999999999998</v>
      </c>
      <c r="C587" s="68">
        <f t="shared" si="55"/>
        <v>21.225000000000001</v>
      </c>
      <c r="D587" s="69">
        <f t="shared" si="56"/>
        <v>6.2250000000000014</v>
      </c>
      <c r="E587" s="70">
        <f t="shared" si="57"/>
        <v>-8.7749999999999986</v>
      </c>
      <c r="F587" s="71">
        <f t="shared" si="58"/>
        <v>-21.225000000000001</v>
      </c>
      <c r="G587" s="72">
        <f t="shared" si="59"/>
        <v>-6.2250000000000014</v>
      </c>
      <c r="H587" s="73">
        <f t="shared" si="60"/>
        <v>8.7749999999999986</v>
      </c>
    </row>
    <row r="588" spans="1:8" x14ac:dyDescent="0.25">
      <c r="A588" s="26">
        <v>-152</v>
      </c>
      <c r="B588" s="25">
        <v>0.29375000000000001</v>
      </c>
      <c r="C588" s="68">
        <f t="shared" si="55"/>
        <v>21.1875</v>
      </c>
      <c r="D588" s="69">
        <f t="shared" si="56"/>
        <v>6.1875</v>
      </c>
      <c r="E588" s="70">
        <f t="shared" si="57"/>
        <v>-8.8125</v>
      </c>
      <c r="F588" s="71">
        <f t="shared" si="58"/>
        <v>-21.1875</v>
      </c>
      <c r="G588" s="72">
        <f t="shared" si="59"/>
        <v>-6.1875</v>
      </c>
      <c r="H588" s="73">
        <f t="shared" si="60"/>
        <v>8.8125</v>
      </c>
    </row>
    <row r="589" spans="1:8" x14ac:dyDescent="0.25">
      <c r="A589" s="26">
        <v>-151</v>
      </c>
      <c r="B589" s="25">
        <v>0.29499999999999998</v>
      </c>
      <c r="C589" s="68">
        <f t="shared" si="55"/>
        <v>21.15</v>
      </c>
      <c r="D589" s="69">
        <f t="shared" si="56"/>
        <v>6.15</v>
      </c>
      <c r="E589" s="70">
        <f t="shared" si="57"/>
        <v>-8.85</v>
      </c>
      <c r="F589" s="71">
        <f t="shared" si="58"/>
        <v>-21.15</v>
      </c>
      <c r="G589" s="72">
        <f t="shared" si="59"/>
        <v>-6.15</v>
      </c>
      <c r="H589" s="73">
        <f t="shared" si="60"/>
        <v>8.85</v>
      </c>
    </row>
    <row r="590" spans="1:8" x14ac:dyDescent="0.25">
      <c r="A590" s="26">
        <v>-150</v>
      </c>
      <c r="B590" s="25">
        <v>0.29625000000000001</v>
      </c>
      <c r="C590" s="68">
        <f t="shared" si="55"/>
        <v>21.112499999999997</v>
      </c>
      <c r="D590" s="69">
        <f t="shared" si="56"/>
        <v>6.1124999999999989</v>
      </c>
      <c r="E590" s="70">
        <f t="shared" si="57"/>
        <v>-8.8875000000000011</v>
      </c>
      <c r="F590" s="71">
        <f t="shared" si="58"/>
        <v>-21.112499999999997</v>
      </c>
      <c r="G590" s="72">
        <f t="shared" si="59"/>
        <v>-6.1124999999999989</v>
      </c>
      <c r="H590" s="73">
        <f t="shared" si="60"/>
        <v>8.8875000000000011</v>
      </c>
    </row>
    <row r="591" spans="1:8" x14ac:dyDescent="0.25">
      <c r="A591" s="26">
        <v>-149</v>
      </c>
      <c r="B591" s="25">
        <v>0.29749999999999999</v>
      </c>
      <c r="C591" s="68">
        <f t="shared" si="55"/>
        <v>21.075000000000003</v>
      </c>
      <c r="D591" s="69">
        <f t="shared" si="56"/>
        <v>6.0750000000000011</v>
      </c>
      <c r="E591" s="70">
        <f t="shared" si="57"/>
        <v>-8.9249999999999989</v>
      </c>
      <c r="F591" s="71">
        <f t="shared" si="58"/>
        <v>-21.075000000000003</v>
      </c>
      <c r="G591" s="72">
        <f t="shared" si="59"/>
        <v>-6.0750000000000011</v>
      </c>
      <c r="H591" s="73">
        <f t="shared" si="60"/>
        <v>8.9249999999999989</v>
      </c>
    </row>
    <row r="592" spans="1:8" x14ac:dyDescent="0.25">
      <c r="A592" s="26">
        <v>-148</v>
      </c>
      <c r="B592" s="25">
        <v>0.29875000000000002</v>
      </c>
      <c r="C592" s="68">
        <f t="shared" si="55"/>
        <v>21.037500000000001</v>
      </c>
      <c r="D592" s="69">
        <f t="shared" si="56"/>
        <v>6.0374999999999996</v>
      </c>
      <c r="E592" s="70">
        <f t="shared" si="57"/>
        <v>-8.9625000000000004</v>
      </c>
      <c r="F592" s="71">
        <f t="shared" si="58"/>
        <v>-21.037500000000001</v>
      </c>
      <c r="G592" s="72">
        <f t="shared" si="59"/>
        <v>-6.0374999999999996</v>
      </c>
      <c r="H592" s="73">
        <f t="shared" si="60"/>
        <v>8.9625000000000004</v>
      </c>
    </row>
    <row r="593" spans="1:8" x14ac:dyDescent="0.25">
      <c r="A593" s="26">
        <v>-147</v>
      </c>
      <c r="B593" s="25">
        <v>0.3</v>
      </c>
      <c r="C593" s="68">
        <f t="shared" si="55"/>
        <v>21</v>
      </c>
      <c r="D593" s="69">
        <f t="shared" si="56"/>
        <v>6</v>
      </c>
      <c r="E593" s="70">
        <f t="shared" si="57"/>
        <v>-9</v>
      </c>
      <c r="F593" s="71">
        <f t="shared" si="58"/>
        <v>-21</v>
      </c>
      <c r="G593" s="72">
        <f t="shared" si="59"/>
        <v>-6</v>
      </c>
      <c r="H593" s="73">
        <f t="shared" si="60"/>
        <v>9</v>
      </c>
    </row>
    <row r="594" spans="1:8" x14ac:dyDescent="0.25">
      <c r="A594" s="26">
        <v>-146</v>
      </c>
      <c r="B594" s="25">
        <v>0.30125000000000002</v>
      </c>
      <c r="C594" s="68">
        <f t="shared" si="55"/>
        <v>20.962499999999999</v>
      </c>
      <c r="D594" s="69">
        <f t="shared" si="56"/>
        <v>5.9624999999999986</v>
      </c>
      <c r="E594" s="70">
        <f t="shared" si="57"/>
        <v>-9.0375000000000014</v>
      </c>
      <c r="F594" s="71">
        <f t="shared" si="58"/>
        <v>-20.962499999999999</v>
      </c>
      <c r="G594" s="72">
        <f t="shared" si="59"/>
        <v>-5.9624999999999986</v>
      </c>
      <c r="H594" s="73">
        <f t="shared" si="60"/>
        <v>9.0375000000000014</v>
      </c>
    </row>
    <row r="595" spans="1:8" x14ac:dyDescent="0.25">
      <c r="A595" s="26">
        <v>-145</v>
      </c>
      <c r="B595" s="25">
        <v>0.30249999999999999</v>
      </c>
      <c r="C595" s="68">
        <f t="shared" si="55"/>
        <v>20.925000000000001</v>
      </c>
      <c r="D595" s="69">
        <f t="shared" si="56"/>
        <v>5.9250000000000007</v>
      </c>
      <c r="E595" s="70">
        <f t="shared" si="57"/>
        <v>-9.0749999999999993</v>
      </c>
      <c r="F595" s="71">
        <f t="shared" si="58"/>
        <v>-20.925000000000001</v>
      </c>
      <c r="G595" s="72">
        <f t="shared" si="59"/>
        <v>-5.9250000000000007</v>
      </c>
      <c r="H595" s="73">
        <f t="shared" si="60"/>
        <v>9.0749999999999993</v>
      </c>
    </row>
    <row r="596" spans="1:8" x14ac:dyDescent="0.25">
      <c r="A596" s="26">
        <v>-144</v>
      </c>
      <c r="B596" s="25">
        <v>0.30375000000000002</v>
      </c>
      <c r="C596" s="68">
        <f t="shared" si="55"/>
        <v>20.887499999999999</v>
      </c>
      <c r="D596" s="69">
        <f t="shared" si="56"/>
        <v>5.8874999999999993</v>
      </c>
      <c r="E596" s="70">
        <f t="shared" si="57"/>
        <v>-9.1125000000000007</v>
      </c>
      <c r="F596" s="71">
        <f t="shared" si="58"/>
        <v>-20.887499999999999</v>
      </c>
      <c r="G596" s="72">
        <f t="shared" si="59"/>
        <v>-5.8874999999999993</v>
      </c>
      <c r="H596" s="73">
        <f t="shared" si="60"/>
        <v>9.1125000000000007</v>
      </c>
    </row>
    <row r="597" spans="1:8" x14ac:dyDescent="0.25">
      <c r="A597" s="26">
        <v>-143</v>
      </c>
      <c r="B597" s="25">
        <v>0.30499999999999999</v>
      </c>
      <c r="C597" s="68">
        <f t="shared" si="55"/>
        <v>20.85</v>
      </c>
      <c r="D597" s="69">
        <f t="shared" si="56"/>
        <v>5.85</v>
      </c>
      <c r="E597" s="70">
        <f t="shared" si="57"/>
        <v>-9.15</v>
      </c>
      <c r="F597" s="71">
        <f t="shared" si="58"/>
        <v>-20.85</v>
      </c>
      <c r="G597" s="72">
        <f t="shared" si="59"/>
        <v>-5.85</v>
      </c>
      <c r="H597" s="73">
        <f t="shared" si="60"/>
        <v>9.15</v>
      </c>
    </row>
    <row r="598" spans="1:8" x14ac:dyDescent="0.25">
      <c r="A598" s="26">
        <v>-142</v>
      </c>
      <c r="B598" s="25">
        <v>0.30625000000000002</v>
      </c>
      <c r="C598" s="68">
        <f t="shared" si="55"/>
        <v>20.8125</v>
      </c>
      <c r="D598" s="69">
        <f t="shared" si="56"/>
        <v>5.8125</v>
      </c>
      <c r="E598" s="70">
        <f t="shared" si="57"/>
        <v>-9.1875</v>
      </c>
      <c r="F598" s="71">
        <f t="shared" si="58"/>
        <v>-20.8125</v>
      </c>
      <c r="G598" s="72">
        <f t="shared" si="59"/>
        <v>-5.8125</v>
      </c>
      <c r="H598" s="73">
        <f t="shared" si="60"/>
        <v>9.1875</v>
      </c>
    </row>
    <row r="599" spans="1:8" x14ac:dyDescent="0.25">
      <c r="A599" s="26">
        <v>-141</v>
      </c>
      <c r="B599" s="25">
        <v>0.3075</v>
      </c>
      <c r="C599" s="68">
        <f t="shared" si="55"/>
        <v>20.774999999999999</v>
      </c>
      <c r="D599" s="69">
        <f t="shared" si="56"/>
        <v>5.7750000000000004</v>
      </c>
      <c r="E599" s="70">
        <f t="shared" si="57"/>
        <v>-9.2249999999999996</v>
      </c>
      <c r="F599" s="71">
        <f t="shared" si="58"/>
        <v>-20.774999999999999</v>
      </c>
      <c r="G599" s="72">
        <f t="shared" si="59"/>
        <v>-5.7750000000000004</v>
      </c>
      <c r="H599" s="73">
        <f t="shared" si="60"/>
        <v>9.2249999999999996</v>
      </c>
    </row>
    <row r="600" spans="1:8" x14ac:dyDescent="0.25">
      <c r="A600" s="26">
        <v>-140</v>
      </c>
      <c r="B600" s="25">
        <v>0.30875000000000002</v>
      </c>
      <c r="C600" s="68">
        <f t="shared" si="55"/>
        <v>20.737499999999997</v>
      </c>
      <c r="D600" s="69">
        <f t="shared" si="56"/>
        <v>5.7374999999999989</v>
      </c>
      <c r="E600" s="70">
        <f t="shared" si="57"/>
        <v>-9.2625000000000011</v>
      </c>
      <c r="F600" s="71">
        <f t="shared" si="58"/>
        <v>-20.737499999999997</v>
      </c>
      <c r="G600" s="72">
        <f t="shared" si="59"/>
        <v>-5.7374999999999989</v>
      </c>
      <c r="H600" s="73">
        <f t="shared" si="60"/>
        <v>9.2625000000000011</v>
      </c>
    </row>
    <row r="601" spans="1:8" x14ac:dyDescent="0.25">
      <c r="A601" s="26">
        <v>-139</v>
      </c>
      <c r="B601" s="25">
        <v>0.31</v>
      </c>
      <c r="C601" s="68">
        <f t="shared" si="55"/>
        <v>20.7</v>
      </c>
      <c r="D601" s="69">
        <f t="shared" si="56"/>
        <v>5.6999999999999993</v>
      </c>
      <c r="E601" s="70">
        <f t="shared" si="57"/>
        <v>-9.3000000000000007</v>
      </c>
      <c r="F601" s="71">
        <f t="shared" si="58"/>
        <v>-20.7</v>
      </c>
      <c r="G601" s="72">
        <f t="shared" si="59"/>
        <v>-5.6999999999999993</v>
      </c>
      <c r="H601" s="73">
        <f t="shared" si="60"/>
        <v>9.3000000000000007</v>
      </c>
    </row>
    <row r="602" spans="1:8" x14ac:dyDescent="0.25">
      <c r="A602" s="26">
        <v>-138</v>
      </c>
      <c r="B602" s="25">
        <v>0.31125000000000003</v>
      </c>
      <c r="C602" s="68">
        <f t="shared" si="55"/>
        <v>20.662500000000001</v>
      </c>
      <c r="D602" s="69">
        <f t="shared" si="56"/>
        <v>5.6624999999999996</v>
      </c>
      <c r="E602" s="70">
        <f t="shared" si="57"/>
        <v>-9.3375000000000004</v>
      </c>
      <c r="F602" s="71">
        <f t="shared" si="58"/>
        <v>-20.662500000000001</v>
      </c>
      <c r="G602" s="72">
        <f t="shared" si="59"/>
        <v>-5.6624999999999996</v>
      </c>
      <c r="H602" s="73">
        <f t="shared" si="60"/>
        <v>9.3375000000000004</v>
      </c>
    </row>
    <row r="603" spans="1:8" x14ac:dyDescent="0.25">
      <c r="A603" s="26">
        <v>-137</v>
      </c>
      <c r="B603" s="25">
        <v>0.3125</v>
      </c>
      <c r="C603" s="68">
        <f t="shared" si="55"/>
        <v>20.625</v>
      </c>
      <c r="D603" s="69">
        <f t="shared" si="56"/>
        <v>5.625</v>
      </c>
      <c r="E603" s="70">
        <f t="shared" si="57"/>
        <v>-9.375</v>
      </c>
      <c r="F603" s="71">
        <f t="shared" si="58"/>
        <v>-20.625</v>
      </c>
      <c r="G603" s="72">
        <f t="shared" si="59"/>
        <v>-5.625</v>
      </c>
      <c r="H603" s="73">
        <f t="shared" si="60"/>
        <v>9.375</v>
      </c>
    </row>
    <row r="604" spans="1:8" x14ac:dyDescent="0.25">
      <c r="A604" s="26">
        <v>-136</v>
      </c>
      <c r="B604" s="25">
        <v>0.31374999999999997</v>
      </c>
      <c r="C604" s="68">
        <f t="shared" si="55"/>
        <v>20.587499999999999</v>
      </c>
      <c r="D604" s="69">
        <f t="shared" si="56"/>
        <v>5.5875000000000004</v>
      </c>
      <c r="E604" s="70">
        <f t="shared" si="57"/>
        <v>-9.4124999999999996</v>
      </c>
      <c r="F604" s="71">
        <f t="shared" si="58"/>
        <v>-20.587499999999999</v>
      </c>
      <c r="G604" s="72">
        <f t="shared" si="59"/>
        <v>-5.5875000000000004</v>
      </c>
      <c r="H604" s="73">
        <f t="shared" si="60"/>
        <v>9.4124999999999996</v>
      </c>
    </row>
    <row r="605" spans="1:8" x14ac:dyDescent="0.25">
      <c r="A605" s="26">
        <v>-135</v>
      </c>
      <c r="B605" s="25">
        <v>0.315</v>
      </c>
      <c r="C605" s="68">
        <f t="shared" si="55"/>
        <v>20.55</v>
      </c>
      <c r="D605" s="69">
        <f t="shared" si="56"/>
        <v>5.5500000000000007</v>
      </c>
      <c r="E605" s="70">
        <f t="shared" si="57"/>
        <v>-9.4499999999999993</v>
      </c>
      <c r="F605" s="71">
        <f t="shared" si="58"/>
        <v>-20.55</v>
      </c>
      <c r="G605" s="72">
        <f t="shared" si="59"/>
        <v>-5.5500000000000007</v>
      </c>
      <c r="H605" s="73">
        <f t="shared" si="60"/>
        <v>9.4499999999999993</v>
      </c>
    </row>
    <row r="606" spans="1:8" x14ac:dyDescent="0.25">
      <c r="A606" s="26">
        <v>-134</v>
      </c>
      <c r="B606" s="25">
        <v>0.31624999999999998</v>
      </c>
      <c r="C606" s="68">
        <f t="shared" si="55"/>
        <v>20.512500000000003</v>
      </c>
      <c r="D606" s="69">
        <f t="shared" si="56"/>
        <v>5.5125000000000011</v>
      </c>
      <c r="E606" s="70">
        <f t="shared" si="57"/>
        <v>-9.4874999999999989</v>
      </c>
      <c r="F606" s="71">
        <f t="shared" si="58"/>
        <v>-20.512500000000003</v>
      </c>
      <c r="G606" s="72">
        <f t="shared" si="59"/>
        <v>-5.5125000000000011</v>
      </c>
      <c r="H606" s="73">
        <f t="shared" si="60"/>
        <v>9.4874999999999989</v>
      </c>
    </row>
    <row r="607" spans="1:8" x14ac:dyDescent="0.25">
      <c r="A607" s="26">
        <v>-133</v>
      </c>
      <c r="B607" s="25">
        <v>0.3175</v>
      </c>
      <c r="C607" s="68">
        <f t="shared" si="55"/>
        <v>20.475000000000001</v>
      </c>
      <c r="D607" s="69">
        <f t="shared" si="56"/>
        <v>5.4749999999999996</v>
      </c>
      <c r="E607" s="70">
        <f t="shared" si="57"/>
        <v>-9.5250000000000004</v>
      </c>
      <c r="F607" s="71">
        <f t="shared" si="58"/>
        <v>-20.475000000000001</v>
      </c>
      <c r="G607" s="72">
        <f t="shared" si="59"/>
        <v>-5.4749999999999996</v>
      </c>
      <c r="H607" s="73">
        <f t="shared" si="60"/>
        <v>9.5250000000000004</v>
      </c>
    </row>
    <row r="608" spans="1:8" x14ac:dyDescent="0.25">
      <c r="A608" s="26">
        <v>-132</v>
      </c>
      <c r="B608" s="25">
        <v>0.31874999999999998</v>
      </c>
      <c r="C608" s="68">
        <f t="shared" si="55"/>
        <v>20.4375</v>
      </c>
      <c r="D608" s="69">
        <f t="shared" si="56"/>
        <v>5.4375</v>
      </c>
      <c r="E608" s="70">
        <f t="shared" si="57"/>
        <v>-9.5625</v>
      </c>
      <c r="F608" s="71">
        <f t="shared" si="58"/>
        <v>-20.4375</v>
      </c>
      <c r="G608" s="72">
        <f t="shared" si="59"/>
        <v>-5.4375</v>
      </c>
      <c r="H608" s="73">
        <f t="shared" si="60"/>
        <v>9.5625</v>
      </c>
    </row>
    <row r="609" spans="1:8" x14ac:dyDescent="0.25">
      <c r="A609" s="26">
        <v>-131</v>
      </c>
      <c r="B609" s="25">
        <v>0.32</v>
      </c>
      <c r="C609" s="68">
        <f t="shared" si="55"/>
        <v>20.399999999999999</v>
      </c>
      <c r="D609" s="69">
        <f t="shared" si="56"/>
        <v>5.4</v>
      </c>
      <c r="E609" s="70">
        <f t="shared" si="57"/>
        <v>-9.6</v>
      </c>
      <c r="F609" s="71">
        <f t="shared" si="58"/>
        <v>-20.399999999999999</v>
      </c>
      <c r="G609" s="72">
        <f t="shared" si="59"/>
        <v>-5.4</v>
      </c>
      <c r="H609" s="73">
        <f t="shared" si="60"/>
        <v>9.6</v>
      </c>
    </row>
    <row r="610" spans="1:8" x14ac:dyDescent="0.25">
      <c r="A610" s="26">
        <v>-130</v>
      </c>
      <c r="B610" s="25">
        <v>0.32124999999999998</v>
      </c>
      <c r="C610" s="68">
        <f t="shared" si="55"/>
        <v>20.362500000000001</v>
      </c>
      <c r="D610" s="69">
        <f t="shared" si="56"/>
        <v>5.3625000000000007</v>
      </c>
      <c r="E610" s="70">
        <f t="shared" si="57"/>
        <v>-9.6374999999999993</v>
      </c>
      <c r="F610" s="71">
        <f t="shared" si="58"/>
        <v>-20.362500000000001</v>
      </c>
      <c r="G610" s="72">
        <f t="shared" si="59"/>
        <v>-5.3625000000000007</v>
      </c>
      <c r="H610" s="73">
        <f t="shared" si="60"/>
        <v>9.6374999999999993</v>
      </c>
    </row>
    <row r="611" spans="1:8" x14ac:dyDescent="0.25">
      <c r="A611" s="26">
        <v>-129</v>
      </c>
      <c r="B611" s="25">
        <v>0.32250000000000001</v>
      </c>
      <c r="C611" s="68">
        <f t="shared" si="55"/>
        <v>20.324999999999999</v>
      </c>
      <c r="D611" s="69">
        <f t="shared" si="56"/>
        <v>5.3249999999999993</v>
      </c>
      <c r="E611" s="70">
        <f t="shared" si="57"/>
        <v>-9.6750000000000007</v>
      </c>
      <c r="F611" s="71">
        <f t="shared" si="58"/>
        <v>-20.324999999999999</v>
      </c>
      <c r="G611" s="72">
        <f t="shared" si="59"/>
        <v>-5.3249999999999993</v>
      </c>
      <c r="H611" s="73">
        <f t="shared" si="60"/>
        <v>9.6750000000000007</v>
      </c>
    </row>
    <row r="612" spans="1:8" x14ac:dyDescent="0.25">
      <c r="A612" s="26">
        <v>-128</v>
      </c>
      <c r="B612" s="25">
        <v>0.32374999999999998</v>
      </c>
      <c r="C612" s="68">
        <f t="shared" si="55"/>
        <v>20.287500000000001</v>
      </c>
      <c r="D612" s="69">
        <f t="shared" si="56"/>
        <v>5.2875000000000014</v>
      </c>
      <c r="E612" s="70">
        <f t="shared" si="57"/>
        <v>-9.7124999999999986</v>
      </c>
      <c r="F612" s="71">
        <f t="shared" si="58"/>
        <v>-20.287500000000001</v>
      </c>
      <c r="G612" s="72">
        <f t="shared" si="59"/>
        <v>-5.2875000000000014</v>
      </c>
      <c r="H612" s="73">
        <f t="shared" si="60"/>
        <v>9.7124999999999986</v>
      </c>
    </row>
    <row r="613" spans="1:8" x14ac:dyDescent="0.25">
      <c r="A613" s="26">
        <v>-127</v>
      </c>
      <c r="B613" s="25">
        <v>0.32500000000000001</v>
      </c>
      <c r="C613" s="68">
        <f t="shared" si="55"/>
        <v>20.25</v>
      </c>
      <c r="D613" s="69">
        <f t="shared" si="56"/>
        <v>5.25</v>
      </c>
      <c r="E613" s="70">
        <f t="shared" si="57"/>
        <v>-9.75</v>
      </c>
      <c r="F613" s="71">
        <f t="shared" si="58"/>
        <v>-20.25</v>
      </c>
      <c r="G613" s="72">
        <f t="shared" si="59"/>
        <v>-5.25</v>
      </c>
      <c r="H613" s="73">
        <f t="shared" si="60"/>
        <v>9.75</v>
      </c>
    </row>
    <row r="614" spans="1:8" x14ac:dyDescent="0.25">
      <c r="A614" s="26">
        <v>-126</v>
      </c>
      <c r="B614" s="25">
        <v>0.32624999999999998</v>
      </c>
      <c r="C614" s="68">
        <f t="shared" si="55"/>
        <v>20.212499999999999</v>
      </c>
      <c r="D614" s="69">
        <f t="shared" si="56"/>
        <v>5.2125000000000004</v>
      </c>
      <c r="E614" s="70">
        <f t="shared" si="57"/>
        <v>-9.7874999999999996</v>
      </c>
      <c r="F614" s="71">
        <f t="shared" si="58"/>
        <v>-20.212499999999999</v>
      </c>
      <c r="G614" s="72">
        <f t="shared" si="59"/>
        <v>-5.2125000000000004</v>
      </c>
      <c r="H614" s="73">
        <f t="shared" si="60"/>
        <v>9.7874999999999996</v>
      </c>
    </row>
    <row r="615" spans="1:8" x14ac:dyDescent="0.25">
      <c r="A615" s="26">
        <v>-125</v>
      </c>
      <c r="B615" s="25">
        <v>0.32750000000000001</v>
      </c>
      <c r="C615" s="68">
        <f t="shared" si="55"/>
        <v>20.174999999999997</v>
      </c>
      <c r="D615" s="69">
        <f t="shared" si="56"/>
        <v>5.1749999999999989</v>
      </c>
      <c r="E615" s="70">
        <f t="shared" si="57"/>
        <v>-9.8250000000000011</v>
      </c>
      <c r="F615" s="71">
        <f t="shared" si="58"/>
        <v>-20.174999999999997</v>
      </c>
      <c r="G615" s="72">
        <f t="shared" si="59"/>
        <v>-5.1749999999999989</v>
      </c>
      <c r="H615" s="73">
        <f t="shared" si="60"/>
        <v>9.8250000000000011</v>
      </c>
    </row>
    <row r="616" spans="1:8" x14ac:dyDescent="0.25">
      <c r="A616" s="26">
        <v>-124</v>
      </c>
      <c r="B616" s="25">
        <v>0.32874999999999999</v>
      </c>
      <c r="C616" s="68">
        <f t="shared" si="55"/>
        <v>20.137500000000003</v>
      </c>
      <c r="D616" s="69">
        <f t="shared" si="56"/>
        <v>5.1375000000000011</v>
      </c>
      <c r="E616" s="70">
        <f t="shared" si="57"/>
        <v>-9.8624999999999989</v>
      </c>
      <c r="F616" s="71">
        <f t="shared" si="58"/>
        <v>-20.137500000000003</v>
      </c>
      <c r="G616" s="72">
        <f t="shared" si="59"/>
        <v>-5.1375000000000011</v>
      </c>
      <c r="H616" s="73">
        <f t="shared" si="60"/>
        <v>9.8624999999999989</v>
      </c>
    </row>
    <row r="617" spans="1:8" x14ac:dyDescent="0.25">
      <c r="A617" s="26">
        <v>-123</v>
      </c>
      <c r="B617" s="25">
        <v>0.33</v>
      </c>
      <c r="C617" s="68">
        <f t="shared" si="55"/>
        <v>20.100000000000001</v>
      </c>
      <c r="D617" s="69">
        <f t="shared" si="56"/>
        <v>5.0999999999999996</v>
      </c>
      <c r="E617" s="70">
        <f t="shared" si="57"/>
        <v>-9.9</v>
      </c>
      <c r="F617" s="71">
        <f t="shared" si="58"/>
        <v>-20.100000000000001</v>
      </c>
      <c r="G617" s="72">
        <f t="shared" si="59"/>
        <v>-5.0999999999999996</v>
      </c>
      <c r="H617" s="73">
        <f t="shared" si="60"/>
        <v>9.9</v>
      </c>
    </row>
    <row r="618" spans="1:8" x14ac:dyDescent="0.25">
      <c r="A618" s="26">
        <v>-122</v>
      </c>
      <c r="B618" s="25">
        <v>0.33124999999999999</v>
      </c>
      <c r="C618" s="68">
        <f t="shared" si="55"/>
        <v>20.0625</v>
      </c>
      <c r="D618" s="69">
        <f t="shared" si="56"/>
        <v>5.0625</v>
      </c>
      <c r="E618" s="70">
        <f t="shared" si="57"/>
        <v>-9.9375</v>
      </c>
      <c r="F618" s="71">
        <f t="shared" si="58"/>
        <v>-20.0625</v>
      </c>
      <c r="G618" s="72">
        <f t="shared" si="59"/>
        <v>-5.0625</v>
      </c>
      <c r="H618" s="73">
        <f t="shared" si="60"/>
        <v>9.9375</v>
      </c>
    </row>
    <row r="619" spans="1:8" x14ac:dyDescent="0.25">
      <c r="A619" s="26">
        <v>-121</v>
      </c>
      <c r="B619" s="25">
        <v>0.33250000000000002</v>
      </c>
      <c r="C619" s="68">
        <f t="shared" si="55"/>
        <v>20.024999999999999</v>
      </c>
      <c r="D619" s="69">
        <f t="shared" si="56"/>
        <v>5.0249999999999986</v>
      </c>
      <c r="E619" s="70">
        <f t="shared" si="57"/>
        <v>-9.9750000000000014</v>
      </c>
      <c r="F619" s="71">
        <f t="shared" si="58"/>
        <v>-20.024999999999999</v>
      </c>
      <c r="G619" s="72">
        <f t="shared" si="59"/>
        <v>-5.0249999999999986</v>
      </c>
      <c r="H619" s="73">
        <f t="shared" si="60"/>
        <v>9.9750000000000014</v>
      </c>
    </row>
    <row r="620" spans="1:8" x14ac:dyDescent="0.25">
      <c r="A620" s="26">
        <v>-120</v>
      </c>
      <c r="B620" s="25">
        <v>0.33374999999999999</v>
      </c>
      <c r="C620" s="68">
        <f t="shared" si="55"/>
        <v>19.987500000000001</v>
      </c>
      <c r="D620" s="69">
        <f t="shared" si="56"/>
        <v>4.9875000000000007</v>
      </c>
      <c r="E620" s="70">
        <f t="shared" si="57"/>
        <v>-10.012499999999999</v>
      </c>
      <c r="F620" s="71">
        <f t="shared" si="58"/>
        <v>-19.987500000000001</v>
      </c>
      <c r="G620" s="72">
        <f t="shared" si="59"/>
        <v>-4.9875000000000007</v>
      </c>
      <c r="H620" s="73">
        <f t="shared" si="60"/>
        <v>10.012499999999999</v>
      </c>
    </row>
    <row r="621" spans="1:8" x14ac:dyDescent="0.25">
      <c r="A621" s="26">
        <v>-119</v>
      </c>
      <c r="B621" s="25">
        <v>0.33500000000000002</v>
      </c>
      <c r="C621" s="68">
        <f t="shared" si="55"/>
        <v>19.95</v>
      </c>
      <c r="D621" s="69">
        <f t="shared" si="56"/>
        <v>4.9499999999999993</v>
      </c>
      <c r="E621" s="70">
        <f t="shared" si="57"/>
        <v>-10.050000000000001</v>
      </c>
      <c r="F621" s="71">
        <f t="shared" si="58"/>
        <v>-19.95</v>
      </c>
      <c r="G621" s="72">
        <f t="shared" si="59"/>
        <v>-4.9499999999999993</v>
      </c>
      <c r="H621" s="73">
        <f t="shared" si="60"/>
        <v>10.050000000000001</v>
      </c>
    </row>
    <row r="622" spans="1:8" x14ac:dyDescent="0.25">
      <c r="A622" s="26">
        <v>-118</v>
      </c>
      <c r="B622" s="25">
        <v>0.33624999999999999</v>
      </c>
      <c r="C622" s="68">
        <f t="shared" si="55"/>
        <v>19.912500000000001</v>
      </c>
      <c r="D622" s="69">
        <f t="shared" si="56"/>
        <v>4.9124999999999996</v>
      </c>
      <c r="E622" s="70">
        <f t="shared" si="57"/>
        <v>-10.0875</v>
      </c>
      <c r="F622" s="71">
        <f t="shared" si="58"/>
        <v>-19.912500000000001</v>
      </c>
      <c r="G622" s="72">
        <f t="shared" si="59"/>
        <v>-4.9124999999999996</v>
      </c>
      <c r="H622" s="73">
        <f t="shared" si="60"/>
        <v>10.0875</v>
      </c>
    </row>
    <row r="623" spans="1:8" x14ac:dyDescent="0.25">
      <c r="A623" s="26">
        <v>-117</v>
      </c>
      <c r="B623" s="25">
        <v>0.33750000000000002</v>
      </c>
      <c r="C623" s="68">
        <f t="shared" si="55"/>
        <v>19.875</v>
      </c>
      <c r="D623" s="69">
        <f t="shared" si="56"/>
        <v>4.875</v>
      </c>
      <c r="E623" s="70">
        <f t="shared" si="57"/>
        <v>-10.125</v>
      </c>
      <c r="F623" s="71">
        <f t="shared" si="58"/>
        <v>-19.875</v>
      </c>
      <c r="G623" s="72">
        <f t="shared" si="59"/>
        <v>-4.875</v>
      </c>
      <c r="H623" s="73">
        <f t="shared" si="60"/>
        <v>10.125</v>
      </c>
    </row>
    <row r="624" spans="1:8" x14ac:dyDescent="0.25">
      <c r="A624" s="26">
        <v>-116</v>
      </c>
      <c r="B624" s="25">
        <v>0.33875</v>
      </c>
      <c r="C624" s="68">
        <f t="shared" si="55"/>
        <v>19.837499999999999</v>
      </c>
      <c r="D624" s="69">
        <f t="shared" si="56"/>
        <v>4.8375000000000004</v>
      </c>
      <c r="E624" s="70">
        <f t="shared" si="57"/>
        <v>-10.1625</v>
      </c>
      <c r="F624" s="71">
        <f t="shared" si="58"/>
        <v>-19.837499999999999</v>
      </c>
      <c r="G624" s="72">
        <f t="shared" si="59"/>
        <v>-4.8375000000000004</v>
      </c>
      <c r="H624" s="73">
        <f t="shared" si="60"/>
        <v>10.1625</v>
      </c>
    </row>
    <row r="625" spans="1:8" x14ac:dyDescent="0.25">
      <c r="A625" s="26">
        <v>-115</v>
      </c>
      <c r="B625" s="25">
        <v>0.34</v>
      </c>
      <c r="C625" s="68">
        <f t="shared" si="55"/>
        <v>19.799999999999997</v>
      </c>
      <c r="D625" s="69">
        <f t="shared" si="56"/>
        <v>4.7999999999999989</v>
      </c>
      <c r="E625" s="70">
        <f t="shared" si="57"/>
        <v>-10.200000000000001</v>
      </c>
      <c r="F625" s="71">
        <f t="shared" si="58"/>
        <v>-19.799999999999997</v>
      </c>
      <c r="G625" s="72">
        <f t="shared" si="59"/>
        <v>-4.7999999999999989</v>
      </c>
      <c r="H625" s="73">
        <f t="shared" si="60"/>
        <v>10.200000000000001</v>
      </c>
    </row>
    <row r="626" spans="1:8" x14ac:dyDescent="0.25">
      <c r="A626" s="26">
        <v>-114</v>
      </c>
      <c r="B626" s="25">
        <v>0.34143000000000001</v>
      </c>
      <c r="C626" s="68">
        <f t="shared" si="55"/>
        <v>19.757100000000001</v>
      </c>
      <c r="D626" s="69">
        <f t="shared" si="56"/>
        <v>4.7570999999999994</v>
      </c>
      <c r="E626" s="70">
        <f t="shared" si="57"/>
        <v>-10.242900000000001</v>
      </c>
      <c r="F626" s="71">
        <f t="shared" si="58"/>
        <v>-19.757100000000001</v>
      </c>
      <c r="G626" s="72">
        <f t="shared" si="59"/>
        <v>-4.7570999999999994</v>
      </c>
      <c r="H626" s="73">
        <f t="shared" si="60"/>
        <v>10.242900000000001</v>
      </c>
    </row>
    <row r="627" spans="1:8" x14ac:dyDescent="0.25">
      <c r="A627" s="26">
        <v>-113</v>
      </c>
      <c r="B627" s="25">
        <v>0.34286</v>
      </c>
      <c r="C627" s="68">
        <f t="shared" si="55"/>
        <v>19.714199999999998</v>
      </c>
      <c r="D627" s="69">
        <f t="shared" si="56"/>
        <v>4.7141999999999999</v>
      </c>
      <c r="E627" s="70">
        <f t="shared" si="57"/>
        <v>-10.2858</v>
      </c>
      <c r="F627" s="71">
        <f t="shared" si="58"/>
        <v>-19.714199999999998</v>
      </c>
      <c r="G627" s="72">
        <f t="shared" si="59"/>
        <v>-4.7141999999999999</v>
      </c>
      <c r="H627" s="73">
        <f t="shared" si="60"/>
        <v>10.2858</v>
      </c>
    </row>
    <row r="628" spans="1:8" x14ac:dyDescent="0.25">
      <c r="A628" s="26">
        <v>-112</v>
      </c>
      <c r="B628" s="25">
        <v>0.34428999999999998</v>
      </c>
      <c r="C628" s="68">
        <f t="shared" si="55"/>
        <v>19.671300000000002</v>
      </c>
      <c r="D628" s="69">
        <f t="shared" si="56"/>
        <v>4.6713000000000005</v>
      </c>
      <c r="E628" s="70">
        <f t="shared" si="57"/>
        <v>-10.3287</v>
      </c>
      <c r="F628" s="71">
        <f t="shared" si="58"/>
        <v>-19.671300000000002</v>
      </c>
      <c r="G628" s="72">
        <f t="shared" si="59"/>
        <v>-4.6713000000000005</v>
      </c>
      <c r="H628" s="73">
        <f t="shared" si="60"/>
        <v>10.3287</v>
      </c>
    </row>
    <row r="629" spans="1:8" x14ac:dyDescent="0.25">
      <c r="A629" s="26">
        <v>-111</v>
      </c>
      <c r="B629" s="25">
        <v>0.34571000000000002</v>
      </c>
      <c r="C629" s="68">
        <f t="shared" si="55"/>
        <v>19.628700000000002</v>
      </c>
      <c r="D629" s="69">
        <f t="shared" si="56"/>
        <v>4.6287000000000003</v>
      </c>
      <c r="E629" s="70">
        <f t="shared" si="57"/>
        <v>-10.3713</v>
      </c>
      <c r="F629" s="71">
        <f t="shared" si="58"/>
        <v>-19.628700000000002</v>
      </c>
      <c r="G629" s="72">
        <f t="shared" si="59"/>
        <v>-4.6287000000000003</v>
      </c>
      <c r="H629" s="73">
        <f t="shared" si="60"/>
        <v>10.3713</v>
      </c>
    </row>
    <row r="630" spans="1:8" x14ac:dyDescent="0.25">
      <c r="A630" s="26">
        <v>-110</v>
      </c>
      <c r="B630" s="25">
        <v>0.34714</v>
      </c>
      <c r="C630" s="68">
        <f t="shared" si="55"/>
        <v>19.585799999999999</v>
      </c>
      <c r="D630" s="69">
        <f t="shared" si="56"/>
        <v>4.585799999999999</v>
      </c>
      <c r="E630" s="70">
        <f t="shared" si="57"/>
        <v>-10.414200000000001</v>
      </c>
      <c r="F630" s="71">
        <f t="shared" si="58"/>
        <v>-19.585799999999999</v>
      </c>
      <c r="G630" s="72">
        <f t="shared" si="59"/>
        <v>-4.585799999999999</v>
      </c>
      <c r="H630" s="73">
        <f t="shared" si="60"/>
        <v>10.414200000000001</v>
      </c>
    </row>
    <row r="631" spans="1:8" x14ac:dyDescent="0.25">
      <c r="A631" s="26">
        <v>-109</v>
      </c>
      <c r="B631" s="25">
        <v>0.34856999999999999</v>
      </c>
      <c r="C631" s="68">
        <f t="shared" si="55"/>
        <v>19.542899999999999</v>
      </c>
      <c r="D631" s="69">
        <f t="shared" si="56"/>
        <v>4.5428999999999995</v>
      </c>
      <c r="E631" s="70">
        <f t="shared" si="57"/>
        <v>-10.457100000000001</v>
      </c>
      <c r="F631" s="71">
        <f t="shared" si="58"/>
        <v>-19.542899999999999</v>
      </c>
      <c r="G631" s="72">
        <f t="shared" si="59"/>
        <v>-4.5428999999999995</v>
      </c>
      <c r="H631" s="73">
        <f t="shared" si="60"/>
        <v>10.457100000000001</v>
      </c>
    </row>
    <row r="632" spans="1:8" x14ac:dyDescent="0.25">
      <c r="A632" s="26">
        <v>-108</v>
      </c>
      <c r="B632" s="25">
        <v>0.35</v>
      </c>
      <c r="C632" s="68">
        <f t="shared" si="55"/>
        <v>19.5</v>
      </c>
      <c r="D632" s="69">
        <f t="shared" si="56"/>
        <v>4.5</v>
      </c>
      <c r="E632" s="70">
        <f t="shared" si="57"/>
        <v>-10.5</v>
      </c>
      <c r="F632" s="71">
        <f t="shared" si="58"/>
        <v>-19.5</v>
      </c>
      <c r="G632" s="72">
        <f t="shared" si="59"/>
        <v>-4.5</v>
      </c>
      <c r="H632" s="73">
        <f t="shared" si="60"/>
        <v>10.5</v>
      </c>
    </row>
    <row r="633" spans="1:8" x14ac:dyDescent="0.25">
      <c r="A633" s="26">
        <v>-107</v>
      </c>
      <c r="B633" s="25">
        <v>0.35125000000000001</v>
      </c>
      <c r="C633" s="68">
        <f t="shared" si="55"/>
        <v>19.462499999999999</v>
      </c>
      <c r="D633" s="69">
        <f t="shared" si="56"/>
        <v>4.4625000000000004</v>
      </c>
      <c r="E633" s="70">
        <f t="shared" si="57"/>
        <v>-10.5375</v>
      </c>
      <c r="F633" s="71">
        <f t="shared" si="58"/>
        <v>-19.462499999999999</v>
      </c>
      <c r="G633" s="72">
        <f t="shared" si="59"/>
        <v>-4.4625000000000004</v>
      </c>
      <c r="H633" s="73">
        <f t="shared" si="60"/>
        <v>10.5375</v>
      </c>
    </row>
    <row r="634" spans="1:8" x14ac:dyDescent="0.25">
      <c r="A634" s="26">
        <v>-106</v>
      </c>
      <c r="B634" s="25">
        <v>0.35249999999999998</v>
      </c>
      <c r="C634" s="68">
        <f t="shared" si="55"/>
        <v>19.425000000000001</v>
      </c>
      <c r="D634" s="69">
        <f t="shared" si="56"/>
        <v>4.4250000000000007</v>
      </c>
      <c r="E634" s="70">
        <f t="shared" si="57"/>
        <v>-10.574999999999999</v>
      </c>
      <c r="F634" s="71">
        <f t="shared" si="58"/>
        <v>-19.425000000000001</v>
      </c>
      <c r="G634" s="72">
        <f t="shared" si="59"/>
        <v>-4.4250000000000007</v>
      </c>
      <c r="H634" s="73">
        <f t="shared" si="60"/>
        <v>10.574999999999999</v>
      </c>
    </row>
    <row r="635" spans="1:8" x14ac:dyDescent="0.25">
      <c r="A635" s="26">
        <v>-105</v>
      </c>
      <c r="B635" s="25">
        <v>0.35375000000000001</v>
      </c>
      <c r="C635" s="68">
        <f t="shared" si="55"/>
        <v>19.387499999999999</v>
      </c>
      <c r="D635" s="69">
        <f t="shared" si="56"/>
        <v>4.3874999999999993</v>
      </c>
      <c r="E635" s="70">
        <f t="shared" si="57"/>
        <v>-10.612500000000001</v>
      </c>
      <c r="F635" s="71">
        <f t="shared" si="58"/>
        <v>-19.387499999999999</v>
      </c>
      <c r="G635" s="72">
        <f t="shared" si="59"/>
        <v>-4.3874999999999993</v>
      </c>
      <c r="H635" s="73">
        <f t="shared" si="60"/>
        <v>10.612500000000001</v>
      </c>
    </row>
    <row r="636" spans="1:8" x14ac:dyDescent="0.25">
      <c r="A636" s="26">
        <v>-104</v>
      </c>
      <c r="B636" s="25">
        <v>0.35499999999999998</v>
      </c>
      <c r="C636" s="68">
        <f t="shared" si="55"/>
        <v>19.350000000000001</v>
      </c>
      <c r="D636" s="69">
        <f t="shared" si="56"/>
        <v>4.3500000000000014</v>
      </c>
      <c r="E636" s="70">
        <f t="shared" si="57"/>
        <v>-10.649999999999999</v>
      </c>
      <c r="F636" s="71">
        <f t="shared" si="58"/>
        <v>-19.350000000000001</v>
      </c>
      <c r="G636" s="72">
        <f t="shared" si="59"/>
        <v>-4.3500000000000014</v>
      </c>
      <c r="H636" s="73">
        <f t="shared" si="60"/>
        <v>10.649999999999999</v>
      </c>
    </row>
    <row r="637" spans="1:8" x14ac:dyDescent="0.25">
      <c r="A637" s="26">
        <v>-103</v>
      </c>
      <c r="B637" s="25">
        <v>0.35625000000000001</v>
      </c>
      <c r="C637" s="68">
        <f t="shared" si="55"/>
        <v>19.3125</v>
      </c>
      <c r="D637" s="69">
        <f t="shared" si="56"/>
        <v>4.3125</v>
      </c>
      <c r="E637" s="70">
        <f t="shared" si="57"/>
        <v>-10.6875</v>
      </c>
      <c r="F637" s="71">
        <f t="shared" si="58"/>
        <v>-19.3125</v>
      </c>
      <c r="G637" s="72">
        <f t="shared" si="59"/>
        <v>-4.3125</v>
      </c>
      <c r="H637" s="73">
        <f t="shared" si="60"/>
        <v>10.6875</v>
      </c>
    </row>
    <row r="638" spans="1:8" x14ac:dyDescent="0.25">
      <c r="A638" s="26">
        <v>-102</v>
      </c>
      <c r="B638" s="25">
        <v>0.35749999999999998</v>
      </c>
      <c r="C638" s="68">
        <f t="shared" si="55"/>
        <v>19.274999999999999</v>
      </c>
      <c r="D638" s="69">
        <f t="shared" si="56"/>
        <v>4.2750000000000004</v>
      </c>
      <c r="E638" s="70">
        <f t="shared" si="57"/>
        <v>-10.725</v>
      </c>
      <c r="F638" s="71">
        <f t="shared" si="58"/>
        <v>-19.274999999999999</v>
      </c>
      <c r="G638" s="72">
        <f t="shared" si="59"/>
        <v>-4.2750000000000004</v>
      </c>
      <c r="H638" s="73">
        <f t="shared" si="60"/>
        <v>10.725</v>
      </c>
    </row>
    <row r="639" spans="1:8" x14ac:dyDescent="0.25">
      <c r="A639" s="26">
        <v>-101</v>
      </c>
      <c r="B639" s="25">
        <v>0.35875000000000001</v>
      </c>
      <c r="C639" s="68">
        <f t="shared" si="55"/>
        <v>19.237499999999997</v>
      </c>
      <c r="D639" s="69">
        <f t="shared" si="56"/>
        <v>4.2374999999999989</v>
      </c>
      <c r="E639" s="70">
        <f t="shared" si="57"/>
        <v>-10.762500000000001</v>
      </c>
      <c r="F639" s="71">
        <f t="shared" si="58"/>
        <v>-19.237499999999997</v>
      </c>
      <c r="G639" s="72">
        <f t="shared" si="59"/>
        <v>-4.2374999999999989</v>
      </c>
      <c r="H639" s="73">
        <f t="shared" si="60"/>
        <v>10.762500000000001</v>
      </c>
    </row>
    <row r="640" spans="1:8" x14ac:dyDescent="0.25">
      <c r="A640" s="26">
        <v>-100</v>
      </c>
      <c r="B640" s="25">
        <v>0.36</v>
      </c>
      <c r="C640" s="68">
        <f t="shared" si="55"/>
        <v>19.200000000000003</v>
      </c>
      <c r="D640" s="69">
        <f t="shared" si="56"/>
        <v>4.2000000000000011</v>
      </c>
      <c r="E640" s="70">
        <f t="shared" si="57"/>
        <v>-10.799999999999999</v>
      </c>
      <c r="F640" s="71">
        <f t="shared" si="58"/>
        <v>-19.200000000000003</v>
      </c>
      <c r="G640" s="72">
        <f t="shared" si="59"/>
        <v>-4.2000000000000011</v>
      </c>
      <c r="H640" s="73">
        <f t="shared" si="60"/>
        <v>10.799999999999999</v>
      </c>
    </row>
    <row r="641" spans="1:8" x14ac:dyDescent="0.25">
      <c r="A641" s="26">
        <v>-99</v>
      </c>
      <c r="B641" s="25">
        <v>0.36142999999999997</v>
      </c>
      <c r="C641" s="68">
        <f t="shared" si="55"/>
        <v>19.1571</v>
      </c>
      <c r="D641" s="69">
        <f t="shared" si="56"/>
        <v>4.1571000000000016</v>
      </c>
      <c r="E641" s="70">
        <f t="shared" si="57"/>
        <v>-10.842899999999998</v>
      </c>
      <c r="F641" s="71">
        <f t="shared" si="58"/>
        <v>-19.1571</v>
      </c>
      <c r="G641" s="72">
        <f t="shared" si="59"/>
        <v>-4.1571000000000016</v>
      </c>
      <c r="H641" s="73">
        <f t="shared" si="60"/>
        <v>10.842899999999998</v>
      </c>
    </row>
    <row r="642" spans="1:8" x14ac:dyDescent="0.25">
      <c r="A642" s="26">
        <v>-98</v>
      </c>
      <c r="B642" s="25">
        <v>0.36286000000000002</v>
      </c>
      <c r="C642" s="68">
        <f t="shared" si="55"/>
        <v>19.1142</v>
      </c>
      <c r="D642" s="69">
        <f t="shared" si="56"/>
        <v>4.1142000000000003</v>
      </c>
      <c r="E642" s="70">
        <f t="shared" si="57"/>
        <v>-10.8858</v>
      </c>
      <c r="F642" s="71">
        <f t="shared" si="58"/>
        <v>-19.1142</v>
      </c>
      <c r="G642" s="72">
        <f t="shared" si="59"/>
        <v>-4.1142000000000003</v>
      </c>
      <c r="H642" s="73">
        <f t="shared" si="60"/>
        <v>10.8858</v>
      </c>
    </row>
    <row r="643" spans="1:8" x14ac:dyDescent="0.25">
      <c r="A643" s="26">
        <v>-97</v>
      </c>
      <c r="B643" s="25">
        <v>0.36429</v>
      </c>
      <c r="C643" s="68">
        <f t="shared" si="55"/>
        <v>19.071300000000001</v>
      </c>
      <c r="D643" s="69">
        <f t="shared" si="56"/>
        <v>4.0713000000000008</v>
      </c>
      <c r="E643" s="70">
        <f t="shared" si="57"/>
        <v>-10.928699999999999</v>
      </c>
      <c r="F643" s="71">
        <f t="shared" si="58"/>
        <v>-19.071300000000001</v>
      </c>
      <c r="G643" s="72">
        <f t="shared" si="59"/>
        <v>-4.0713000000000008</v>
      </c>
      <c r="H643" s="73">
        <f t="shared" si="60"/>
        <v>10.928699999999999</v>
      </c>
    </row>
    <row r="644" spans="1:8" x14ac:dyDescent="0.25">
      <c r="A644" s="26">
        <v>-96</v>
      </c>
      <c r="B644" s="25">
        <v>0.36570999999999998</v>
      </c>
      <c r="C644" s="68">
        <f t="shared" si="55"/>
        <v>19.028700000000001</v>
      </c>
      <c r="D644" s="69">
        <f t="shared" si="56"/>
        <v>4.0287000000000006</v>
      </c>
      <c r="E644" s="70">
        <f t="shared" si="57"/>
        <v>-10.971299999999999</v>
      </c>
      <c r="F644" s="71">
        <f t="shared" si="58"/>
        <v>-19.028700000000001</v>
      </c>
      <c r="G644" s="72">
        <f t="shared" si="59"/>
        <v>-4.0287000000000006</v>
      </c>
      <c r="H644" s="73">
        <f t="shared" si="60"/>
        <v>10.971299999999999</v>
      </c>
    </row>
    <row r="645" spans="1:8" x14ac:dyDescent="0.25">
      <c r="A645" s="26">
        <v>-95</v>
      </c>
      <c r="B645" s="25">
        <v>0.36714000000000002</v>
      </c>
      <c r="C645" s="68">
        <f t="shared" si="55"/>
        <v>18.985799999999998</v>
      </c>
      <c r="D645" s="69">
        <f t="shared" si="56"/>
        <v>3.9857999999999993</v>
      </c>
      <c r="E645" s="70">
        <f t="shared" si="57"/>
        <v>-11.014200000000001</v>
      </c>
      <c r="F645" s="71">
        <f t="shared" si="58"/>
        <v>-18.985799999999998</v>
      </c>
      <c r="G645" s="72">
        <f t="shared" si="59"/>
        <v>-3.9857999999999993</v>
      </c>
      <c r="H645" s="73">
        <f t="shared" si="60"/>
        <v>11.014200000000001</v>
      </c>
    </row>
    <row r="646" spans="1:8" x14ac:dyDescent="0.25">
      <c r="A646" s="26">
        <v>-94</v>
      </c>
      <c r="B646" s="25">
        <v>0.36857000000000001</v>
      </c>
      <c r="C646" s="68">
        <f t="shared" si="55"/>
        <v>18.942900000000002</v>
      </c>
      <c r="D646" s="69">
        <f t="shared" si="56"/>
        <v>3.9428999999999998</v>
      </c>
      <c r="E646" s="70">
        <f t="shared" si="57"/>
        <v>-11.0571</v>
      </c>
      <c r="F646" s="71">
        <f t="shared" si="58"/>
        <v>-18.942900000000002</v>
      </c>
      <c r="G646" s="72">
        <f t="shared" si="59"/>
        <v>-3.9428999999999998</v>
      </c>
      <c r="H646" s="73">
        <f t="shared" si="60"/>
        <v>11.0571</v>
      </c>
    </row>
    <row r="647" spans="1:8" x14ac:dyDescent="0.25">
      <c r="A647" s="26">
        <v>-93</v>
      </c>
      <c r="B647" s="25">
        <v>0.37</v>
      </c>
      <c r="C647" s="68">
        <f t="shared" ref="C647:C710" si="61">KFactor-KFactor*B647</f>
        <v>18.899999999999999</v>
      </c>
      <c r="D647" s="69">
        <f t="shared" ref="D647:D710" si="62">KFactor/2-KFactor*B647</f>
        <v>3.9000000000000004</v>
      </c>
      <c r="E647" s="70">
        <f t="shared" ref="E647:E710" si="63">0-KFactor*B647</f>
        <v>-11.1</v>
      </c>
      <c r="F647" s="71">
        <f t="shared" ref="F647:F710" si="64">-C647</f>
        <v>-18.899999999999999</v>
      </c>
      <c r="G647" s="72">
        <f t="shared" ref="G647:G710" si="65">-D647</f>
        <v>-3.9000000000000004</v>
      </c>
      <c r="H647" s="73">
        <f t="shared" ref="H647:H710" si="66">-E647</f>
        <v>11.1</v>
      </c>
    </row>
    <row r="648" spans="1:8" x14ac:dyDescent="0.25">
      <c r="A648" s="26">
        <v>-92</v>
      </c>
      <c r="B648" s="25">
        <v>0.37125000000000002</v>
      </c>
      <c r="C648" s="68">
        <f t="shared" si="61"/>
        <v>18.862499999999997</v>
      </c>
      <c r="D648" s="69">
        <f t="shared" si="62"/>
        <v>3.8624999999999989</v>
      </c>
      <c r="E648" s="70">
        <f t="shared" si="63"/>
        <v>-11.137500000000001</v>
      </c>
      <c r="F648" s="71">
        <f t="shared" si="64"/>
        <v>-18.862499999999997</v>
      </c>
      <c r="G648" s="72">
        <f t="shared" si="65"/>
        <v>-3.8624999999999989</v>
      </c>
      <c r="H648" s="73">
        <f t="shared" si="66"/>
        <v>11.137500000000001</v>
      </c>
    </row>
    <row r="649" spans="1:8" x14ac:dyDescent="0.25">
      <c r="A649" s="26">
        <v>-91</v>
      </c>
      <c r="B649" s="25">
        <v>0.3725</v>
      </c>
      <c r="C649" s="68">
        <f t="shared" si="61"/>
        <v>18.824999999999999</v>
      </c>
      <c r="D649" s="69">
        <f t="shared" si="62"/>
        <v>3.8249999999999993</v>
      </c>
      <c r="E649" s="70">
        <f t="shared" si="63"/>
        <v>-11.175000000000001</v>
      </c>
      <c r="F649" s="71">
        <f t="shared" si="64"/>
        <v>-18.824999999999999</v>
      </c>
      <c r="G649" s="72">
        <f t="shared" si="65"/>
        <v>-3.8249999999999993</v>
      </c>
      <c r="H649" s="73">
        <f t="shared" si="66"/>
        <v>11.175000000000001</v>
      </c>
    </row>
    <row r="650" spans="1:8" x14ac:dyDescent="0.25">
      <c r="A650" s="26">
        <v>-90</v>
      </c>
      <c r="B650" s="25">
        <v>0.37375000000000003</v>
      </c>
      <c r="C650" s="68">
        <f t="shared" si="61"/>
        <v>18.787500000000001</v>
      </c>
      <c r="D650" s="69">
        <f t="shared" si="62"/>
        <v>3.7874999999999996</v>
      </c>
      <c r="E650" s="70">
        <f t="shared" si="63"/>
        <v>-11.2125</v>
      </c>
      <c r="F650" s="71">
        <f t="shared" si="64"/>
        <v>-18.787500000000001</v>
      </c>
      <c r="G650" s="72">
        <f t="shared" si="65"/>
        <v>-3.7874999999999996</v>
      </c>
      <c r="H650" s="73">
        <f t="shared" si="66"/>
        <v>11.2125</v>
      </c>
    </row>
    <row r="651" spans="1:8" x14ac:dyDescent="0.25">
      <c r="A651" s="26">
        <v>-89</v>
      </c>
      <c r="B651" s="25">
        <v>0.375</v>
      </c>
      <c r="C651" s="68">
        <f t="shared" si="61"/>
        <v>18.75</v>
      </c>
      <c r="D651" s="69">
        <f t="shared" si="62"/>
        <v>3.75</v>
      </c>
      <c r="E651" s="70">
        <f t="shared" si="63"/>
        <v>-11.25</v>
      </c>
      <c r="F651" s="71">
        <f t="shared" si="64"/>
        <v>-18.75</v>
      </c>
      <c r="G651" s="72">
        <f t="shared" si="65"/>
        <v>-3.75</v>
      </c>
      <c r="H651" s="73">
        <f t="shared" si="66"/>
        <v>11.25</v>
      </c>
    </row>
    <row r="652" spans="1:8" x14ac:dyDescent="0.25">
      <c r="A652" s="26">
        <v>-88</v>
      </c>
      <c r="B652" s="25">
        <v>0.37624999999999997</v>
      </c>
      <c r="C652" s="68">
        <f t="shared" si="61"/>
        <v>18.712499999999999</v>
      </c>
      <c r="D652" s="69">
        <f t="shared" si="62"/>
        <v>3.7125000000000004</v>
      </c>
      <c r="E652" s="70">
        <f t="shared" si="63"/>
        <v>-11.2875</v>
      </c>
      <c r="F652" s="71">
        <f t="shared" si="64"/>
        <v>-18.712499999999999</v>
      </c>
      <c r="G652" s="72">
        <f t="shared" si="65"/>
        <v>-3.7125000000000004</v>
      </c>
      <c r="H652" s="73">
        <f t="shared" si="66"/>
        <v>11.2875</v>
      </c>
    </row>
    <row r="653" spans="1:8" x14ac:dyDescent="0.25">
      <c r="A653" s="26">
        <v>-87</v>
      </c>
      <c r="B653" s="25">
        <v>0.3775</v>
      </c>
      <c r="C653" s="68">
        <f t="shared" si="61"/>
        <v>18.675000000000001</v>
      </c>
      <c r="D653" s="69">
        <f t="shared" si="62"/>
        <v>3.6750000000000007</v>
      </c>
      <c r="E653" s="70">
        <f t="shared" si="63"/>
        <v>-11.324999999999999</v>
      </c>
      <c r="F653" s="71">
        <f t="shared" si="64"/>
        <v>-18.675000000000001</v>
      </c>
      <c r="G653" s="72">
        <f t="shared" si="65"/>
        <v>-3.6750000000000007</v>
      </c>
      <c r="H653" s="73">
        <f t="shared" si="66"/>
        <v>11.324999999999999</v>
      </c>
    </row>
    <row r="654" spans="1:8" x14ac:dyDescent="0.25">
      <c r="A654" s="26">
        <v>-86</v>
      </c>
      <c r="B654" s="25">
        <v>0.37874999999999998</v>
      </c>
      <c r="C654" s="68">
        <f t="shared" si="61"/>
        <v>18.637500000000003</v>
      </c>
      <c r="D654" s="69">
        <f t="shared" si="62"/>
        <v>3.6375000000000011</v>
      </c>
      <c r="E654" s="70">
        <f t="shared" si="63"/>
        <v>-11.362499999999999</v>
      </c>
      <c r="F654" s="71">
        <f t="shared" si="64"/>
        <v>-18.637500000000003</v>
      </c>
      <c r="G654" s="72">
        <f t="shared" si="65"/>
        <v>-3.6375000000000011</v>
      </c>
      <c r="H654" s="73">
        <f t="shared" si="66"/>
        <v>11.362499999999999</v>
      </c>
    </row>
    <row r="655" spans="1:8" x14ac:dyDescent="0.25">
      <c r="A655" s="26">
        <v>-85</v>
      </c>
      <c r="B655" s="25">
        <v>0.38</v>
      </c>
      <c r="C655" s="68">
        <f t="shared" si="61"/>
        <v>18.600000000000001</v>
      </c>
      <c r="D655" s="69">
        <f t="shared" si="62"/>
        <v>3.5999999999999996</v>
      </c>
      <c r="E655" s="70">
        <f t="shared" si="63"/>
        <v>-11.4</v>
      </c>
      <c r="F655" s="71">
        <f t="shared" si="64"/>
        <v>-18.600000000000001</v>
      </c>
      <c r="G655" s="72">
        <f t="shared" si="65"/>
        <v>-3.5999999999999996</v>
      </c>
      <c r="H655" s="73">
        <f t="shared" si="66"/>
        <v>11.4</v>
      </c>
    </row>
    <row r="656" spans="1:8" x14ac:dyDescent="0.25">
      <c r="A656" s="26">
        <v>-84</v>
      </c>
      <c r="B656" s="25">
        <v>0.38142999999999999</v>
      </c>
      <c r="C656" s="68">
        <f t="shared" si="61"/>
        <v>18.557099999999998</v>
      </c>
      <c r="D656" s="69">
        <f t="shared" si="62"/>
        <v>3.5571000000000002</v>
      </c>
      <c r="E656" s="70">
        <f t="shared" si="63"/>
        <v>-11.4429</v>
      </c>
      <c r="F656" s="71">
        <f t="shared" si="64"/>
        <v>-18.557099999999998</v>
      </c>
      <c r="G656" s="72">
        <f t="shared" si="65"/>
        <v>-3.5571000000000002</v>
      </c>
      <c r="H656" s="73">
        <f t="shared" si="66"/>
        <v>11.4429</v>
      </c>
    </row>
    <row r="657" spans="1:8" x14ac:dyDescent="0.25">
      <c r="A657" s="26">
        <v>-83</v>
      </c>
      <c r="B657" s="25">
        <v>0.38285999999999998</v>
      </c>
      <c r="C657" s="68">
        <f t="shared" si="61"/>
        <v>18.514200000000002</v>
      </c>
      <c r="D657" s="69">
        <f t="shared" si="62"/>
        <v>3.5142000000000007</v>
      </c>
      <c r="E657" s="70">
        <f t="shared" si="63"/>
        <v>-11.485799999999999</v>
      </c>
      <c r="F657" s="71">
        <f t="shared" si="64"/>
        <v>-18.514200000000002</v>
      </c>
      <c r="G657" s="72">
        <f t="shared" si="65"/>
        <v>-3.5142000000000007</v>
      </c>
      <c r="H657" s="73">
        <f t="shared" si="66"/>
        <v>11.485799999999999</v>
      </c>
    </row>
    <row r="658" spans="1:8" x14ac:dyDescent="0.25">
      <c r="A658" s="26">
        <v>-82</v>
      </c>
      <c r="B658" s="25">
        <v>0.38429000000000002</v>
      </c>
      <c r="C658" s="68">
        <f t="shared" si="61"/>
        <v>18.471299999999999</v>
      </c>
      <c r="D658" s="69">
        <f t="shared" si="62"/>
        <v>3.4712999999999994</v>
      </c>
      <c r="E658" s="70">
        <f t="shared" si="63"/>
        <v>-11.528700000000001</v>
      </c>
      <c r="F658" s="71">
        <f t="shared" si="64"/>
        <v>-18.471299999999999</v>
      </c>
      <c r="G658" s="72">
        <f t="shared" si="65"/>
        <v>-3.4712999999999994</v>
      </c>
      <c r="H658" s="73">
        <f t="shared" si="66"/>
        <v>11.528700000000001</v>
      </c>
    </row>
    <row r="659" spans="1:8" x14ac:dyDescent="0.25">
      <c r="A659" s="26">
        <v>-81</v>
      </c>
      <c r="B659" s="25">
        <v>0.38571</v>
      </c>
      <c r="C659" s="68">
        <f t="shared" si="61"/>
        <v>18.428699999999999</v>
      </c>
      <c r="D659" s="69">
        <f t="shared" si="62"/>
        <v>3.4286999999999992</v>
      </c>
      <c r="E659" s="70">
        <f t="shared" si="63"/>
        <v>-11.571300000000001</v>
      </c>
      <c r="F659" s="71">
        <f t="shared" si="64"/>
        <v>-18.428699999999999</v>
      </c>
      <c r="G659" s="72">
        <f t="shared" si="65"/>
        <v>-3.4286999999999992</v>
      </c>
      <c r="H659" s="73">
        <f t="shared" si="66"/>
        <v>11.571300000000001</v>
      </c>
    </row>
    <row r="660" spans="1:8" x14ac:dyDescent="0.25">
      <c r="A660" s="26">
        <v>-80</v>
      </c>
      <c r="B660" s="25">
        <v>0.38713999999999998</v>
      </c>
      <c r="C660" s="68">
        <f t="shared" si="61"/>
        <v>18.3858</v>
      </c>
      <c r="D660" s="69">
        <f t="shared" si="62"/>
        <v>3.3857999999999997</v>
      </c>
      <c r="E660" s="70">
        <f t="shared" si="63"/>
        <v>-11.6142</v>
      </c>
      <c r="F660" s="71">
        <f t="shared" si="64"/>
        <v>-18.3858</v>
      </c>
      <c r="G660" s="72">
        <f t="shared" si="65"/>
        <v>-3.3857999999999997</v>
      </c>
      <c r="H660" s="73">
        <f t="shared" si="66"/>
        <v>11.6142</v>
      </c>
    </row>
    <row r="661" spans="1:8" x14ac:dyDescent="0.25">
      <c r="A661" s="26">
        <v>-79</v>
      </c>
      <c r="B661" s="25">
        <v>0.38857000000000003</v>
      </c>
      <c r="C661" s="68">
        <f t="shared" si="61"/>
        <v>18.3429</v>
      </c>
      <c r="D661" s="69">
        <f t="shared" si="62"/>
        <v>3.3428999999999984</v>
      </c>
      <c r="E661" s="70">
        <f t="shared" si="63"/>
        <v>-11.657100000000002</v>
      </c>
      <c r="F661" s="71">
        <f t="shared" si="64"/>
        <v>-18.3429</v>
      </c>
      <c r="G661" s="72">
        <f t="shared" si="65"/>
        <v>-3.3428999999999984</v>
      </c>
      <c r="H661" s="73">
        <f t="shared" si="66"/>
        <v>11.657100000000002</v>
      </c>
    </row>
    <row r="662" spans="1:8" x14ac:dyDescent="0.25">
      <c r="A662" s="26">
        <v>-78</v>
      </c>
      <c r="B662" s="25">
        <v>0.39</v>
      </c>
      <c r="C662" s="68">
        <f t="shared" si="61"/>
        <v>18.299999999999997</v>
      </c>
      <c r="D662" s="69">
        <f t="shared" si="62"/>
        <v>3.2999999999999989</v>
      </c>
      <c r="E662" s="70">
        <f t="shared" si="63"/>
        <v>-11.700000000000001</v>
      </c>
      <c r="F662" s="71">
        <f t="shared" si="64"/>
        <v>-18.299999999999997</v>
      </c>
      <c r="G662" s="72">
        <f t="shared" si="65"/>
        <v>-3.2999999999999989</v>
      </c>
      <c r="H662" s="73">
        <f t="shared" si="66"/>
        <v>11.700000000000001</v>
      </c>
    </row>
    <row r="663" spans="1:8" x14ac:dyDescent="0.25">
      <c r="A663" s="26">
        <v>-77</v>
      </c>
      <c r="B663" s="25">
        <v>0.39124999999999999</v>
      </c>
      <c r="C663" s="68">
        <f t="shared" si="61"/>
        <v>18.262500000000003</v>
      </c>
      <c r="D663" s="69">
        <f t="shared" si="62"/>
        <v>3.2625000000000011</v>
      </c>
      <c r="E663" s="70">
        <f t="shared" si="63"/>
        <v>-11.737499999999999</v>
      </c>
      <c r="F663" s="71">
        <f t="shared" si="64"/>
        <v>-18.262500000000003</v>
      </c>
      <c r="G663" s="72">
        <f t="shared" si="65"/>
        <v>-3.2625000000000011</v>
      </c>
      <c r="H663" s="73">
        <f t="shared" si="66"/>
        <v>11.737499999999999</v>
      </c>
    </row>
    <row r="664" spans="1:8" x14ac:dyDescent="0.25">
      <c r="A664" s="26">
        <v>-76</v>
      </c>
      <c r="B664" s="25">
        <v>0.39250000000000002</v>
      </c>
      <c r="C664" s="68">
        <f t="shared" si="61"/>
        <v>18.225000000000001</v>
      </c>
      <c r="D664" s="69">
        <f t="shared" si="62"/>
        <v>3.2249999999999996</v>
      </c>
      <c r="E664" s="70">
        <f t="shared" si="63"/>
        <v>-11.775</v>
      </c>
      <c r="F664" s="71">
        <f t="shared" si="64"/>
        <v>-18.225000000000001</v>
      </c>
      <c r="G664" s="72">
        <f t="shared" si="65"/>
        <v>-3.2249999999999996</v>
      </c>
      <c r="H664" s="73">
        <f t="shared" si="66"/>
        <v>11.775</v>
      </c>
    </row>
    <row r="665" spans="1:8" x14ac:dyDescent="0.25">
      <c r="A665" s="26">
        <v>-75</v>
      </c>
      <c r="B665" s="25">
        <v>0.39374999999999999</v>
      </c>
      <c r="C665" s="68">
        <f t="shared" si="61"/>
        <v>18.1875</v>
      </c>
      <c r="D665" s="69">
        <f t="shared" si="62"/>
        <v>3.1875</v>
      </c>
      <c r="E665" s="70">
        <f t="shared" si="63"/>
        <v>-11.8125</v>
      </c>
      <c r="F665" s="71">
        <f t="shared" si="64"/>
        <v>-18.1875</v>
      </c>
      <c r="G665" s="72">
        <f t="shared" si="65"/>
        <v>-3.1875</v>
      </c>
      <c r="H665" s="73">
        <f t="shared" si="66"/>
        <v>11.8125</v>
      </c>
    </row>
    <row r="666" spans="1:8" x14ac:dyDescent="0.25">
      <c r="A666" s="26">
        <v>-74</v>
      </c>
      <c r="B666" s="25">
        <v>0.39500000000000002</v>
      </c>
      <c r="C666" s="68">
        <f t="shared" si="61"/>
        <v>18.149999999999999</v>
      </c>
      <c r="D666" s="69">
        <f t="shared" si="62"/>
        <v>3.1499999999999986</v>
      </c>
      <c r="E666" s="70">
        <f t="shared" si="63"/>
        <v>-11.850000000000001</v>
      </c>
      <c r="F666" s="71">
        <f t="shared" si="64"/>
        <v>-18.149999999999999</v>
      </c>
      <c r="G666" s="72">
        <f t="shared" si="65"/>
        <v>-3.1499999999999986</v>
      </c>
      <c r="H666" s="73">
        <f t="shared" si="66"/>
        <v>11.850000000000001</v>
      </c>
    </row>
    <row r="667" spans="1:8" x14ac:dyDescent="0.25">
      <c r="A667" s="26">
        <v>-73</v>
      </c>
      <c r="B667" s="25">
        <v>0.39624999999999999</v>
      </c>
      <c r="C667" s="68">
        <f t="shared" si="61"/>
        <v>18.112500000000001</v>
      </c>
      <c r="D667" s="69">
        <f t="shared" si="62"/>
        <v>3.1125000000000007</v>
      </c>
      <c r="E667" s="70">
        <f t="shared" si="63"/>
        <v>-11.887499999999999</v>
      </c>
      <c r="F667" s="71">
        <f t="shared" si="64"/>
        <v>-18.112500000000001</v>
      </c>
      <c r="G667" s="72">
        <f t="shared" si="65"/>
        <v>-3.1125000000000007</v>
      </c>
      <c r="H667" s="73">
        <f t="shared" si="66"/>
        <v>11.887499999999999</v>
      </c>
    </row>
    <row r="668" spans="1:8" x14ac:dyDescent="0.25">
      <c r="A668" s="26">
        <v>-72</v>
      </c>
      <c r="B668" s="25">
        <v>0.39750000000000002</v>
      </c>
      <c r="C668" s="68">
        <f t="shared" si="61"/>
        <v>18.074999999999999</v>
      </c>
      <c r="D668" s="69">
        <f t="shared" si="62"/>
        <v>3.0749999999999993</v>
      </c>
      <c r="E668" s="70">
        <f t="shared" si="63"/>
        <v>-11.925000000000001</v>
      </c>
      <c r="F668" s="71">
        <f t="shared" si="64"/>
        <v>-18.074999999999999</v>
      </c>
      <c r="G668" s="72">
        <f t="shared" si="65"/>
        <v>-3.0749999999999993</v>
      </c>
      <c r="H668" s="73">
        <f t="shared" si="66"/>
        <v>11.925000000000001</v>
      </c>
    </row>
    <row r="669" spans="1:8" x14ac:dyDescent="0.25">
      <c r="A669" s="26">
        <v>-71</v>
      </c>
      <c r="B669" s="25">
        <v>0.39874999999999999</v>
      </c>
      <c r="C669" s="68">
        <f t="shared" si="61"/>
        <v>18.037500000000001</v>
      </c>
      <c r="D669" s="69">
        <f t="shared" si="62"/>
        <v>3.0374999999999996</v>
      </c>
      <c r="E669" s="70">
        <f t="shared" si="63"/>
        <v>-11.9625</v>
      </c>
      <c r="F669" s="71">
        <f t="shared" si="64"/>
        <v>-18.037500000000001</v>
      </c>
      <c r="G669" s="72">
        <f t="shared" si="65"/>
        <v>-3.0374999999999996</v>
      </c>
      <c r="H669" s="73">
        <f t="shared" si="66"/>
        <v>11.9625</v>
      </c>
    </row>
    <row r="670" spans="1:8" x14ac:dyDescent="0.25">
      <c r="A670" s="26">
        <v>-70</v>
      </c>
      <c r="B670" s="25">
        <v>0.4</v>
      </c>
      <c r="C670" s="68">
        <f t="shared" si="61"/>
        <v>18</v>
      </c>
      <c r="D670" s="69">
        <f t="shared" si="62"/>
        <v>3</v>
      </c>
      <c r="E670" s="70">
        <f t="shared" si="63"/>
        <v>-12</v>
      </c>
      <c r="F670" s="71">
        <f t="shared" si="64"/>
        <v>-18</v>
      </c>
      <c r="G670" s="72">
        <f t="shared" si="65"/>
        <v>-3</v>
      </c>
      <c r="H670" s="73">
        <f t="shared" si="66"/>
        <v>12</v>
      </c>
    </row>
    <row r="671" spans="1:8" x14ac:dyDescent="0.25">
      <c r="A671" s="26">
        <v>-69</v>
      </c>
      <c r="B671" s="25">
        <v>0.40143000000000001</v>
      </c>
      <c r="C671" s="68">
        <f t="shared" si="61"/>
        <v>17.957100000000001</v>
      </c>
      <c r="D671" s="69">
        <f t="shared" si="62"/>
        <v>2.9571000000000005</v>
      </c>
      <c r="E671" s="70">
        <f t="shared" si="63"/>
        <v>-12.042899999999999</v>
      </c>
      <c r="F671" s="71">
        <f t="shared" si="64"/>
        <v>-17.957100000000001</v>
      </c>
      <c r="G671" s="72">
        <f t="shared" si="65"/>
        <v>-2.9571000000000005</v>
      </c>
      <c r="H671" s="73">
        <f t="shared" si="66"/>
        <v>12.042899999999999</v>
      </c>
    </row>
    <row r="672" spans="1:8" x14ac:dyDescent="0.25">
      <c r="A672" s="26">
        <v>-68</v>
      </c>
      <c r="B672" s="25">
        <v>0.40286</v>
      </c>
      <c r="C672" s="68">
        <f t="shared" si="61"/>
        <v>17.914200000000001</v>
      </c>
      <c r="D672" s="69">
        <f t="shared" si="62"/>
        <v>2.914200000000001</v>
      </c>
      <c r="E672" s="70">
        <f t="shared" si="63"/>
        <v>-12.085799999999999</v>
      </c>
      <c r="F672" s="71">
        <f t="shared" si="64"/>
        <v>-17.914200000000001</v>
      </c>
      <c r="G672" s="72">
        <f t="shared" si="65"/>
        <v>-2.914200000000001</v>
      </c>
      <c r="H672" s="73">
        <f t="shared" si="66"/>
        <v>12.085799999999999</v>
      </c>
    </row>
    <row r="673" spans="1:8" x14ac:dyDescent="0.25">
      <c r="A673" s="26">
        <v>-67</v>
      </c>
      <c r="B673" s="25">
        <v>0.40428999999999998</v>
      </c>
      <c r="C673" s="68">
        <f t="shared" si="61"/>
        <v>17.871299999999998</v>
      </c>
      <c r="D673" s="69">
        <f t="shared" si="62"/>
        <v>2.8712999999999997</v>
      </c>
      <c r="E673" s="70">
        <f t="shared" si="63"/>
        <v>-12.1287</v>
      </c>
      <c r="F673" s="71">
        <f t="shared" si="64"/>
        <v>-17.871299999999998</v>
      </c>
      <c r="G673" s="72">
        <f t="shared" si="65"/>
        <v>-2.8712999999999997</v>
      </c>
      <c r="H673" s="73">
        <f t="shared" si="66"/>
        <v>12.1287</v>
      </c>
    </row>
    <row r="674" spans="1:8" x14ac:dyDescent="0.25">
      <c r="A674" s="26">
        <v>-66</v>
      </c>
      <c r="B674" s="25">
        <v>0.40571000000000002</v>
      </c>
      <c r="C674" s="68">
        <f t="shared" si="61"/>
        <v>17.828699999999998</v>
      </c>
      <c r="D674" s="69">
        <f t="shared" si="62"/>
        <v>2.8286999999999995</v>
      </c>
      <c r="E674" s="70">
        <f t="shared" si="63"/>
        <v>-12.1713</v>
      </c>
      <c r="F674" s="71">
        <f t="shared" si="64"/>
        <v>-17.828699999999998</v>
      </c>
      <c r="G674" s="72">
        <f t="shared" si="65"/>
        <v>-2.8286999999999995</v>
      </c>
      <c r="H674" s="73">
        <f t="shared" si="66"/>
        <v>12.1713</v>
      </c>
    </row>
    <row r="675" spans="1:8" x14ac:dyDescent="0.25">
      <c r="A675" s="26">
        <v>-65</v>
      </c>
      <c r="B675" s="25">
        <v>0.40714</v>
      </c>
      <c r="C675" s="68">
        <f t="shared" si="61"/>
        <v>17.785800000000002</v>
      </c>
      <c r="D675" s="69">
        <f t="shared" si="62"/>
        <v>2.7858000000000001</v>
      </c>
      <c r="E675" s="70">
        <f t="shared" si="63"/>
        <v>-12.2142</v>
      </c>
      <c r="F675" s="71">
        <f t="shared" si="64"/>
        <v>-17.785800000000002</v>
      </c>
      <c r="G675" s="72">
        <f t="shared" si="65"/>
        <v>-2.7858000000000001</v>
      </c>
      <c r="H675" s="73">
        <f t="shared" si="66"/>
        <v>12.2142</v>
      </c>
    </row>
    <row r="676" spans="1:8" x14ac:dyDescent="0.25">
      <c r="A676" s="26">
        <v>-64</v>
      </c>
      <c r="B676" s="25">
        <v>0.40856999999999999</v>
      </c>
      <c r="C676" s="68">
        <f t="shared" si="61"/>
        <v>17.742899999999999</v>
      </c>
      <c r="D676" s="69">
        <f t="shared" si="62"/>
        <v>2.7429000000000006</v>
      </c>
      <c r="E676" s="70">
        <f t="shared" si="63"/>
        <v>-12.257099999999999</v>
      </c>
      <c r="F676" s="71">
        <f t="shared" si="64"/>
        <v>-17.742899999999999</v>
      </c>
      <c r="G676" s="72">
        <f t="shared" si="65"/>
        <v>-2.7429000000000006</v>
      </c>
      <c r="H676" s="73">
        <f t="shared" si="66"/>
        <v>12.257099999999999</v>
      </c>
    </row>
    <row r="677" spans="1:8" x14ac:dyDescent="0.25">
      <c r="A677" s="26">
        <v>-63</v>
      </c>
      <c r="B677" s="25">
        <v>0.41</v>
      </c>
      <c r="C677" s="68">
        <f t="shared" si="61"/>
        <v>17.700000000000003</v>
      </c>
      <c r="D677" s="69">
        <f t="shared" si="62"/>
        <v>2.7000000000000011</v>
      </c>
      <c r="E677" s="70">
        <f t="shared" si="63"/>
        <v>-12.299999999999999</v>
      </c>
      <c r="F677" s="71">
        <f t="shared" si="64"/>
        <v>-17.700000000000003</v>
      </c>
      <c r="G677" s="72">
        <f t="shared" si="65"/>
        <v>-2.7000000000000011</v>
      </c>
      <c r="H677" s="73">
        <f t="shared" si="66"/>
        <v>12.299999999999999</v>
      </c>
    </row>
    <row r="678" spans="1:8" x14ac:dyDescent="0.25">
      <c r="A678" s="26">
        <v>-62</v>
      </c>
      <c r="B678" s="25">
        <v>0.41125</v>
      </c>
      <c r="C678" s="68">
        <f t="shared" si="61"/>
        <v>17.662500000000001</v>
      </c>
      <c r="D678" s="69">
        <f t="shared" si="62"/>
        <v>2.6624999999999996</v>
      </c>
      <c r="E678" s="70">
        <f t="shared" si="63"/>
        <v>-12.3375</v>
      </c>
      <c r="F678" s="71">
        <f t="shared" si="64"/>
        <v>-17.662500000000001</v>
      </c>
      <c r="G678" s="72">
        <f t="shared" si="65"/>
        <v>-2.6624999999999996</v>
      </c>
      <c r="H678" s="73">
        <f t="shared" si="66"/>
        <v>12.3375</v>
      </c>
    </row>
    <row r="679" spans="1:8" x14ac:dyDescent="0.25">
      <c r="A679" s="26">
        <v>-61</v>
      </c>
      <c r="B679" s="25">
        <v>0.41249999999999998</v>
      </c>
      <c r="C679" s="68">
        <f t="shared" si="61"/>
        <v>17.625</v>
      </c>
      <c r="D679" s="69">
        <f t="shared" si="62"/>
        <v>2.625</v>
      </c>
      <c r="E679" s="70">
        <f t="shared" si="63"/>
        <v>-12.375</v>
      </c>
      <c r="F679" s="71">
        <f t="shared" si="64"/>
        <v>-17.625</v>
      </c>
      <c r="G679" s="72">
        <f t="shared" si="65"/>
        <v>-2.625</v>
      </c>
      <c r="H679" s="73">
        <f t="shared" si="66"/>
        <v>12.375</v>
      </c>
    </row>
    <row r="680" spans="1:8" x14ac:dyDescent="0.25">
      <c r="A680" s="26">
        <v>-60</v>
      </c>
      <c r="B680" s="25">
        <v>0.41375000000000001</v>
      </c>
      <c r="C680" s="68">
        <f t="shared" si="61"/>
        <v>17.587499999999999</v>
      </c>
      <c r="D680" s="69">
        <f t="shared" si="62"/>
        <v>2.5875000000000004</v>
      </c>
      <c r="E680" s="70">
        <f t="shared" si="63"/>
        <v>-12.4125</v>
      </c>
      <c r="F680" s="71">
        <f t="shared" si="64"/>
        <v>-17.587499999999999</v>
      </c>
      <c r="G680" s="72">
        <f t="shared" si="65"/>
        <v>-2.5875000000000004</v>
      </c>
      <c r="H680" s="73">
        <f t="shared" si="66"/>
        <v>12.4125</v>
      </c>
    </row>
    <row r="681" spans="1:8" x14ac:dyDescent="0.25">
      <c r="A681" s="26">
        <v>-59</v>
      </c>
      <c r="B681" s="25">
        <v>0.41499999999999998</v>
      </c>
      <c r="C681" s="68">
        <f t="shared" si="61"/>
        <v>17.55</v>
      </c>
      <c r="D681" s="69">
        <f t="shared" si="62"/>
        <v>2.5500000000000007</v>
      </c>
      <c r="E681" s="70">
        <f t="shared" si="63"/>
        <v>-12.45</v>
      </c>
      <c r="F681" s="71">
        <f t="shared" si="64"/>
        <v>-17.55</v>
      </c>
      <c r="G681" s="72">
        <f t="shared" si="65"/>
        <v>-2.5500000000000007</v>
      </c>
      <c r="H681" s="73">
        <f t="shared" si="66"/>
        <v>12.45</v>
      </c>
    </row>
    <row r="682" spans="1:8" x14ac:dyDescent="0.25">
      <c r="A682" s="26">
        <v>-58</v>
      </c>
      <c r="B682" s="25">
        <v>0.41625000000000001</v>
      </c>
      <c r="C682" s="68">
        <f t="shared" si="61"/>
        <v>17.512499999999999</v>
      </c>
      <c r="D682" s="69">
        <f t="shared" si="62"/>
        <v>2.5124999999999993</v>
      </c>
      <c r="E682" s="70">
        <f t="shared" si="63"/>
        <v>-12.487500000000001</v>
      </c>
      <c r="F682" s="71">
        <f t="shared" si="64"/>
        <v>-17.512499999999999</v>
      </c>
      <c r="G682" s="72">
        <f t="shared" si="65"/>
        <v>-2.5124999999999993</v>
      </c>
      <c r="H682" s="73">
        <f t="shared" si="66"/>
        <v>12.487500000000001</v>
      </c>
    </row>
    <row r="683" spans="1:8" x14ac:dyDescent="0.25">
      <c r="A683" s="26">
        <v>-57</v>
      </c>
      <c r="B683" s="25">
        <v>0.41749999999999998</v>
      </c>
      <c r="C683" s="68">
        <f t="shared" si="61"/>
        <v>17.475000000000001</v>
      </c>
      <c r="D683" s="69">
        <f t="shared" si="62"/>
        <v>2.4750000000000014</v>
      </c>
      <c r="E683" s="70">
        <f t="shared" si="63"/>
        <v>-12.524999999999999</v>
      </c>
      <c r="F683" s="71">
        <f t="shared" si="64"/>
        <v>-17.475000000000001</v>
      </c>
      <c r="G683" s="72">
        <f t="shared" si="65"/>
        <v>-2.4750000000000014</v>
      </c>
      <c r="H683" s="73">
        <f t="shared" si="66"/>
        <v>12.524999999999999</v>
      </c>
    </row>
    <row r="684" spans="1:8" x14ac:dyDescent="0.25">
      <c r="A684" s="26">
        <v>-56</v>
      </c>
      <c r="B684" s="25">
        <v>0.41875000000000001</v>
      </c>
      <c r="C684" s="68">
        <f t="shared" si="61"/>
        <v>17.4375</v>
      </c>
      <c r="D684" s="69">
        <f t="shared" si="62"/>
        <v>2.4375</v>
      </c>
      <c r="E684" s="70">
        <f t="shared" si="63"/>
        <v>-12.5625</v>
      </c>
      <c r="F684" s="71">
        <f t="shared" si="64"/>
        <v>-17.4375</v>
      </c>
      <c r="G684" s="72">
        <f t="shared" si="65"/>
        <v>-2.4375</v>
      </c>
      <c r="H684" s="73">
        <f t="shared" si="66"/>
        <v>12.5625</v>
      </c>
    </row>
    <row r="685" spans="1:8" x14ac:dyDescent="0.25">
      <c r="A685" s="26">
        <v>-55</v>
      </c>
      <c r="B685" s="25">
        <v>0.42</v>
      </c>
      <c r="C685" s="68">
        <f t="shared" si="61"/>
        <v>17.399999999999999</v>
      </c>
      <c r="D685" s="69">
        <f t="shared" si="62"/>
        <v>2.4000000000000004</v>
      </c>
      <c r="E685" s="70">
        <f t="shared" si="63"/>
        <v>-12.6</v>
      </c>
      <c r="F685" s="71">
        <f t="shared" si="64"/>
        <v>-17.399999999999999</v>
      </c>
      <c r="G685" s="72">
        <f t="shared" si="65"/>
        <v>-2.4000000000000004</v>
      </c>
      <c r="H685" s="73">
        <f t="shared" si="66"/>
        <v>12.6</v>
      </c>
    </row>
    <row r="686" spans="1:8" x14ac:dyDescent="0.25">
      <c r="A686" s="26">
        <v>-54</v>
      </c>
      <c r="B686" s="25">
        <v>0.42143000000000003</v>
      </c>
      <c r="C686" s="68">
        <f t="shared" si="61"/>
        <v>17.357099999999999</v>
      </c>
      <c r="D686" s="69">
        <f t="shared" si="62"/>
        <v>2.3570999999999991</v>
      </c>
      <c r="E686" s="70">
        <f t="shared" si="63"/>
        <v>-12.642900000000001</v>
      </c>
      <c r="F686" s="71">
        <f t="shared" si="64"/>
        <v>-17.357099999999999</v>
      </c>
      <c r="G686" s="72">
        <f t="shared" si="65"/>
        <v>-2.3570999999999991</v>
      </c>
      <c r="H686" s="73">
        <f t="shared" si="66"/>
        <v>12.642900000000001</v>
      </c>
    </row>
    <row r="687" spans="1:8" x14ac:dyDescent="0.25">
      <c r="A687" s="26">
        <v>-53</v>
      </c>
      <c r="B687" s="25">
        <v>0.42286000000000001</v>
      </c>
      <c r="C687" s="68">
        <f t="shared" si="61"/>
        <v>17.3142</v>
      </c>
      <c r="D687" s="69">
        <f t="shared" si="62"/>
        <v>2.3141999999999996</v>
      </c>
      <c r="E687" s="70">
        <f t="shared" si="63"/>
        <v>-12.6858</v>
      </c>
      <c r="F687" s="71">
        <f t="shared" si="64"/>
        <v>-17.3142</v>
      </c>
      <c r="G687" s="72">
        <f t="shared" si="65"/>
        <v>-2.3141999999999996</v>
      </c>
      <c r="H687" s="73">
        <f t="shared" si="66"/>
        <v>12.6858</v>
      </c>
    </row>
    <row r="688" spans="1:8" x14ac:dyDescent="0.25">
      <c r="A688" s="26">
        <v>-52</v>
      </c>
      <c r="B688" s="25">
        <v>0.42429</v>
      </c>
      <c r="C688" s="68">
        <f t="shared" si="61"/>
        <v>17.2713</v>
      </c>
      <c r="D688" s="69">
        <f t="shared" si="62"/>
        <v>2.2713000000000001</v>
      </c>
      <c r="E688" s="70">
        <f t="shared" si="63"/>
        <v>-12.7287</v>
      </c>
      <c r="F688" s="71">
        <f t="shared" si="64"/>
        <v>-17.2713</v>
      </c>
      <c r="G688" s="72">
        <f t="shared" si="65"/>
        <v>-2.2713000000000001</v>
      </c>
      <c r="H688" s="73">
        <f t="shared" si="66"/>
        <v>12.7287</v>
      </c>
    </row>
    <row r="689" spans="1:8" x14ac:dyDescent="0.25">
      <c r="A689" s="26">
        <v>-51</v>
      </c>
      <c r="B689" s="25">
        <v>0.42570999999999998</v>
      </c>
      <c r="C689" s="68">
        <f t="shared" si="61"/>
        <v>17.2287</v>
      </c>
      <c r="D689" s="69">
        <f t="shared" si="62"/>
        <v>2.2286999999999999</v>
      </c>
      <c r="E689" s="70">
        <f t="shared" si="63"/>
        <v>-12.7713</v>
      </c>
      <c r="F689" s="71">
        <f t="shared" si="64"/>
        <v>-17.2287</v>
      </c>
      <c r="G689" s="72">
        <f t="shared" si="65"/>
        <v>-2.2286999999999999</v>
      </c>
      <c r="H689" s="73">
        <f t="shared" si="66"/>
        <v>12.7713</v>
      </c>
    </row>
    <row r="690" spans="1:8" x14ac:dyDescent="0.25">
      <c r="A690" s="26">
        <v>-50</v>
      </c>
      <c r="B690" s="25">
        <v>0.42714000000000002</v>
      </c>
      <c r="C690" s="68">
        <f t="shared" si="61"/>
        <v>17.1858</v>
      </c>
      <c r="D690" s="69">
        <f t="shared" si="62"/>
        <v>2.1857999999999986</v>
      </c>
      <c r="E690" s="70">
        <f t="shared" si="63"/>
        <v>-12.814200000000001</v>
      </c>
      <c r="F690" s="71">
        <f t="shared" si="64"/>
        <v>-17.1858</v>
      </c>
      <c r="G690" s="72">
        <f t="shared" si="65"/>
        <v>-2.1857999999999986</v>
      </c>
      <c r="H690" s="73">
        <f t="shared" si="66"/>
        <v>12.814200000000001</v>
      </c>
    </row>
    <row r="691" spans="1:8" x14ac:dyDescent="0.25">
      <c r="A691" s="26">
        <v>-49</v>
      </c>
      <c r="B691" s="25">
        <v>0.42857000000000001</v>
      </c>
      <c r="C691" s="68">
        <f t="shared" si="61"/>
        <v>17.142899999999997</v>
      </c>
      <c r="D691" s="69">
        <f t="shared" si="62"/>
        <v>2.1428999999999991</v>
      </c>
      <c r="E691" s="70">
        <f t="shared" si="63"/>
        <v>-12.857100000000001</v>
      </c>
      <c r="F691" s="71">
        <f t="shared" si="64"/>
        <v>-17.142899999999997</v>
      </c>
      <c r="G691" s="72">
        <f t="shared" si="65"/>
        <v>-2.1428999999999991</v>
      </c>
      <c r="H691" s="73">
        <f t="shared" si="66"/>
        <v>12.857100000000001</v>
      </c>
    </row>
    <row r="692" spans="1:8" x14ac:dyDescent="0.25">
      <c r="A692" s="26">
        <v>-48</v>
      </c>
      <c r="B692" s="25">
        <v>0.43</v>
      </c>
      <c r="C692" s="68">
        <f t="shared" si="61"/>
        <v>17.100000000000001</v>
      </c>
      <c r="D692" s="69">
        <f t="shared" si="62"/>
        <v>2.0999999999999996</v>
      </c>
      <c r="E692" s="70">
        <f t="shared" si="63"/>
        <v>-12.9</v>
      </c>
      <c r="F692" s="71">
        <f t="shared" si="64"/>
        <v>-17.100000000000001</v>
      </c>
      <c r="G692" s="72">
        <f t="shared" si="65"/>
        <v>-2.0999999999999996</v>
      </c>
      <c r="H692" s="73">
        <f t="shared" si="66"/>
        <v>12.9</v>
      </c>
    </row>
    <row r="693" spans="1:8" x14ac:dyDescent="0.25">
      <c r="A693" s="26">
        <v>-47</v>
      </c>
      <c r="B693" s="25">
        <v>0.43142999999999998</v>
      </c>
      <c r="C693" s="68">
        <f t="shared" si="61"/>
        <v>17.057099999999998</v>
      </c>
      <c r="D693" s="69">
        <f t="shared" si="62"/>
        <v>2.0571000000000002</v>
      </c>
      <c r="E693" s="70">
        <f t="shared" si="63"/>
        <v>-12.9429</v>
      </c>
      <c r="F693" s="71">
        <f t="shared" si="64"/>
        <v>-17.057099999999998</v>
      </c>
      <c r="G693" s="72">
        <f t="shared" si="65"/>
        <v>-2.0571000000000002</v>
      </c>
      <c r="H693" s="73">
        <f t="shared" si="66"/>
        <v>12.9429</v>
      </c>
    </row>
    <row r="694" spans="1:8" x14ac:dyDescent="0.25">
      <c r="A694" s="26">
        <v>-46</v>
      </c>
      <c r="B694" s="25">
        <v>0.43286000000000002</v>
      </c>
      <c r="C694" s="68">
        <f t="shared" si="61"/>
        <v>17.014199999999999</v>
      </c>
      <c r="D694" s="69">
        <f t="shared" si="62"/>
        <v>2.0141999999999989</v>
      </c>
      <c r="E694" s="70">
        <f t="shared" si="63"/>
        <v>-12.985800000000001</v>
      </c>
      <c r="F694" s="71">
        <f t="shared" si="64"/>
        <v>-17.014199999999999</v>
      </c>
      <c r="G694" s="72">
        <f t="shared" si="65"/>
        <v>-2.0141999999999989</v>
      </c>
      <c r="H694" s="73">
        <f t="shared" si="66"/>
        <v>12.985800000000001</v>
      </c>
    </row>
    <row r="695" spans="1:8" x14ac:dyDescent="0.25">
      <c r="A695" s="26">
        <v>-45</v>
      </c>
      <c r="B695" s="25">
        <v>0.43429000000000001</v>
      </c>
      <c r="C695" s="68">
        <f t="shared" si="61"/>
        <v>16.971299999999999</v>
      </c>
      <c r="D695" s="69">
        <f t="shared" si="62"/>
        <v>1.9712999999999994</v>
      </c>
      <c r="E695" s="70">
        <f t="shared" si="63"/>
        <v>-13.028700000000001</v>
      </c>
      <c r="F695" s="71">
        <f t="shared" si="64"/>
        <v>-16.971299999999999</v>
      </c>
      <c r="G695" s="72">
        <f t="shared" si="65"/>
        <v>-1.9712999999999994</v>
      </c>
      <c r="H695" s="73">
        <f t="shared" si="66"/>
        <v>13.028700000000001</v>
      </c>
    </row>
    <row r="696" spans="1:8" x14ac:dyDescent="0.25">
      <c r="A696" s="26">
        <v>-44</v>
      </c>
      <c r="B696" s="25">
        <v>0.43570999999999999</v>
      </c>
      <c r="C696" s="68">
        <f t="shared" si="61"/>
        <v>16.928699999999999</v>
      </c>
      <c r="D696" s="69">
        <f t="shared" si="62"/>
        <v>1.928700000000001</v>
      </c>
      <c r="E696" s="70">
        <f t="shared" si="63"/>
        <v>-13.071299999999999</v>
      </c>
      <c r="F696" s="71">
        <f t="shared" si="64"/>
        <v>-16.928699999999999</v>
      </c>
      <c r="G696" s="72">
        <f t="shared" si="65"/>
        <v>-1.928700000000001</v>
      </c>
      <c r="H696" s="73">
        <f t="shared" si="66"/>
        <v>13.071299999999999</v>
      </c>
    </row>
    <row r="697" spans="1:8" x14ac:dyDescent="0.25">
      <c r="A697" s="26">
        <v>-43</v>
      </c>
      <c r="B697" s="25">
        <v>0.43713999999999997</v>
      </c>
      <c r="C697" s="68">
        <f t="shared" si="61"/>
        <v>16.885800000000003</v>
      </c>
      <c r="D697" s="69">
        <f t="shared" si="62"/>
        <v>1.8858000000000015</v>
      </c>
      <c r="E697" s="70">
        <f t="shared" si="63"/>
        <v>-13.114199999999999</v>
      </c>
      <c r="F697" s="71">
        <f t="shared" si="64"/>
        <v>-16.885800000000003</v>
      </c>
      <c r="G697" s="72">
        <f t="shared" si="65"/>
        <v>-1.8858000000000015</v>
      </c>
      <c r="H697" s="73">
        <f t="shared" si="66"/>
        <v>13.114199999999999</v>
      </c>
    </row>
    <row r="698" spans="1:8" x14ac:dyDescent="0.25">
      <c r="A698" s="26">
        <v>-42</v>
      </c>
      <c r="B698" s="25">
        <v>0.43857000000000002</v>
      </c>
      <c r="C698" s="68">
        <f t="shared" si="61"/>
        <v>16.8429</v>
      </c>
      <c r="D698" s="69">
        <f t="shared" si="62"/>
        <v>1.8429000000000002</v>
      </c>
      <c r="E698" s="70">
        <f t="shared" si="63"/>
        <v>-13.1571</v>
      </c>
      <c r="F698" s="71">
        <f t="shared" si="64"/>
        <v>-16.8429</v>
      </c>
      <c r="G698" s="72">
        <f t="shared" si="65"/>
        <v>-1.8429000000000002</v>
      </c>
      <c r="H698" s="73">
        <f t="shared" si="66"/>
        <v>13.1571</v>
      </c>
    </row>
    <row r="699" spans="1:8" x14ac:dyDescent="0.25">
      <c r="A699" s="26">
        <v>-41</v>
      </c>
      <c r="B699" s="25">
        <v>0.44</v>
      </c>
      <c r="C699" s="68">
        <f t="shared" si="61"/>
        <v>16.8</v>
      </c>
      <c r="D699" s="69">
        <f t="shared" si="62"/>
        <v>1.8000000000000007</v>
      </c>
      <c r="E699" s="70">
        <f t="shared" si="63"/>
        <v>-13.2</v>
      </c>
      <c r="F699" s="71">
        <f t="shared" si="64"/>
        <v>-16.8</v>
      </c>
      <c r="G699" s="72">
        <f t="shared" si="65"/>
        <v>-1.8000000000000007</v>
      </c>
      <c r="H699" s="73">
        <f t="shared" si="66"/>
        <v>13.2</v>
      </c>
    </row>
    <row r="700" spans="1:8" x14ac:dyDescent="0.25">
      <c r="A700" s="26">
        <v>-40</v>
      </c>
      <c r="B700" s="25">
        <v>0.44142999999999999</v>
      </c>
      <c r="C700" s="68">
        <f t="shared" si="61"/>
        <v>16.757100000000001</v>
      </c>
      <c r="D700" s="69">
        <f t="shared" si="62"/>
        <v>1.7571000000000012</v>
      </c>
      <c r="E700" s="70">
        <f t="shared" si="63"/>
        <v>-13.242899999999999</v>
      </c>
      <c r="F700" s="71">
        <f t="shared" si="64"/>
        <v>-16.757100000000001</v>
      </c>
      <c r="G700" s="72">
        <f t="shared" si="65"/>
        <v>-1.7571000000000012</v>
      </c>
      <c r="H700" s="73">
        <f t="shared" si="66"/>
        <v>13.242899999999999</v>
      </c>
    </row>
    <row r="701" spans="1:8" x14ac:dyDescent="0.25">
      <c r="A701" s="26">
        <v>-39</v>
      </c>
      <c r="B701" s="25">
        <v>0.44285999999999998</v>
      </c>
      <c r="C701" s="68">
        <f t="shared" si="61"/>
        <v>16.714199999999998</v>
      </c>
      <c r="D701" s="69">
        <f t="shared" si="62"/>
        <v>1.7141999999999999</v>
      </c>
      <c r="E701" s="70">
        <f t="shared" si="63"/>
        <v>-13.2858</v>
      </c>
      <c r="F701" s="71">
        <f t="shared" si="64"/>
        <v>-16.714199999999998</v>
      </c>
      <c r="G701" s="72">
        <f t="shared" si="65"/>
        <v>-1.7141999999999999</v>
      </c>
      <c r="H701" s="73">
        <f t="shared" si="66"/>
        <v>13.2858</v>
      </c>
    </row>
    <row r="702" spans="1:8" x14ac:dyDescent="0.25">
      <c r="A702" s="26">
        <v>-38</v>
      </c>
      <c r="B702" s="25">
        <v>0.44429000000000002</v>
      </c>
      <c r="C702" s="68">
        <f t="shared" si="61"/>
        <v>16.671299999999999</v>
      </c>
      <c r="D702" s="69">
        <f t="shared" si="62"/>
        <v>1.6712999999999987</v>
      </c>
      <c r="E702" s="70">
        <f t="shared" si="63"/>
        <v>-13.328700000000001</v>
      </c>
      <c r="F702" s="71">
        <f t="shared" si="64"/>
        <v>-16.671299999999999</v>
      </c>
      <c r="G702" s="72">
        <f t="shared" si="65"/>
        <v>-1.6712999999999987</v>
      </c>
      <c r="H702" s="73">
        <f t="shared" si="66"/>
        <v>13.328700000000001</v>
      </c>
    </row>
    <row r="703" spans="1:8" x14ac:dyDescent="0.25">
      <c r="A703" s="26">
        <v>-37</v>
      </c>
      <c r="B703" s="25">
        <v>0.44571</v>
      </c>
      <c r="C703" s="68">
        <f t="shared" si="61"/>
        <v>16.628700000000002</v>
      </c>
      <c r="D703" s="69">
        <f t="shared" si="62"/>
        <v>1.6287000000000003</v>
      </c>
      <c r="E703" s="70">
        <f t="shared" si="63"/>
        <v>-13.3713</v>
      </c>
      <c r="F703" s="71">
        <f t="shared" si="64"/>
        <v>-16.628700000000002</v>
      </c>
      <c r="G703" s="72">
        <f t="shared" si="65"/>
        <v>-1.6287000000000003</v>
      </c>
      <c r="H703" s="73">
        <f t="shared" si="66"/>
        <v>13.3713</v>
      </c>
    </row>
    <row r="704" spans="1:8" x14ac:dyDescent="0.25">
      <c r="A704" s="26">
        <v>-36</v>
      </c>
      <c r="B704" s="25">
        <v>0.44713999999999998</v>
      </c>
      <c r="C704" s="68">
        <f t="shared" si="61"/>
        <v>16.585799999999999</v>
      </c>
      <c r="D704" s="69">
        <f t="shared" si="62"/>
        <v>1.5858000000000008</v>
      </c>
      <c r="E704" s="70">
        <f t="shared" si="63"/>
        <v>-13.414199999999999</v>
      </c>
      <c r="F704" s="71">
        <f t="shared" si="64"/>
        <v>-16.585799999999999</v>
      </c>
      <c r="G704" s="72">
        <f t="shared" si="65"/>
        <v>-1.5858000000000008</v>
      </c>
      <c r="H704" s="73">
        <f t="shared" si="66"/>
        <v>13.414199999999999</v>
      </c>
    </row>
    <row r="705" spans="1:8" x14ac:dyDescent="0.25">
      <c r="A705" s="26">
        <v>-35</v>
      </c>
      <c r="B705" s="25">
        <v>0.44857000000000002</v>
      </c>
      <c r="C705" s="68">
        <f t="shared" si="61"/>
        <v>16.542899999999999</v>
      </c>
      <c r="D705" s="69">
        <f t="shared" si="62"/>
        <v>1.5428999999999995</v>
      </c>
      <c r="E705" s="70">
        <f t="shared" si="63"/>
        <v>-13.457100000000001</v>
      </c>
      <c r="F705" s="71">
        <f t="shared" si="64"/>
        <v>-16.542899999999999</v>
      </c>
      <c r="G705" s="72">
        <f t="shared" si="65"/>
        <v>-1.5428999999999995</v>
      </c>
      <c r="H705" s="73">
        <f t="shared" si="66"/>
        <v>13.457100000000001</v>
      </c>
    </row>
    <row r="706" spans="1:8" x14ac:dyDescent="0.25">
      <c r="A706" s="26">
        <v>-34</v>
      </c>
      <c r="B706" s="25">
        <v>0.45</v>
      </c>
      <c r="C706" s="68">
        <f t="shared" si="61"/>
        <v>16.5</v>
      </c>
      <c r="D706" s="69">
        <f t="shared" si="62"/>
        <v>1.5</v>
      </c>
      <c r="E706" s="70">
        <f t="shared" si="63"/>
        <v>-13.5</v>
      </c>
      <c r="F706" s="71">
        <f t="shared" si="64"/>
        <v>-16.5</v>
      </c>
      <c r="G706" s="72">
        <f t="shared" si="65"/>
        <v>-1.5</v>
      </c>
      <c r="H706" s="73">
        <f t="shared" si="66"/>
        <v>13.5</v>
      </c>
    </row>
    <row r="707" spans="1:8" x14ac:dyDescent="0.25">
      <c r="A707" s="26">
        <v>-33</v>
      </c>
      <c r="B707" s="25">
        <v>0.45143</v>
      </c>
      <c r="C707" s="68">
        <f t="shared" si="61"/>
        <v>16.457100000000001</v>
      </c>
      <c r="D707" s="69">
        <f t="shared" si="62"/>
        <v>1.4571000000000005</v>
      </c>
      <c r="E707" s="70">
        <f t="shared" si="63"/>
        <v>-13.542899999999999</v>
      </c>
      <c r="F707" s="71">
        <f t="shared" si="64"/>
        <v>-16.457100000000001</v>
      </c>
      <c r="G707" s="72">
        <f t="shared" si="65"/>
        <v>-1.4571000000000005</v>
      </c>
      <c r="H707" s="73">
        <f t="shared" si="66"/>
        <v>13.542899999999999</v>
      </c>
    </row>
    <row r="708" spans="1:8" x14ac:dyDescent="0.25">
      <c r="A708" s="26">
        <v>-32</v>
      </c>
      <c r="B708" s="25">
        <v>0.45285999999999998</v>
      </c>
      <c r="C708" s="68">
        <f t="shared" si="61"/>
        <v>16.414200000000001</v>
      </c>
      <c r="D708" s="69">
        <f t="shared" si="62"/>
        <v>1.414200000000001</v>
      </c>
      <c r="E708" s="70">
        <f t="shared" si="63"/>
        <v>-13.585799999999999</v>
      </c>
      <c r="F708" s="71">
        <f t="shared" si="64"/>
        <v>-16.414200000000001</v>
      </c>
      <c r="G708" s="72">
        <f t="shared" si="65"/>
        <v>-1.414200000000001</v>
      </c>
      <c r="H708" s="73">
        <f t="shared" si="66"/>
        <v>13.585799999999999</v>
      </c>
    </row>
    <row r="709" spans="1:8" x14ac:dyDescent="0.25">
      <c r="A709" s="26">
        <v>-31</v>
      </c>
      <c r="B709" s="25">
        <v>0.45429000000000003</v>
      </c>
      <c r="C709" s="68">
        <f t="shared" si="61"/>
        <v>16.371299999999998</v>
      </c>
      <c r="D709" s="69">
        <f t="shared" si="62"/>
        <v>1.3712999999999997</v>
      </c>
      <c r="E709" s="70">
        <f t="shared" si="63"/>
        <v>-13.6287</v>
      </c>
      <c r="F709" s="71">
        <f t="shared" si="64"/>
        <v>-16.371299999999998</v>
      </c>
      <c r="G709" s="72">
        <f t="shared" si="65"/>
        <v>-1.3712999999999997</v>
      </c>
      <c r="H709" s="73">
        <f t="shared" si="66"/>
        <v>13.6287</v>
      </c>
    </row>
    <row r="710" spans="1:8" x14ac:dyDescent="0.25">
      <c r="A710" s="26">
        <v>-30</v>
      </c>
      <c r="B710" s="25">
        <v>0.45571</v>
      </c>
      <c r="C710" s="68">
        <f t="shared" si="61"/>
        <v>16.328699999999998</v>
      </c>
      <c r="D710" s="69">
        <f t="shared" si="62"/>
        <v>1.3286999999999995</v>
      </c>
      <c r="E710" s="70">
        <f t="shared" si="63"/>
        <v>-13.6713</v>
      </c>
      <c r="F710" s="71">
        <f t="shared" si="64"/>
        <v>-16.328699999999998</v>
      </c>
      <c r="G710" s="72">
        <f t="shared" si="65"/>
        <v>-1.3286999999999995</v>
      </c>
      <c r="H710" s="73">
        <f t="shared" si="66"/>
        <v>13.6713</v>
      </c>
    </row>
    <row r="711" spans="1:8" x14ac:dyDescent="0.25">
      <c r="A711" s="26">
        <v>-29</v>
      </c>
      <c r="B711" s="25">
        <v>0.45713999999999999</v>
      </c>
      <c r="C711" s="68">
        <f t="shared" ref="C711:C774" si="67">KFactor-KFactor*B711</f>
        <v>16.285800000000002</v>
      </c>
      <c r="D711" s="69">
        <f t="shared" ref="D711:D774" si="68">KFactor/2-KFactor*B711</f>
        <v>1.2858000000000001</v>
      </c>
      <c r="E711" s="70">
        <f t="shared" ref="E711:E774" si="69">0-KFactor*B711</f>
        <v>-13.7142</v>
      </c>
      <c r="F711" s="71">
        <f t="shared" ref="F711:F774" si="70">-C711</f>
        <v>-16.285800000000002</v>
      </c>
      <c r="G711" s="72">
        <f t="shared" ref="G711:G774" si="71">-D711</f>
        <v>-1.2858000000000001</v>
      </c>
      <c r="H711" s="73">
        <f t="shared" ref="H711:H774" si="72">-E711</f>
        <v>13.7142</v>
      </c>
    </row>
    <row r="712" spans="1:8" x14ac:dyDescent="0.25">
      <c r="A712" s="26">
        <v>-28</v>
      </c>
      <c r="B712" s="25">
        <v>0.45856999999999998</v>
      </c>
      <c r="C712" s="68">
        <f t="shared" si="67"/>
        <v>16.242899999999999</v>
      </c>
      <c r="D712" s="69">
        <f t="shared" si="68"/>
        <v>1.2429000000000006</v>
      </c>
      <c r="E712" s="70">
        <f t="shared" si="69"/>
        <v>-13.757099999999999</v>
      </c>
      <c r="F712" s="71">
        <f t="shared" si="70"/>
        <v>-16.242899999999999</v>
      </c>
      <c r="G712" s="72">
        <f t="shared" si="71"/>
        <v>-1.2429000000000006</v>
      </c>
      <c r="H712" s="73">
        <f t="shared" si="72"/>
        <v>13.757099999999999</v>
      </c>
    </row>
    <row r="713" spans="1:8" x14ac:dyDescent="0.25">
      <c r="A713" s="26">
        <v>-27</v>
      </c>
      <c r="B713" s="25">
        <v>0.46</v>
      </c>
      <c r="C713" s="68">
        <f t="shared" si="67"/>
        <v>16.2</v>
      </c>
      <c r="D713" s="69">
        <f t="shared" si="68"/>
        <v>1.1999999999999993</v>
      </c>
      <c r="E713" s="70">
        <f t="shared" si="69"/>
        <v>-13.8</v>
      </c>
      <c r="F713" s="71">
        <f t="shared" si="70"/>
        <v>-16.2</v>
      </c>
      <c r="G713" s="72">
        <f t="shared" si="71"/>
        <v>-1.1999999999999993</v>
      </c>
      <c r="H713" s="73">
        <f t="shared" si="72"/>
        <v>13.8</v>
      </c>
    </row>
    <row r="714" spans="1:8" x14ac:dyDescent="0.25">
      <c r="A714" s="26">
        <v>-26</v>
      </c>
      <c r="B714" s="25">
        <v>0.46124999999999999</v>
      </c>
      <c r="C714" s="68">
        <f t="shared" si="67"/>
        <v>16.162500000000001</v>
      </c>
      <c r="D714" s="69">
        <f t="shared" si="68"/>
        <v>1.1624999999999996</v>
      </c>
      <c r="E714" s="70">
        <f t="shared" si="69"/>
        <v>-13.8375</v>
      </c>
      <c r="F714" s="71">
        <f t="shared" si="70"/>
        <v>-16.162500000000001</v>
      </c>
      <c r="G714" s="72">
        <f t="shared" si="71"/>
        <v>-1.1624999999999996</v>
      </c>
      <c r="H714" s="73">
        <f t="shared" si="72"/>
        <v>13.8375</v>
      </c>
    </row>
    <row r="715" spans="1:8" x14ac:dyDescent="0.25">
      <c r="A715" s="26">
        <v>-25</v>
      </c>
      <c r="B715" s="25">
        <v>0.46250000000000002</v>
      </c>
      <c r="C715" s="68">
        <f t="shared" si="67"/>
        <v>16.125</v>
      </c>
      <c r="D715" s="69">
        <f t="shared" si="68"/>
        <v>1.125</v>
      </c>
      <c r="E715" s="70">
        <f t="shared" si="69"/>
        <v>-13.875</v>
      </c>
      <c r="F715" s="71">
        <f t="shared" si="70"/>
        <v>-16.125</v>
      </c>
      <c r="G715" s="72">
        <f t="shared" si="71"/>
        <v>-1.125</v>
      </c>
      <c r="H715" s="73">
        <f t="shared" si="72"/>
        <v>13.875</v>
      </c>
    </row>
    <row r="716" spans="1:8" x14ac:dyDescent="0.25">
      <c r="A716" s="26">
        <v>-24</v>
      </c>
      <c r="B716" s="25">
        <v>0.46375</v>
      </c>
      <c r="C716" s="68">
        <f t="shared" si="67"/>
        <v>16.087499999999999</v>
      </c>
      <c r="D716" s="69">
        <f t="shared" si="68"/>
        <v>1.0875000000000004</v>
      </c>
      <c r="E716" s="70">
        <f t="shared" si="69"/>
        <v>-13.9125</v>
      </c>
      <c r="F716" s="71">
        <f t="shared" si="70"/>
        <v>-16.087499999999999</v>
      </c>
      <c r="G716" s="72">
        <f t="shared" si="71"/>
        <v>-1.0875000000000004</v>
      </c>
      <c r="H716" s="73">
        <f t="shared" si="72"/>
        <v>13.9125</v>
      </c>
    </row>
    <row r="717" spans="1:8" x14ac:dyDescent="0.25">
      <c r="A717" s="26">
        <v>-23</v>
      </c>
      <c r="B717" s="25">
        <v>0.46500000000000002</v>
      </c>
      <c r="C717" s="68">
        <f t="shared" si="67"/>
        <v>16.049999999999997</v>
      </c>
      <c r="D717" s="69">
        <f t="shared" si="68"/>
        <v>1.0499999999999989</v>
      </c>
      <c r="E717" s="70">
        <f t="shared" si="69"/>
        <v>-13.950000000000001</v>
      </c>
      <c r="F717" s="71">
        <f t="shared" si="70"/>
        <v>-16.049999999999997</v>
      </c>
      <c r="G717" s="72">
        <f t="shared" si="71"/>
        <v>-1.0499999999999989</v>
      </c>
      <c r="H717" s="73">
        <f t="shared" si="72"/>
        <v>13.950000000000001</v>
      </c>
    </row>
    <row r="718" spans="1:8" x14ac:dyDescent="0.25">
      <c r="A718" s="26">
        <v>-22</v>
      </c>
      <c r="B718" s="25">
        <v>0.46625</v>
      </c>
      <c r="C718" s="68">
        <f t="shared" si="67"/>
        <v>16.012499999999999</v>
      </c>
      <c r="D718" s="69">
        <f t="shared" si="68"/>
        <v>1.0124999999999993</v>
      </c>
      <c r="E718" s="70">
        <f t="shared" si="69"/>
        <v>-13.987500000000001</v>
      </c>
      <c r="F718" s="71">
        <f t="shared" si="70"/>
        <v>-16.012499999999999</v>
      </c>
      <c r="G718" s="72">
        <f t="shared" si="71"/>
        <v>-1.0124999999999993</v>
      </c>
      <c r="H718" s="73">
        <f t="shared" si="72"/>
        <v>13.987500000000001</v>
      </c>
    </row>
    <row r="719" spans="1:8" x14ac:dyDescent="0.25">
      <c r="A719" s="26">
        <v>-21</v>
      </c>
      <c r="B719" s="25">
        <v>0.46750000000000003</v>
      </c>
      <c r="C719" s="68">
        <f t="shared" si="67"/>
        <v>15.975</v>
      </c>
      <c r="D719" s="69">
        <f t="shared" si="68"/>
        <v>0.97499999999999964</v>
      </c>
      <c r="E719" s="70">
        <f t="shared" si="69"/>
        <v>-14.025</v>
      </c>
      <c r="F719" s="71">
        <f t="shared" si="70"/>
        <v>-15.975</v>
      </c>
      <c r="G719" s="72">
        <f t="shared" si="71"/>
        <v>-0.97499999999999964</v>
      </c>
      <c r="H719" s="73">
        <f t="shared" si="72"/>
        <v>14.025</v>
      </c>
    </row>
    <row r="720" spans="1:8" x14ac:dyDescent="0.25">
      <c r="A720" s="26">
        <v>-20</v>
      </c>
      <c r="B720" s="25">
        <v>0.46875</v>
      </c>
      <c r="C720" s="68">
        <f t="shared" si="67"/>
        <v>15.9375</v>
      </c>
      <c r="D720" s="69">
        <f t="shared" si="68"/>
        <v>0.9375</v>
      </c>
      <c r="E720" s="70">
        <f t="shared" si="69"/>
        <v>-14.0625</v>
      </c>
      <c r="F720" s="71">
        <f t="shared" si="70"/>
        <v>-15.9375</v>
      </c>
      <c r="G720" s="72">
        <f t="shared" si="71"/>
        <v>-0.9375</v>
      </c>
      <c r="H720" s="73">
        <f t="shared" si="72"/>
        <v>14.0625</v>
      </c>
    </row>
    <row r="721" spans="1:8" x14ac:dyDescent="0.25">
      <c r="A721" s="26">
        <v>-19</v>
      </c>
      <c r="B721" s="25">
        <v>0.47</v>
      </c>
      <c r="C721" s="68">
        <f t="shared" si="67"/>
        <v>15.9</v>
      </c>
      <c r="D721" s="69">
        <f t="shared" si="68"/>
        <v>0.90000000000000036</v>
      </c>
      <c r="E721" s="70">
        <f t="shared" si="69"/>
        <v>-14.1</v>
      </c>
      <c r="F721" s="71">
        <f t="shared" si="70"/>
        <v>-15.9</v>
      </c>
      <c r="G721" s="72">
        <f t="shared" si="71"/>
        <v>-0.90000000000000036</v>
      </c>
      <c r="H721" s="73">
        <f t="shared" si="72"/>
        <v>14.1</v>
      </c>
    </row>
    <row r="722" spans="1:8" x14ac:dyDescent="0.25">
      <c r="A722" s="26">
        <v>-18</v>
      </c>
      <c r="B722" s="25">
        <v>0.47143000000000002</v>
      </c>
      <c r="C722" s="68">
        <f t="shared" si="67"/>
        <v>15.857099999999999</v>
      </c>
      <c r="D722" s="69">
        <f t="shared" si="68"/>
        <v>0.85709999999999908</v>
      </c>
      <c r="E722" s="70">
        <f t="shared" si="69"/>
        <v>-14.142900000000001</v>
      </c>
      <c r="F722" s="71">
        <f t="shared" si="70"/>
        <v>-15.857099999999999</v>
      </c>
      <c r="G722" s="72">
        <f t="shared" si="71"/>
        <v>-0.85709999999999908</v>
      </c>
      <c r="H722" s="73">
        <f t="shared" si="72"/>
        <v>14.142900000000001</v>
      </c>
    </row>
    <row r="723" spans="1:8" x14ac:dyDescent="0.25">
      <c r="A723" s="26">
        <v>-17</v>
      </c>
      <c r="B723" s="25">
        <v>0.47286</v>
      </c>
      <c r="C723" s="68">
        <f t="shared" si="67"/>
        <v>15.8142</v>
      </c>
      <c r="D723" s="69">
        <f t="shared" si="68"/>
        <v>0.81419999999999959</v>
      </c>
      <c r="E723" s="70">
        <f t="shared" si="69"/>
        <v>-14.1858</v>
      </c>
      <c r="F723" s="71">
        <f t="shared" si="70"/>
        <v>-15.8142</v>
      </c>
      <c r="G723" s="72">
        <f t="shared" si="71"/>
        <v>-0.81419999999999959</v>
      </c>
      <c r="H723" s="73">
        <f t="shared" si="72"/>
        <v>14.1858</v>
      </c>
    </row>
    <row r="724" spans="1:8" x14ac:dyDescent="0.25">
      <c r="A724" s="26">
        <v>-16</v>
      </c>
      <c r="B724" s="25">
        <v>0.47428999999999999</v>
      </c>
      <c r="C724" s="68">
        <f t="shared" si="67"/>
        <v>15.7713</v>
      </c>
      <c r="D724" s="69">
        <f t="shared" si="68"/>
        <v>0.7713000000000001</v>
      </c>
      <c r="E724" s="70">
        <f t="shared" si="69"/>
        <v>-14.2287</v>
      </c>
      <c r="F724" s="71">
        <f t="shared" si="70"/>
        <v>-15.7713</v>
      </c>
      <c r="G724" s="72">
        <f t="shared" si="71"/>
        <v>-0.7713000000000001</v>
      </c>
      <c r="H724" s="73">
        <f t="shared" si="72"/>
        <v>14.2287</v>
      </c>
    </row>
    <row r="725" spans="1:8" x14ac:dyDescent="0.25">
      <c r="A725" s="26">
        <v>-15</v>
      </c>
      <c r="B725" s="25">
        <v>0.47571000000000002</v>
      </c>
      <c r="C725" s="68">
        <f t="shared" si="67"/>
        <v>15.7287</v>
      </c>
      <c r="D725" s="69">
        <f t="shared" si="68"/>
        <v>0.7286999999999999</v>
      </c>
      <c r="E725" s="70">
        <f t="shared" si="69"/>
        <v>-14.2713</v>
      </c>
      <c r="F725" s="71">
        <f t="shared" si="70"/>
        <v>-15.7287</v>
      </c>
      <c r="G725" s="72">
        <f t="shared" si="71"/>
        <v>-0.7286999999999999</v>
      </c>
      <c r="H725" s="73">
        <f t="shared" si="72"/>
        <v>14.2713</v>
      </c>
    </row>
    <row r="726" spans="1:8" x14ac:dyDescent="0.25">
      <c r="A726" s="26">
        <v>-14</v>
      </c>
      <c r="B726" s="25">
        <v>0.47714000000000001</v>
      </c>
      <c r="C726" s="68">
        <f t="shared" si="67"/>
        <v>15.6858</v>
      </c>
      <c r="D726" s="69">
        <f t="shared" si="68"/>
        <v>0.68580000000000041</v>
      </c>
      <c r="E726" s="70">
        <f t="shared" si="69"/>
        <v>-14.3142</v>
      </c>
      <c r="F726" s="71">
        <f t="shared" si="70"/>
        <v>-15.6858</v>
      </c>
      <c r="G726" s="72">
        <f t="shared" si="71"/>
        <v>-0.68580000000000041</v>
      </c>
      <c r="H726" s="73">
        <f t="shared" si="72"/>
        <v>14.3142</v>
      </c>
    </row>
    <row r="727" spans="1:8" x14ac:dyDescent="0.25">
      <c r="A727" s="26">
        <v>-13</v>
      </c>
      <c r="B727" s="25">
        <v>0.47857</v>
      </c>
      <c r="C727" s="68">
        <f t="shared" si="67"/>
        <v>15.642900000000001</v>
      </c>
      <c r="D727" s="69">
        <f t="shared" si="68"/>
        <v>0.64290000000000092</v>
      </c>
      <c r="E727" s="70">
        <f t="shared" si="69"/>
        <v>-14.357099999999999</v>
      </c>
      <c r="F727" s="71">
        <f t="shared" si="70"/>
        <v>-15.642900000000001</v>
      </c>
      <c r="G727" s="72">
        <f t="shared" si="71"/>
        <v>-0.64290000000000092</v>
      </c>
      <c r="H727" s="73">
        <f t="shared" si="72"/>
        <v>14.357099999999999</v>
      </c>
    </row>
    <row r="728" spans="1:8" x14ac:dyDescent="0.25">
      <c r="A728" s="26">
        <v>-12</v>
      </c>
      <c r="B728" s="25">
        <v>0.48</v>
      </c>
      <c r="C728" s="68">
        <f t="shared" si="67"/>
        <v>15.600000000000001</v>
      </c>
      <c r="D728" s="69">
        <f t="shared" si="68"/>
        <v>0.60000000000000142</v>
      </c>
      <c r="E728" s="70">
        <f t="shared" si="69"/>
        <v>-14.399999999999999</v>
      </c>
      <c r="F728" s="71">
        <f t="shared" si="70"/>
        <v>-15.600000000000001</v>
      </c>
      <c r="G728" s="72">
        <f t="shared" si="71"/>
        <v>-0.60000000000000142</v>
      </c>
      <c r="H728" s="73">
        <f t="shared" si="72"/>
        <v>14.399999999999999</v>
      </c>
    </row>
    <row r="729" spans="1:8" x14ac:dyDescent="0.25">
      <c r="A729" s="26">
        <v>-11</v>
      </c>
      <c r="B729" s="25">
        <v>0.48143000000000002</v>
      </c>
      <c r="C729" s="68">
        <f t="shared" si="67"/>
        <v>15.557099999999998</v>
      </c>
      <c r="D729" s="69">
        <f t="shared" si="68"/>
        <v>0.55709999999999837</v>
      </c>
      <c r="E729" s="70">
        <f t="shared" si="69"/>
        <v>-14.442900000000002</v>
      </c>
      <c r="F729" s="71">
        <f t="shared" si="70"/>
        <v>-15.557099999999998</v>
      </c>
      <c r="G729" s="72">
        <f t="shared" si="71"/>
        <v>-0.55709999999999837</v>
      </c>
      <c r="H729" s="73">
        <f t="shared" si="72"/>
        <v>14.442900000000002</v>
      </c>
    </row>
    <row r="730" spans="1:8" x14ac:dyDescent="0.25">
      <c r="A730" s="26">
        <v>-10</v>
      </c>
      <c r="B730" s="25">
        <v>0.48286000000000001</v>
      </c>
      <c r="C730" s="68">
        <f t="shared" si="67"/>
        <v>15.514199999999999</v>
      </c>
      <c r="D730" s="69">
        <f t="shared" si="68"/>
        <v>0.51419999999999888</v>
      </c>
      <c r="E730" s="70">
        <f t="shared" si="69"/>
        <v>-14.485800000000001</v>
      </c>
      <c r="F730" s="71">
        <f t="shared" si="70"/>
        <v>-15.514199999999999</v>
      </c>
      <c r="G730" s="72">
        <f t="shared" si="71"/>
        <v>-0.51419999999999888</v>
      </c>
      <c r="H730" s="73">
        <f t="shared" si="72"/>
        <v>14.485800000000001</v>
      </c>
    </row>
    <row r="731" spans="1:8" x14ac:dyDescent="0.25">
      <c r="A731" s="26">
        <v>-9</v>
      </c>
      <c r="B731" s="25">
        <v>0.48429</v>
      </c>
      <c r="C731" s="68">
        <f t="shared" si="67"/>
        <v>15.471299999999999</v>
      </c>
      <c r="D731" s="69">
        <f t="shared" si="68"/>
        <v>0.47129999999999939</v>
      </c>
      <c r="E731" s="70">
        <f t="shared" si="69"/>
        <v>-14.528700000000001</v>
      </c>
      <c r="F731" s="71">
        <f t="shared" si="70"/>
        <v>-15.471299999999999</v>
      </c>
      <c r="G731" s="72">
        <f t="shared" si="71"/>
        <v>-0.47129999999999939</v>
      </c>
      <c r="H731" s="73">
        <f t="shared" si="72"/>
        <v>14.528700000000001</v>
      </c>
    </row>
    <row r="732" spans="1:8" x14ac:dyDescent="0.25">
      <c r="A732" s="26">
        <v>-8</v>
      </c>
      <c r="B732" s="25">
        <v>0.48570999999999998</v>
      </c>
      <c r="C732" s="68">
        <f t="shared" si="67"/>
        <v>15.428700000000001</v>
      </c>
      <c r="D732" s="69">
        <f t="shared" si="68"/>
        <v>0.42870000000000097</v>
      </c>
      <c r="E732" s="70">
        <f t="shared" si="69"/>
        <v>-14.571299999999999</v>
      </c>
      <c r="F732" s="71">
        <f t="shared" si="70"/>
        <v>-15.428700000000001</v>
      </c>
      <c r="G732" s="72">
        <f t="shared" si="71"/>
        <v>-0.42870000000000097</v>
      </c>
      <c r="H732" s="73">
        <f t="shared" si="72"/>
        <v>14.571299999999999</v>
      </c>
    </row>
    <row r="733" spans="1:8" x14ac:dyDescent="0.25">
      <c r="A733" s="26">
        <v>-7</v>
      </c>
      <c r="B733" s="25">
        <v>0.48714000000000002</v>
      </c>
      <c r="C733" s="68">
        <f t="shared" si="67"/>
        <v>15.3858</v>
      </c>
      <c r="D733" s="69">
        <f t="shared" si="68"/>
        <v>0.3857999999999997</v>
      </c>
      <c r="E733" s="70">
        <f t="shared" si="69"/>
        <v>-14.6142</v>
      </c>
      <c r="F733" s="71">
        <f t="shared" si="70"/>
        <v>-15.3858</v>
      </c>
      <c r="G733" s="72">
        <f t="shared" si="71"/>
        <v>-0.3857999999999997</v>
      </c>
      <c r="H733" s="73">
        <f t="shared" si="72"/>
        <v>14.6142</v>
      </c>
    </row>
    <row r="734" spans="1:8" x14ac:dyDescent="0.25">
      <c r="A734" s="26">
        <v>-6</v>
      </c>
      <c r="B734" s="25">
        <v>0.48857</v>
      </c>
      <c r="C734" s="68">
        <f t="shared" si="67"/>
        <v>15.3429</v>
      </c>
      <c r="D734" s="69">
        <f t="shared" si="68"/>
        <v>0.3429000000000002</v>
      </c>
      <c r="E734" s="70">
        <f t="shared" si="69"/>
        <v>-14.6571</v>
      </c>
      <c r="F734" s="71">
        <f t="shared" si="70"/>
        <v>-15.3429</v>
      </c>
      <c r="G734" s="72">
        <f t="shared" si="71"/>
        <v>-0.3429000000000002</v>
      </c>
      <c r="H734" s="73">
        <f t="shared" si="72"/>
        <v>14.6571</v>
      </c>
    </row>
    <row r="735" spans="1:8" x14ac:dyDescent="0.25">
      <c r="A735" s="26">
        <v>-5</v>
      </c>
      <c r="B735" s="25">
        <v>0.49</v>
      </c>
      <c r="C735" s="68">
        <f t="shared" si="67"/>
        <v>15.3</v>
      </c>
      <c r="D735" s="69">
        <f t="shared" si="68"/>
        <v>0.30000000000000071</v>
      </c>
      <c r="E735" s="70">
        <f t="shared" si="69"/>
        <v>-14.7</v>
      </c>
      <c r="F735" s="71">
        <f t="shared" si="70"/>
        <v>-15.3</v>
      </c>
      <c r="G735" s="72">
        <f t="shared" si="71"/>
        <v>-0.30000000000000071</v>
      </c>
      <c r="H735" s="73">
        <f t="shared" si="72"/>
        <v>14.7</v>
      </c>
    </row>
    <row r="736" spans="1:8" x14ac:dyDescent="0.25">
      <c r="A736" s="26">
        <v>-4</v>
      </c>
      <c r="B736" s="25">
        <v>0.49249999999999999</v>
      </c>
      <c r="C736" s="68">
        <f t="shared" si="67"/>
        <v>15.225</v>
      </c>
      <c r="D736" s="69">
        <f t="shared" si="68"/>
        <v>0.22499999999999964</v>
      </c>
      <c r="E736" s="70">
        <f t="shared" si="69"/>
        <v>-14.775</v>
      </c>
      <c r="F736" s="71">
        <f t="shared" si="70"/>
        <v>-15.225</v>
      </c>
      <c r="G736" s="72">
        <f t="shared" si="71"/>
        <v>-0.22499999999999964</v>
      </c>
      <c r="H736" s="73">
        <f t="shared" si="72"/>
        <v>14.775</v>
      </c>
    </row>
    <row r="737" spans="1:8" x14ac:dyDescent="0.25">
      <c r="A737" s="26">
        <v>-3</v>
      </c>
      <c r="B737" s="25">
        <v>0.495</v>
      </c>
      <c r="C737" s="68">
        <f t="shared" si="67"/>
        <v>15.15</v>
      </c>
      <c r="D737" s="69">
        <f t="shared" si="68"/>
        <v>0.15000000000000036</v>
      </c>
      <c r="E737" s="70">
        <f t="shared" si="69"/>
        <v>-14.85</v>
      </c>
      <c r="F737" s="71">
        <f t="shared" si="70"/>
        <v>-15.15</v>
      </c>
      <c r="G737" s="72">
        <f t="shared" si="71"/>
        <v>-0.15000000000000036</v>
      </c>
      <c r="H737" s="73">
        <f t="shared" si="72"/>
        <v>14.85</v>
      </c>
    </row>
    <row r="738" spans="1:8" x14ac:dyDescent="0.25">
      <c r="A738" s="26">
        <v>-2</v>
      </c>
      <c r="B738" s="25">
        <v>0.4975</v>
      </c>
      <c r="C738" s="68">
        <f t="shared" si="67"/>
        <v>15.074999999999999</v>
      </c>
      <c r="D738" s="69">
        <f t="shared" si="68"/>
        <v>7.4999999999999289E-2</v>
      </c>
      <c r="E738" s="70">
        <f t="shared" si="69"/>
        <v>-14.925000000000001</v>
      </c>
      <c r="F738" s="71">
        <f t="shared" si="70"/>
        <v>-15.074999999999999</v>
      </c>
      <c r="G738" s="72">
        <f t="shared" si="71"/>
        <v>-7.4999999999999289E-2</v>
      </c>
      <c r="H738" s="73">
        <f t="shared" si="72"/>
        <v>14.925000000000001</v>
      </c>
    </row>
    <row r="739" spans="1:8" x14ac:dyDescent="0.25">
      <c r="A739" s="26">
        <v>-1</v>
      </c>
      <c r="B739" s="25">
        <v>0.5</v>
      </c>
      <c r="C739" s="68">
        <f t="shared" si="67"/>
        <v>15</v>
      </c>
      <c r="D739" s="69">
        <f t="shared" si="68"/>
        <v>0</v>
      </c>
      <c r="E739" s="70">
        <f t="shared" si="69"/>
        <v>-15</v>
      </c>
      <c r="F739" s="71">
        <f t="shared" si="70"/>
        <v>-15</v>
      </c>
      <c r="G739" s="72">
        <f t="shared" si="71"/>
        <v>0</v>
      </c>
      <c r="H739" s="73">
        <f t="shared" si="72"/>
        <v>15</v>
      </c>
    </row>
    <row r="740" spans="1:8" x14ac:dyDescent="0.25">
      <c r="A740" s="26">
        <v>0</v>
      </c>
      <c r="B740" s="25">
        <v>0.5</v>
      </c>
      <c r="C740" s="68">
        <f t="shared" si="67"/>
        <v>15</v>
      </c>
      <c r="D740" s="69">
        <f t="shared" si="68"/>
        <v>0</v>
      </c>
      <c r="E740" s="70">
        <f t="shared" si="69"/>
        <v>-15</v>
      </c>
      <c r="F740" s="71">
        <f t="shared" si="70"/>
        <v>-15</v>
      </c>
      <c r="G740" s="72">
        <f t="shared" si="71"/>
        <v>0</v>
      </c>
      <c r="H740" s="73">
        <f t="shared" si="72"/>
        <v>15</v>
      </c>
    </row>
    <row r="741" spans="1:8" x14ac:dyDescent="0.25">
      <c r="A741" s="26">
        <v>1</v>
      </c>
      <c r="B741" s="25">
        <v>0.50249999999999995</v>
      </c>
      <c r="C741" s="68">
        <f t="shared" si="67"/>
        <v>14.925000000000001</v>
      </c>
      <c r="D741" s="69">
        <f t="shared" si="68"/>
        <v>-7.4999999999999289E-2</v>
      </c>
      <c r="E741" s="70">
        <f t="shared" si="69"/>
        <v>-15.074999999999999</v>
      </c>
      <c r="F741" s="71">
        <f t="shared" si="70"/>
        <v>-14.925000000000001</v>
      </c>
      <c r="G741" s="72">
        <f t="shared" si="71"/>
        <v>7.4999999999999289E-2</v>
      </c>
      <c r="H741" s="73">
        <f t="shared" si="72"/>
        <v>15.074999999999999</v>
      </c>
    </row>
    <row r="742" spans="1:8" x14ac:dyDescent="0.25">
      <c r="A742" s="26">
        <v>2</v>
      </c>
      <c r="B742" s="25">
        <v>0.505</v>
      </c>
      <c r="C742" s="68">
        <f t="shared" si="67"/>
        <v>14.85</v>
      </c>
      <c r="D742" s="69">
        <f t="shared" si="68"/>
        <v>-0.15000000000000036</v>
      </c>
      <c r="E742" s="70">
        <f t="shared" si="69"/>
        <v>-15.15</v>
      </c>
      <c r="F742" s="71">
        <f t="shared" si="70"/>
        <v>-14.85</v>
      </c>
      <c r="G742" s="72">
        <f t="shared" si="71"/>
        <v>0.15000000000000036</v>
      </c>
      <c r="H742" s="73">
        <f t="shared" si="72"/>
        <v>15.15</v>
      </c>
    </row>
    <row r="743" spans="1:8" x14ac:dyDescent="0.25">
      <c r="A743" s="26">
        <v>3</v>
      </c>
      <c r="B743" s="25">
        <v>0.50749999999999995</v>
      </c>
      <c r="C743" s="68">
        <f t="shared" si="67"/>
        <v>14.775000000000002</v>
      </c>
      <c r="D743" s="69">
        <f t="shared" si="68"/>
        <v>-0.22499999999999787</v>
      </c>
      <c r="E743" s="70">
        <f t="shared" si="69"/>
        <v>-15.224999999999998</v>
      </c>
      <c r="F743" s="71">
        <f t="shared" si="70"/>
        <v>-14.775000000000002</v>
      </c>
      <c r="G743" s="72">
        <f t="shared" si="71"/>
        <v>0.22499999999999787</v>
      </c>
      <c r="H743" s="73">
        <f t="shared" si="72"/>
        <v>15.224999999999998</v>
      </c>
    </row>
    <row r="744" spans="1:8" x14ac:dyDescent="0.25">
      <c r="A744" s="26">
        <v>4</v>
      </c>
      <c r="B744" s="25">
        <v>0.51</v>
      </c>
      <c r="C744" s="68">
        <f t="shared" si="67"/>
        <v>14.7</v>
      </c>
      <c r="D744" s="69">
        <f t="shared" si="68"/>
        <v>-0.30000000000000071</v>
      </c>
      <c r="E744" s="70">
        <f t="shared" si="69"/>
        <v>-15.3</v>
      </c>
      <c r="F744" s="71">
        <f t="shared" si="70"/>
        <v>-14.7</v>
      </c>
      <c r="G744" s="72">
        <f t="shared" si="71"/>
        <v>0.30000000000000071</v>
      </c>
      <c r="H744" s="73">
        <f t="shared" si="72"/>
        <v>15.3</v>
      </c>
    </row>
    <row r="745" spans="1:8" x14ac:dyDescent="0.25">
      <c r="A745" s="26">
        <v>5</v>
      </c>
      <c r="B745" s="25">
        <v>0.51143000000000005</v>
      </c>
      <c r="C745" s="68">
        <f t="shared" si="67"/>
        <v>14.657099999999998</v>
      </c>
      <c r="D745" s="69">
        <f t="shared" si="68"/>
        <v>-0.34290000000000198</v>
      </c>
      <c r="E745" s="70">
        <f t="shared" si="69"/>
        <v>-15.342900000000002</v>
      </c>
      <c r="F745" s="71">
        <f t="shared" si="70"/>
        <v>-14.657099999999998</v>
      </c>
      <c r="G745" s="72">
        <f t="shared" si="71"/>
        <v>0.34290000000000198</v>
      </c>
      <c r="H745" s="73">
        <f t="shared" si="72"/>
        <v>15.342900000000002</v>
      </c>
    </row>
    <row r="746" spans="1:8" x14ac:dyDescent="0.25">
      <c r="A746" s="26">
        <v>6</v>
      </c>
      <c r="B746" s="25">
        <v>0.51285999999999998</v>
      </c>
      <c r="C746" s="68">
        <f t="shared" si="67"/>
        <v>14.6142</v>
      </c>
      <c r="D746" s="69">
        <f t="shared" si="68"/>
        <v>-0.3857999999999997</v>
      </c>
      <c r="E746" s="70">
        <f t="shared" si="69"/>
        <v>-15.3858</v>
      </c>
      <c r="F746" s="71">
        <f t="shared" si="70"/>
        <v>-14.6142</v>
      </c>
      <c r="G746" s="72">
        <f t="shared" si="71"/>
        <v>0.3857999999999997</v>
      </c>
      <c r="H746" s="73">
        <f t="shared" si="72"/>
        <v>15.3858</v>
      </c>
    </row>
    <row r="747" spans="1:8" x14ac:dyDescent="0.25">
      <c r="A747" s="26">
        <v>7</v>
      </c>
      <c r="B747" s="25">
        <v>0.51429000000000002</v>
      </c>
      <c r="C747" s="68">
        <f t="shared" si="67"/>
        <v>14.571299999999999</v>
      </c>
      <c r="D747" s="69">
        <f t="shared" si="68"/>
        <v>-0.42870000000000097</v>
      </c>
      <c r="E747" s="70">
        <f t="shared" si="69"/>
        <v>-15.428700000000001</v>
      </c>
      <c r="F747" s="71">
        <f t="shared" si="70"/>
        <v>-14.571299999999999</v>
      </c>
      <c r="G747" s="72">
        <f t="shared" si="71"/>
        <v>0.42870000000000097</v>
      </c>
      <c r="H747" s="73">
        <f t="shared" si="72"/>
        <v>15.428700000000001</v>
      </c>
    </row>
    <row r="748" spans="1:8" x14ac:dyDescent="0.25">
      <c r="A748" s="26">
        <v>8</v>
      </c>
      <c r="B748" s="25">
        <v>0.51571</v>
      </c>
      <c r="C748" s="68">
        <f t="shared" si="67"/>
        <v>14.528700000000001</v>
      </c>
      <c r="D748" s="69">
        <f t="shared" si="68"/>
        <v>-0.47129999999999939</v>
      </c>
      <c r="E748" s="70">
        <f t="shared" si="69"/>
        <v>-15.471299999999999</v>
      </c>
      <c r="F748" s="71">
        <f t="shared" si="70"/>
        <v>-14.528700000000001</v>
      </c>
      <c r="G748" s="72">
        <f t="shared" si="71"/>
        <v>0.47129999999999939</v>
      </c>
      <c r="H748" s="73">
        <f t="shared" si="72"/>
        <v>15.471299999999999</v>
      </c>
    </row>
    <row r="749" spans="1:8" x14ac:dyDescent="0.25">
      <c r="A749" s="26">
        <v>9</v>
      </c>
      <c r="B749" s="25">
        <v>0.51714000000000004</v>
      </c>
      <c r="C749" s="68">
        <f t="shared" si="67"/>
        <v>14.485799999999999</v>
      </c>
      <c r="D749" s="69">
        <f t="shared" si="68"/>
        <v>-0.51420000000000066</v>
      </c>
      <c r="E749" s="70">
        <f t="shared" si="69"/>
        <v>-15.514200000000001</v>
      </c>
      <c r="F749" s="71">
        <f t="shared" si="70"/>
        <v>-14.485799999999999</v>
      </c>
      <c r="G749" s="72">
        <f t="shared" si="71"/>
        <v>0.51420000000000066</v>
      </c>
      <c r="H749" s="73">
        <f t="shared" si="72"/>
        <v>15.514200000000001</v>
      </c>
    </row>
    <row r="750" spans="1:8" x14ac:dyDescent="0.25">
      <c r="A750" s="26">
        <v>10</v>
      </c>
      <c r="B750" s="25">
        <v>0.51856999999999998</v>
      </c>
      <c r="C750" s="68">
        <f t="shared" si="67"/>
        <v>14.442900000000002</v>
      </c>
      <c r="D750" s="69">
        <f t="shared" si="68"/>
        <v>-0.55709999999999837</v>
      </c>
      <c r="E750" s="70">
        <f t="shared" si="69"/>
        <v>-15.557099999999998</v>
      </c>
      <c r="F750" s="71">
        <f t="shared" si="70"/>
        <v>-14.442900000000002</v>
      </c>
      <c r="G750" s="72">
        <f t="shared" si="71"/>
        <v>0.55709999999999837</v>
      </c>
      <c r="H750" s="73">
        <f t="shared" si="72"/>
        <v>15.557099999999998</v>
      </c>
    </row>
    <row r="751" spans="1:8" x14ac:dyDescent="0.25">
      <c r="A751" s="26">
        <v>11</v>
      </c>
      <c r="B751" s="25">
        <v>0.52</v>
      </c>
      <c r="C751" s="68">
        <f t="shared" si="67"/>
        <v>14.399999999999999</v>
      </c>
      <c r="D751" s="69">
        <f t="shared" si="68"/>
        <v>-0.60000000000000142</v>
      </c>
      <c r="E751" s="70">
        <f t="shared" si="69"/>
        <v>-15.600000000000001</v>
      </c>
      <c r="F751" s="71">
        <f t="shared" si="70"/>
        <v>-14.399999999999999</v>
      </c>
      <c r="G751" s="72">
        <f t="shared" si="71"/>
        <v>0.60000000000000142</v>
      </c>
      <c r="H751" s="73">
        <f t="shared" si="72"/>
        <v>15.600000000000001</v>
      </c>
    </row>
    <row r="752" spans="1:8" x14ac:dyDescent="0.25">
      <c r="A752" s="26">
        <v>12</v>
      </c>
      <c r="B752" s="25">
        <v>0.52142999999999995</v>
      </c>
      <c r="C752" s="68">
        <f t="shared" si="67"/>
        <v>14.357100000000001</v>
      </c>
      <c r="D752" s="69">
        <f t="shared" si="68"/>
        <v>-0.64289999999999914</v>
      </c>
      <c r="E752" s="70">
        <f t="shared" si="69"/>
        <v>-15.642899999999999</v>
      </c>
      <c r="F752" s="71">
        <f t="shared" si="70"/>
        <v>-14.357100000000001</v>
      </c>
      <c r="G752" s="72">
        <f t="shared" si="71"/>
        <v>0.64289999999999914</v>
      </c>
      <c r="H752" s="73">
        <f t="shared" si="72"/>
        <v>15.642899999999999</v>
      </c>
    </row>
    <row r="753" spans="1:8" x14ac:dyDescent="0.25">
      <c r="A753" s="26">
        <v>13</v>
      </c>
      <c r="B753" s="25">
        <v>0.52285999999999999</v>
      </c>
      <c r="C753" s="68">
        <f t="shared" si="67"/>
        <v>14.3142</v>
      </c>
      <c r="D753" s="69">
        <f t="shared" si="68"/>
        <v>-0.68580000000000041</v>
      </c>
      <c r="E753" s="70">
        <f t="shared" si="69"/>
        <v>-15.6858</v>
      </c>
      <c r="F753" s="71">
        <f t="shared" si="70"/>
        <v>-14.3142</v>
      </c>
      <c r="G753" s="72">
        <f t="shared" si="71"/>
        <v>0.68580000000000041</v>
      </c>
      <c r="H753" s="73">
        <f t="shared" si="72"/>
        <v>15.6858</v>
      </c>
    </row>
    <row r="754" spans="1:8" x14ac:dyDescent="0.25">
      <c r="A754" s="26">
        <v>14</v>
      </c>
      <c r="B754" s="25">
        <v>0.52429000000000003</v>
      </c>
      <c r="C754" s="68">
        <f t="shared" si="67"/>
        <v>14.271299999999998</v>
      </c>
      <c r="D754" s="69">
        <f t="shared" si="68"/>
        <v>-0.72870000000000168</v>
      </c>
      <c r="E754" s="70">
        <f t="shared" si="69"/>
        <v>-15.728700000000002</v>
      </c>
      <c r="F754" s="71">
        <f t="shared" si="70"/>
        <v>-14.271299999999998</v>
      </c>
      <c r="G754" s="72">
        <f t="shared" si="71"/>
        <v>0.72870000000000168</v>
      </c>
      <c r="H754" s="73">
        <f t="shared" si="72"/>
        <v>15.728700000000002</v>
      </c>
    </row>
    <row r="755" spans="1:8" x14ac:dyDescent="0.25">
      <c r="A755" s="26">
        <v>15</v>
      </c>
      <c r="B755" s="25">
        <v>0.52571000000000001</v>
      </c>
      <c r="C755" s="68">
        <f t="shared" si="67"/>
        <v>14.2287</v>
      </c>
      <c r="D755" s="69">
        <f t="shared" si="68"/>
        <v>-0.7713000000000001</v>
      </c>
      <c r="E755" s="70">
        <f t="shared" si="69"/>
        <v>-15.7713</v>
      </c>
      <c r="F755" s="71">
        <f t="shared" si="70"/>
        <v>-14.2287</v>
      </c>
      <c r="G755" s="72">
        <f t="shared" si="71"/>
        <v>0.7713000000000001</v>
      </c>
      <c r="H755" s="73">
        <f t="shared" si="72"/>
        <v>15.7713</v>
      </c>
    </row>
    <row r="756" spans="1:8" x14ac:dyDescent="0.25">
      <c r="A756" s="26">
        <v>16</v>
      </c>
      <c r="B756" s="25">
        <v>0.52714000000000005</v>
      </c>
      <c r="C756" s="68">
        <f t="shared" si="67"/>
        <v>14.185799999999999</v>
      </c>
      <c r="D756" s="69">
        <f t="shared" si="68"/>
        <v>-0.81420000000000137</v>
      </c>
      <c r="E756" s="70">
        <f t="shared" si="69"/>
        <v>-15.814200000000001</v>
      </c>
      <c r="F756" s="71">
        <f t="shared" si="70"/>
        <v>-14.185799999999999</v>
      </c>
      <c r="G756" s="72">
        <f t="shared" si="71"/>
        <v>0.81420000000000137</v>
      </c>
      <c r="H756" s="73">
        <f t="shared" si="72"/>
        <v>15.814200000000001</v>
      </c>
    </row>
    <row r="757" spans="1:8" x14ac:dyDescent="0.25">
      <c r="A757" s="26">
        <v>17</v>
      </c>
      <c r="B757" s="25">
        <v>0.52856999999999998</v>
      </c>
      <c r="C757" s="68">
        <f t="shared" si="67"/>
        <v>14.142900000000001</v>
      </c>
      <c r="D757" s="69">
        <f t="shared" si="68"/>
        <v>-0.85709999999999908</v>
      </c>
      <c r="E757" s="70">
        <f t="shared" si="69"/>
        <v>-15.857099999999999</v>
      </c>
      <c r="F757" s="71">
        <f t="shared" si="70"/>
        <v>-14.142900000000001</v>
      </c>
      <c r="G757" s="72">
        <f t="shared" si="71"/>
        <v>0.85709999999999908</v>
      </c>
      <c r="H757" s="73">
        <f t="shared" si="72"/>
        <v>15.857099999999999</v>
      </c>
    </row>
    <row r="758" spans="1:8" x14ac:dyDescent="0.25">
      <c r="A758" s="26">
        <v>18</v>
      </c>
      <c r="B758" s="25">
        <v>0.53</v>
      </c>
      <c r="C758" s="68">
        <f t="shared" si="67"/>
        <v>14.1</v>
      </c>
      <c r="D758" s="69">
        <f t="shared" si="68"/>
        <v>-0.90000000000000036</v>
      </c>
      <c r="E758" s="70">
        <f t="shared" si="69"/>
        <v>-15.9</v>
      </c>
      <c r="F758" s="71">
        <f t="shared" si="70"/>
        <v>-14.1</v>
      </c>
      <c r="G758" s="72">
        <f t="shared" si="71"/>
        <v>0.90000000000000036</v>
      </c>
      <c r="H758" s="73">
        <f t="shared" si="72"/>
        <v>15.9</v>
      </c>
    </row>
    <row r="759" spans="1:8" x14ac:dyDescent="0.25">
      <c r="A759" s="26">
        <v>19</v>
      </c>
      <c r="B759" s="25">
        <v>0.53125</v>
      </c>
      <c r="C759" s="68">
        <f t="shared" si="67"/>
        <v>14.0625</v>
      </c>
      <c r="D759" s="69">
        <f t="shared" si="68"/>
        <v>-0.9375</v>
      </c>
      <c r="E759" s="70">
        <f t="shared" si="69"/>
        <v>-15.9375</v>
      </c>
      <c r="F759" s="71">
        <f t="shared" si="70"/>
        <v>-14.0625</v>
      </c>
      <c r="G759" s="72">
        <f t="shared" si="71"/>
        <v>0.9375</v>
      </c>
      <c r="H759" s="73">
        <f t="shared" si="72"/>
        <v>15.9375</v>
      </c>
    </row>
    <row r="760" spans="1:8" x14ac:dyDescent="0.25">
      <c r="A760" s="26">
        <v>20</v>
      </c>
      <c r="B760" s="25">
        <v>0.53249999999999997</v>
      </c>
      <c r="C760" s="68">
        <f t="shared" si="67"/>
        <v>14.025</v>
      </c>
      <c r="D760" s="69">
        <f t="shared" si="68"/>
        <v>-0.97499999999999964</v>
      </c>
      <c r="E760" s="70">
        <f t="shared" si="69"/>
        <v>-15.975</v>
      </c>
      <c r="F760" s="71">
        <f t="shared" si="70"/>
        <v>-14.025</v>
      </c>
      <c r="G760" s="72">
        <f t="shared" si="71"/>
        <v>0.97499999999999964</v>
      </c>
      <c r="H760" s="73">
        <f t="shared" si="72"/>
        <v>15.975</v>
      </c>
    </row>
    <row r="761" spans="1:8" x14ac:dyDescent="0.25">
      <c r="A761" s="26">
        <v>21</v>
      </c>
      <c r="B761" s="25">
        <v>0.53374999999999995</v>
      </c>
      <c r="C761" s="68">
        <f t="shared" si="67"/>
        <v>13.987500000000001</v>
      </c>
      <c r="D761" s="69">
        <f t="shared" si="68"/>
        <v>-1.0124999999999993</v>
      </c>
      <c r="E761" s="70">
        <f t="shared" si="69"/>
        <v>-16.012499999999999</v>
      </c>
      <c r="F761" s="71">
        <f t="shared" si="70"/>
        <v>-13.987500000000001</v>
      </c>
      <c r="G761" s="72">
        <f t="shared" si="71"/>
        <v>1.0124999999999993</v>
      </c>
      <c r="H761" s="73">
        <f t="shared" si="72"/>
        <v>16.012499999999999</v>
      </c>
    </row>
    <row r="762" spans="1:8" x14ac:dyDescent="0.25">
      <c r="A762" s="26">
        <v>22</v>
      </c>
      <c r="B762" s="25">
        <v>0.53500000000000003</v>
      </c>
      <c r="C762" s="68">
        <f t="shared" si="67"/>
        <v>13.95</v>
      </c>
      <c r="D762" s="69">
        <f t="shared" si="68"/>
        <v>-1.0500000000000007</v>
      </c>
      <c r="E762" s="70">
        <f t="shared" si="69"/>
        <v>-16.05</v>
      </c>
      <c r="F762" s="71">
        <f t="shared" si="70"/>
        <v>-13.95</v>
      </c>
      <c r="G762" s="72">
        <f t="shared" si="71"/>
        <v>1.0500000000000007</v>
      </c>
      <c r="H762" s="73">
        <f t="shared" si="72"/>
        <v>16.05</v>
      </c>
    </row>
    <row r="763" spans="1:8" x14ac:dyDescent="0.25">
      <c r="A763" s="26">
        <v>23</v>
      </c>
      <c r="B763" s="25">
        <v>0.53625</v>
      </c>
      <c r="C763" s="68">
        <f t="shared" si="67"/>
        <v>13.912500000000001</v>
      </c>
      <c r="D763" s="69">
        <f t="shared" si="68"/>
        <v>-1.0874999999999986</v>
      </c>
      <c r="E763" s="70">
        <f t="shared" si="69"/>
        <v>-16.087499999999999</v>
      </c>
      <c r="F763" s="71">
        <f t="shared" si="70"/>
        <v>-13.912500000000001</v>
      </c>
      <c r="G763" s="72">
        <f t="shared" si="71"/>
        <v>1.0874999999999986</v>
      </c>
      <c r="H763" s="73">
        <f t="shared" si="72"/>
        <v>16.087499999999999</v>
      </c>
    </row>
    <row r="764" spans="1:8" x14ac:dyDescent="0.25">
      <c r="A764" s="26">
        <v>24</v>
      </c>
      <c r="B764" s="25">
        <v>0.53749999999999998</v>
      </c>
      <c r="C764" s="68">
        <f t="shared" si="67"/>
        <v>13.875</v>
      </c>
      <c r="D764" s="69">
        <f t="shared" si="68"/>
        <v>-1.125</v>
      </c>
      <c r="E764" s="70">
        <f t="shared" si="69"/>
        <v>-16.125</v>
      </c>
      <c r="F764" s="71">
        <f t="shared" si="70"/>
        <v>-13.875</v>
      </c>
      <c r="G764" s="72">
        <f t="shared" si="71"/>
        <v>1.125</v>
      </c>
      <c r="H764" s="73">
        <f t="shared" si="72"/>
        <v>16.125</v>
      </c>
    </row>
    <row r="765" spans="1:8" x14ac:dyDescent="0.25">
      <c r="A765" s="26">
        <v>25</v>
      </c>
      <c r="B765" s="25">
        <v>0.53874999999999995</v>
      </c>
      <c r="C765" s="68">
        <f t="shared" si="67"/>
        <v>13.837500000000002</v>
      </c>
      <c r="D765" s="69">
        <f t="shared" si="68"/>
        <v>-1.1624999999999979</v>
      </c>
      <c r="E765" s="70">
        <f t="shared" si="69"/>
        <v>-16.162499999999998</v>
      </c>
      <c r="F765" s="71">
        <f t="shared" si="70"/>
        <v>-13.837500000000002</v>
      </c>
      <c r="G765" s="72">
        <f t="shared" si="71"/>
        <v>1.1624999999999979</v>
      </c>
      <c r="H765" s="73">
        <f t="shared" si="72"/>
        <v>16.162499999999998</v>
      </c>
    </row>
    <row r="766" spans="1:8" x14ac:dyDescent="0.25">
      <c r="A766" s="26">
        <v>26</v>
      </c>
      <c r="B766" s="25">
        <v>0.54</v>
      </c>
      <c r="C766" s="68">
        <f t="shared" si="67"/>
        <v>13.799999999999997</v>
      </c>
      <c r="D766" s="69">
        <f t="shared" si="68"/>
        <v>-1.2000000000000028</v>
      </c>
      <c r="E766" s="70">
        <f t="shared" si="69"/>
        <v>-16.200000000000003</v>
      </c>
      <c r="F766" s="71">
        <f t="shared" si="70"/>
        <v>-13.799999999999997</v>
      </c>
      <c r="G766" s="72">
        <f t="shared" si="71"/>
        <v>1.2000000000000028</v>
      </c>
      <c r="H766" s="73">
        <f t="shared" si="72"/>
        <v>16.200000000000003</v>
      </c>
    </row>
    <row r="767" spans="1:8" x14ac:dyDescent="0.25">
      <c r="A767" s="26">
        <v>27</v>
      </c>
      <c r="B767" s="25">
        <v>0.54142999999999997</v>
      </c>
      <c r="C767" s="68">
        <f t="shared" si="67"/>
        <v>13.757100000000001</v>
      </c>
      <c r="D767" s="69">
        <f t="shared" si="68"/>
        <v>-1.2428999999999988</v>
      </c>
      <c r="E767" s="70">
        <f t="shared" si="69"/>
        <v>-16.242899999999999</v>
      </c>
      <c r="F767" s="71">
        <f t="shared" si="70"/>
        <v>-13.757100000000001</v>
      </c>
      <c r="G767" s="72">
        <f t="shared" si="71"/>
        <v>1.2428999999999988</v>
      </c>
      <c r="H767" s="73">
        <f t="shared" si="72"/>
        <v>16.242899999999999</v>
      </c>
    </row>
    <row r="768" spans="1:8" x14ac:dyDescent="0.25">
      <c r="A768" s="26">
        <v>28</v>
      </c>
      <c r="B768" s="25">
        <v>0.54286000000000001</v>
      </c>
      <c r="C768" s="68">
        <f t="shared" si="67"/>
        <v>13.714199999999998</v>
      </c>
      <c r="D768" s="69">
        <f t="shared" si="68"/>
        <v>-1.2858000000000018</v>
      </c>
      <c r="E768" s="70">
        <f t="shared" si="69"/>
        <v>-16.285800000000002</v>
      </c>
      <c r="F768" s="71">
        <f t="shared" si="70"/>
        <v>-13.714199999999998</v>
      </c>
      <c r="G768" s="72">
        <f t="shared" si="71"/>
        <v>1.2858000000000018</v>
      </c>
      <c r="H768" s="73">
        <f t="shared" si="72"/>
        <v>16.285800000000002</v>
      </c>
    </row>
    <row r="769" spans="1:8" x14ac:dyDescent="0.25">
      <c r="A769" s="26">
        <v>29</v>
      </c>
      <c r="B769" s="25">
        <v>0.54429000000000005</v>
      </c>
      <c r="C769" s="68">
        <f t="shared" si="67"/>
        <v>13.671299999999999</v>
      </c>
      <c r="D769" s="69">
        <f t="shared" si="68"/>
        <v>-1.3287000000000013</v>
      </c>
      <c r="E769" s="70">
        <f t="shared" si="69"/>
        <v>-16.328700000000001</v>
      </c>
      <c r="F769" s="71">
        <f t="shared" si="70"/>
        <v>-13.671299999999999</v>
      </c>
      <c r="G769" s="72">
        <f t="shared" si="71"/>
        <v>1.3287000000000013</v>
      </c>
      <c r="H769" s="73">
        <f t="shared" si="72"/>
        <v>16.328700000000001</v>
      </c>
    </row>
    <row r="770" spans="1:8" x14ac:dyDescent="0.25">
      <c r="A770" s="26">
        <v>30</v>
      </c>
      <c r="B770" s="25">
        <v>0.54571000000000003</v>
      </c>
      <c r="C770" s="68">
        <f t="shared" si="67"/>
        <v>13.628699999999998</v>
      </c>
      <c r="D770" s="69">
        <f t="shared" si="68"/>
        <v>-1.3713000000000015</v>
      </c>
      <c r="E770" s="70">
        <f t="shared" si="69"/>
        <v>-16.371300000000002</v>
      </c>
      <c r="F770" s="71">
        <f t="shared" si="70"/>
        <v>-13.628699999999998</v>
      </c>
      <c r="G770" s="72">
        <f t="shared" si="71"/>
        <v>1.3713000000000015</v>
      </c>
      <c r="H770" s="73">
        <f t="shared" si="72"/>
        <v>16.371300000000002</v>
      </c>
    </row>
    <row r="771" spans="1:8" x14ac:dyDescent="0.25">
      <c r="A771" s="26">
        <v>31</v>
      </c>
      <c r="B771" s="25">
        <v>0.54713999999999996</v>
      </c>
      <c r="C771" s="68">
        <f t="shared" si="67"/>
        <v>13.585800000000003</v>
      </c>
      <c r="D771" s="69">
        <f t="shared" si="68"/>
        <v>-1.4141999999999975</v>
      </c>
      <c r="E771" s="70">
        <f t="shared" si="69"/>
        <v>-16.414199999999997</v>
      </c>
      <c r="F771" s="71">
        <f t="shared" si="70"/>
        <v>-13.585800000000003</v>
      </c>
      <c r="G771" s="72">
        <f t="shared" si="71"/>
        <v>1.4141999999999975</v>
      </c>
      <c r="H771" s="73">
        <f t="shared" si="72"/>
        <v>16.414199999999997</v>
      </c>
    </row>
    <row r="772" spans="1:8" x14ac:dyDescent="0.25">
      <c r="A772" s="26">
        <v>32</v>
      </c>
      <c r="B772" s="25">
        <v>0.54857</v>
      </c>
      <c r="C772" s="68">
        <f t="shared" si="67"/>
        <v>13.542899999999999</v>
      </c>
      <c r="D772" s="69">
        <f t="shared" si="68"/>
        <v>-1.4571000000000005</v>
      </c>
      <c r="E772" s="70">
        <f t="shared" si="69"/>
        <v>-16.457100000000001</v>
      </c>
      <c r="F772" s="71">
        <f t="shared" si="70"/>
        <v>-13.542899999999999</v>
      </c>
      <c r="G772" s="72">
        <f t="shared" si="71"/>
        <v>1.4571000000000005</v>
      </c>
      <c r="H772" s="73">
        <f t="shared" si="72"/>
        <v>16.457100000000001</v>
      </c>
    </row>
    <row r="773" spans="1:8" x14ac:dyDescent="0.25">
      <c r="A773" s="26">
        <v>33</v>
      </c>
      <c r="B773" s="25">
        <v>0.55000000000000004</v>
      </c>
      <c r="C773" s="68">
        <f t="shared" si="67"/>
        <v>13.5</v>
      </c>
      <c r="D773" s="69">
        <f t="shared" si="68"/>
        <v>-1.5</v>
      </c>
      <c r="E773" s="70">
        <f t="shared" si="69"/>
        <v>-16.5</v>
      </c>
      <c r="F773" s="71">
        <f t="shared" si="70"/>
        <v>-13.5</v>
      </c>
      <c r="G773" s="72">
        <f t="shared" si="71"/>
        <v>1.5</v>
      </c>
      <c r="H773" s="73">
        <f t="shared" si="72"/>
        <v>16.5</v>
      </c>
    </row>
    <row r="774" spans="1:8" x14ac:dyDescent="0.25">
      <c r="A774" s="26">
        <v>34</v>
      </c>
      <c r="B774" s="25">
        <v>0.55142999999999998</v>
      </c>
      <c r="C774" s="68">
        <f t="shared" si="67"/>
        <v>13.457100000000001</v>
      </c>
      <c r="D774" s="69">
        <f t="shared" si="68"/>
        <v>-1.5428999999999995</v>
      </c>
      <c r="E774" s="70">
        <f t="shared" si="69"/>
        <v>-16.542899999999999</v>
      </c>
      <c r="F774" s="71">
        <f t="shared" si="70"/>
        <v>-13.457100000000001</v>
      </c>
      <c r="G774" s="72">
        <f t="shared" si="71"/>
        <v>1.5428999999999995</v>
      </c>
      <c r="H774" s="73">
        <f t="shared" si="72"/>
        <v>16.542899999999999</v>
      </c>
    </row>
    <row r="775" spans="1:8" x14ac:dyDescent="0.25">
      <c r="A775" s="26">
        <v>35</v>
      </c>
      <c r="B775" s="25">
        <v>0.55286000000000002</v>
      </c>
      <c r="C775" s="68">
        <f t="shared" ref="C775:C838" si="73">KFactor-KFactor*B775</f>
        <v>13.414200000000001</v>
      </c>
      <c r="D775" s="69">
        <f t="shared" ref="D775:D838" si="74">KFactor/2-KFactor*B775</f>
        <v>-1.585799999999999</v>
      </c>
      <c r="E775" s="70">
        <f t="shared" ref="E775:E838" si="75">0-KFactor*B775</f>
        <v>-16.585799999999999</v>
      </c>
      <c r="F775" s="71">
        <f t="shared" ref="F775:F838" si="76">-C775</f>
        <v>-13.414200000000001</v>
      </c>
      <c r="G775" s="72">
        <f t="shared" ref="G775:G838" si="77">-D775</f>
        <v>1.585799999999999</v>
      </c>
      <c r="H775" s="73">
        <f t="shared" ref="H775:H838" si="78">-E775</f>
        <v>16.585799999999999</v>
      </c>
    </row>
    <row r="776" spans="1:8" x14ac:dyDescent="0.25">
      <c r="A776" s="26">
        <v>36</v>
      </c>
      <c r="B776" s="25">
        <v>0.55428999999999995</v>
      </c>
      <c r="C776" s="68">
        <f t="shared" si="73"/>
        <v>13.371300000000002</v>
      </c>
      <c r="D776" s="69">
        <f t="shared" si="74"/>
        <v>-1.6286999999999985</v>
      </c>
      <c r="E776" s="70">
        <f t="shared" si="75"/>
        <v>-16.628699999999998</v>
      </c>
      <c r="F776" s="71">
        <f t="shared" si="76"/>
        <v>-13.371300000000002</v>
      </c>
      <c r="G776" s="72">
        <f t="shared" si="77"/>
        <v>1.6286999999999985</v>
      </c>
      <c r="H776" s="73">
        <f t="shared" si="78"/>
        <v>16.628699999999998</v>
      </c>
    </row>
    <row r="777" spans="1:8" x14ac:dyDescent="0.25">
      <c r="A777" s="26">
        <v>37</v>
      </c>
      <c r="B777" s="25">
        <v>0.55571000000000004</v>
      </c>
      <c r="C777" s="68">
        <f t="shared" si="73"/>
        <v>13.328699999999998</v>
      </c>
      <c r="D777" s="69">
        <f t="shared" si="74"/>
        <v>-1.6713000000000022</v>
      </c>
      <c r="E777" s="70">
        <f t="shared" si="75"/>
        <v>-16.671300000000002</v>
      </c>
      <c r="F777" s="71">
        <f t="shared" si="76"/>
        <v>-13.328699999999998</v>
      </c>
      <c r="G777" s="72">
        <f t="shared" si="77"/>
        <v>1.6713000000000022</v>
      </c>
      <c r="H777" s="73">
        <f t="shared" si="78"/>
        <v>16.671300000000002</v>
      </c>
    </row>
    <row r="778" spans="1:8" x14ac:dyDescent="0.25">
      <c r="A778" s="26">
        <v>38</v>
      </c>
      <c r="B778" s="25">
        <v>0.55713999999999997</v>
      </c>
      <c r="C778" s="68">
        <f t="shared" si="73"/>
        <v>13.285800000000002</v>
      </c>
      <c r="D778" s="69">
        <f t="shared" si="74"/>
        <v>-1.7141999999999982</v>
      </c>
      <c r="E778" s="70">
        <f t="shared" si="75"/>
        <v>-16.714199999999998</v>
      </c>
      <c r="F778" s="71">
        <f t="shared" si="76"/>
        <v>-13.285800000000002</v>
      </c>
      <c r="G778" s="72">
        <f t="shared" si="77"/>
        <v>1.7141999999999982</v>
      </c>
      <c r="H778" s="73">
        <f t="shared" si="78"/>
        <v>16.714199999999998</v>
      </c>
    </row>
    <row r="779" spans="1:8" x14ac:dyDescent="0.25">
      <c r="A779" s="26">
        <v>39</v>
      </c>
      <c r="B779" s="25">
        <v>0.55857000000000001</v>
      </c>
      <c r="C779" s="68">
        <f t="shared" si="73"/>
        <v>13.242899999999999</v>
      </c>
      <c r="D779" s="69">
        <f t="shared" si="74"/>
        <v>-1.7571000000000012</v>
      </c>
      <c r="E779" s="70">
        <f t="shared" si="75"/>
        <v>-16.757100000000001</v>
      </c>
      <c r="F779" s="71">
        <f t="shared" si="76"/>
        <v>-13.242899999999999</v>
      </c>
      <c r="G779" s="72">
        <f t="shared" si="77"/>
        <v>1.7571000000000012</v>
      </c>
      <c r="H779" s="73">
        <f t="shared" si="78"/>
        <v>16.757100000000001</v>
      </c>
    </row>
    <row r="780" spans="1:8" x14ac:dyDescent="0.25">
      <c r="A780" s="26">
        <v>40</v>
      </c>
      <c r="B780" s="25">
        <v>0.56000000000000005</v>
      </c>
      <c r="C780" s="68">
        <f t="shared" si="73"/>
        <v>13.2</v>
      </c>
      <c r="D780" s="69">
        <f t="shared" si="74"/>
        <v>-1.8000000000000007</v>
      </c>
      <c r="E780" s="70">
        <f t="shared" si="75"/>
        <v>-16.8</v>
      </c>
      <c r="F780" s="71">
        <f t="shared" si="76"/>
        <v>-13.2</v>
      </c>
      <c r="G780" s="72">
        <f t="shared" si="77"/>
        <v>1.8000000000000007</v>
      </c>
      <c r="H780" s="73">
        <f t="shared" si="78"/>
        <v>16.8</v>
      </c>
    </row>
    <row r="781" spans="1:8" x14ac:dyDescent="0.25">
      <c r="A781" s="26">
        <v>41</v>
      </c>
      <c r="B781" s="25">
        <v>0.56142999999999998</v>
      </c>
      <c r="C781" s="68">
        <f t="shared" si="73"/>
        <v>13.1571</v>
      </c>
      <c r="D781" s="69">
        <f t="shared" si="74"/>
        <v>-1.8429000000000002</v>
      </c>
      <c r="E781" s="70">
        <f t="shared" si="75"/>
        <v>-16.8429</v>
      </c>
      <c r="F781" s="71">
        <f t="shared" si="76"/>
        <v>-13.1571</v>
      </c>
      <c r="G781" s="72">
        <f t="shared" si="77"/>
        <v>1.8429000000000002</v>
      </c>
      <c r="H781" s="73">
        <f t="shared" si="78"/>
        <v>16.8429</v>
      </c>
    </row>
    <row r="782" spans="1:8" x14ac:dyDescent="0.25">
      <c r="A782" s="26">
        <v>42</v>
      </c>
      <c r="B782" s="25">
        <v>0.56286000000000003</v>
      </c>
      <c r="C782" s="68">
        <f t="shared" si="73"/>
        <v>13.1142</v>
      </c>
      <c r="D782" s="69">
        <f t="shared" si="74"/>
        <v>-1.8857999999999997</v>
      </c>
      <c r="E782" s="70">
        <f t="shared" si="75"/>
        <v>-16.8858</v>
      </c>
      <c r="F782" s="71">
        <f t="shared" si="76"/>
        <v>-13.1142</v>
      </c>
      <c r="G782" s="72">
        <f t="shared" si="77"/>
        <v>1.8857999999999997</v>
      </c>
      <c r="H782" s="73">
        <f t="shared" si="78"/>
        <v>16.8858</v>
      </c>
    </row>
    <row r="783" spans="1:8" x14ac:dyDescent="0.25">
      <c r="A783" s="26">
        <v>43</v>
      </c>
      <c r="B783" s="25">
        <v>0.56428999999999996</v>
      </c>
      <c r="C783" s="68">
        <f t="shared" si="73"/>
        <v>13.071300000000001</v>
      </c>
      <c r="D783" s="69">
        <f t="shared" si="74"/>
        <v>-1.9286999999999992</v>
      </c>
      <c r="E783" s="70">
        <f t="shared" si="75"/>
        <v>-16.928699999999999</v>
      </c>
      <c r="F783" s="71">
        <f t="shared" si="76"/>
        <v>-13.071300000000001</v>
      </c>
      <c r="G783" s="72">
        <f t="shared" si="77"/>
        <v>1.9286999999999992</v>
      </c>
      <c r="H783" s="73">
        <f t="shared" si="78"/>
        <v>16.928699999999999</v>
      </c>
    </row>
    <row r="784" spans="1:8" x14ac:dyDescent="0.25">
      <c r="A784" s="26">
        <v>44</v>
      </c>
      <c r="B784" s="25">
        <v>0.56571000000000005</v>
      </c>
      <c r="C784" s="68">
        <f t="shared" si="73"/>
        <v>13.028699999999997</v>
      </c>
      <c r="D784" s="69">
        <f t="shared" si="74"/>
        <v>-1.9713000000000029</v>
      </c>
      <c r="E784" s="70">
        <f t="shared" si="75"/>
        <v>-16.971300000000003</v>
      </c>
      <c r="F784" s="71">
        <f t="shared" si="76"/>
        <v>-13.028699999999997</v>
      </c>
      <c r="G784" s="72">
        <f t="shared" si="77"/>
        <v>1.9713000000000029</v>
      </c>
      <c r="H784" s="73">
        <f t="shared" si="78"/>
        <v>16.971300000000003</v>
      </c>
    </row>
    <row r="785" spans="1:8" x14ac:dyDescent="0.25">
      <c r="A785" s="26">
        <v>45</v>
      </c>
      <c r="B785" s="25">
        <v>0.56713999999999998</v>
      </c>
      <c r="C785" s="68">
        <f t="shared" si="73"/>
        <v>12.985800000000001</v>
      </c>
      <c r="D785" s="69">
        <f t="shared" si="74"/>
        <v>-2.0141999999999989</v>
      </c>
      <c r="E785" s="70">
        <f t="shared" si="75"/>
        <v>-17.014199999999999</v>
      </c>
      <c r="F785" s="71">
        <f t="shared" si="76"/>
        <v>-12.985800000000001</v>
      </c>
      <c r="G785" s="72">
        <f t="shared" si="77"/>
        <v>2.0141999999999989</v>
      </c>
      <c r="H785" s="73">
        <f t="shared" si="78"/>
        <v>17.014199999999999</v>
      </c>
    </row>
    <row r="786" spans="1:8" x14ac:dyDescent="0.25">
      <c r="A786" s="26">
        <v>46</v>
      </c>
      <c r="B786" s="25">
        <v>0.56857000000000002</v>
      </c>
      <c r="C786" s="68">
        <f t="shared" si="73"/>
        <v>12.942899999999998</v>
      </c>
      <c r="D786" s="69">
        <f t="shared" si="74"/>
        <v>-2.0571000000000019</v>
      </c>
      <c r="E786" s="70">
        <f t="shared" si="75"/>
        <v>-17.057100000000002</v>
      </c>
      <c r="F786" s="71">
        <f t="shared" si="76"/>
        <v>-12.942899999999998</v>
      </c>
      <c r="G786" s="72">
        <f t="shared" si="77"/>
        <v>2.0571000000000019</v>
      </c>
      <c r="H786" s="73">
        <f t="shared" si="78"/>
        <v>17.057100000000002</v>
      </c>
    </row>
    <row r="787" spans="1:8" x14ac:dyDescent="0.25">
      <c r="A787" s="26">
        <v>47</v>
      </c>
      <c r="B787" s="25">
        <v>0.56999999999999995</v>
      </c>
      <c r="C787" s="68">
        <f t="shared" si="73"/>
        <v>12.900000000000002</v>
      </c>
      <c r="D787" s="69">
        <f t="shared" si="74"/>
        <v>-2.0999999999999979</v>
      </c>
      <c r="E787" s="70">
        <f t="shared" si="75"/>
        <v>-17.099999999999998</v>
      </c>
      <c r="F787" s="71">
        <f t="shared" si="76"/>
        <v>-12.900000000000002</v>
      </c>
      <c r="G787" s="72">
        <f t="shared" si="77"/>
        <v>2.0999999999999979</v>
      </c>
      <c r="H787" s="73">
        <f t="shared" si="78"/>
        <v>17.099999999999998</v>
      </c>
    </row>
    <row r="788" spans="1:8" x14ac:dyDescent="0.25">
      <c r="A788" s="26">
        <v>48</v>
      </c>
      <c r="B788" s="25">
        <v>0.57142999999999999</v>
      </c>
      <c r="C788" s="68">
        <f t="shared" si="73"/>
        <v>12.857099999999999</v>
      </c>
      <c r="D788" s="69">
        <f t="shared" si="74"/>
        <v>-2.1429000000000009</v>
      </c>
      <c r="E788" s="70">
        <f t="shared" si="75"/>
        <v>-17.142900000000001</v>
      </c>
      <c r="F788" s="71">
        <f t="shared" si="76"/>
        <v>-12.857099999999999</v>
      </c>
      <c r="G788" s="72">
        <f t="shared" si="77"/>
        <v>2.1429000000000009</v>
      </c>
      <c r="H788" s="73">
        <f t="shared" si="78"/>
        <v>17.142900000000001</v>
      </c>
    </row>
    <row r="789" spans="1:8" x14ac:dyDescent="0.25">
      <c r="A789" s="26">
        <v>49</v>
      </c>
      <c r="B789" s="25">
        <v>0.57286000000000004</v>
      </c>
      <c r="C789" s="68">
        <f t="shared" si="73"/>
        <v>12.8142</v>
      </c>
      <c r="D789" s="69">
        <f t="shared" si="74"/>
        <v>-2.1858000000000004</v>
      </c>
      <c r="E789" s="70">
        <f t="shared" si="75"/>
        <v>-17.1858</v>
      </c>
      <c r="F789" s="71">
        <f t="shared" si="76"/>
        <v>-12.8142</v>
      </c>
      <c r="G789" s="72">
        <f t="shared" si="77"/>
        <v>2.1858000000000004</v>
      </c>
      <c r="H789" s="73">
        <f t="shared" si="78"/>
        <v>17.1858</v>
      </c>
    </row>
    <row r="790" spans="1:8" x14ac:dyDescent="0.25">
      <c r="A790" s="26">
        <v>50</v>
      </c>
      <c r="B790" s="25">
        <v>0.57428999999999997</v>
      </c>
      <c r="C790" s="68">
        <f t="shared" si="73"/>
        <v>12.7713</v>
      </c>
      <c r="D790" s="69">
        <f t="shared" si="74"/>
        <v>-2.2286999999999999</v>
      </c>
      <c r="E790" s="70">
        <f t="shared" si="75"/>
        <v>-17.2287</v>
      </c>
      <c r="F790" s="71">
        <f t="shared" si="76"/>
        <v>-12.7713</v>
      </c>
      <c r="G790" s="72">
        <f t="shared" si="77"/>
        <v>2.2286999999999999</v>
      </c>
      <c r="H790" s="73">
        <f t="shared" si="78"/>
        <v>17.2287</v>
      </c>
    </row>
    <row r="791" spans="1:8" x14ac:dyDescent="0.25">
      <c r="A791" s="26">
        <v>51</v>
      </c>
      <c r="B791" s="25">
        <v>0.57571000000000006</v>
      </c>
      <c r="C791" s="68">
        <f t="shared" si="73"/>
        <v>12.7287</v>
      </c>
      <c r="D791" s="69">
        <f t="shared" si="74"/>
        <v>-2.2713000000000001</v>
      </c>
      <c r="E791" s="70">
        <f t="shared" si="75"/>
        <v>-17.2713</v>
      </c>
      <c r="F791" s="71">
        <f t="shared" si="76"/>
        <v>-12.7287</v>
      </c>
      <c r="G791" s="72">
        <f t="shared" si="77"/>
        <v>2.2713000000000001</v>
      </c>
      <c r="H791" s="73">
        <f t="shared" si="78"/>
        <v>17.2713</v>
      </c>
    </row>
    <row r="792" spans="1:8" x14ac:dyDescent="0.25">
      <c r="A792" s="26">
        <v>52</v>
      </c>
      <c r="B792" s="25">
        <v>0.57713999999999999</v>
      </c>
      <c r="C792" s="68">
        <f t="shared" si="73"/>
        <v>12.6858</v>
      </c>
      <c r="D792" s="69">
        <f t="shared" si="74"/>
        <v>-2.3141999999999996</v>
      </c>
      <c r="E792" s="70">
        <f t="shared" si="75"/>
        <v>-17.3142</v>
      </c>
      <c r="F792" s="71">
        <f t="shared" si="76"/>
        <v>-12.6858</v>
      </c>
      <c r="G792" s="72">
        <f t="shared" si="77"/>
        <v>2.3141999999999996</v>
      </c>
      <c r="H792" s="73">
        <f t="shared" si="78"/>
        <v>17.3142</v>
      </c>
    </row>
    <row r="793" spans="1:8" x14ac:dyDescent="0.25">
      <c r="A793" s="26">
        <v>53</v>
      </c>
      <c r="B793" s="25">
        <v>0.57857000000000003</v>
      </c>
      <c r="C793" s="68">
        <f t="shared" si="73"/>
        <v>12.642899999999997</v>
      </c>
      <c r="D793" s="69">
        <f t="shared" si="74"/>
        <v>-2.3571000000000026</v>
      </c>
      <c r="E793" s="70">
        <f t="shared" si="75"/>
        <v>-17.357100000000003</v>
      </c>
      <c r="F793" s="71">
        <f t="shared" si="76"/>
        <v>-12.642899999999997</v>
      </c>
      <c r="G793" s="72">
        <f t="shared" si="77"/>
        <v>2.3571000000000026</v>
      </c>
      <c r="H793" s="73">
        <f t="shared" si="78"/>
        <v>17.357100000000003</v>
      </c>
    </row>
    <row r="794" spans="1:8" x14ac:dyDescent="0.25">
      <c r="A794" s="26">
        <v>54</v>
      </c>
      <c r="B794" s="25">
        <v>0.57999999999999996</v>
      </c>
      <c r="C794" s="68">
        <f t="shared" si="73"/>
        <v>12.600000000000001</v>
      </c>
      <c r="D794" s="69">
        <f t="shared" si="74"/>
        <v>-2.3999999999999986</v>
      </c>
      <c r="E794" s="70">
        <f t="shared" si="75"/>
        <v>-17.399999999999999</v>
      </c>
      <c r="F794" s="71">
        <f t="shared" si="76"/>
        <v>-12.600000000000001</v>
      </c>
      <c r="G794" s="72">
        <f t="shared" si="77"/>
        <v>2.3999999999999986</v>
      </c>
      <c r="H794" s="73">
        <f t="shared" si="78"/>
        <v>17.399999999999999</v>
      </c>
    </row>
    <row r="795" spans="1:8" x14ac:dyDescent="0.25">
      <c r="A795" s="26">
        <v>55</v>
      </c>
      <c r="B795" s="25">
        <v>0.58125000000000004</v>
      </c>
      <c r="C795" s="68">
        <f t="shared" si="73"/>
        <v>12.5625</v>
      </c>
      <c r="D795" s="69">
        <f t="shared" si="74"/>
        <v>-2.4375</v>
      </c>
      <c r="E795" s="70">
        <f t="shared" si="75"/>
        <v>-17.4375</v>
      </c>
      <c r="F795" s="71">
        <f t="shared" si="76"/>
        <v>-12.5625</v>
      </c>
      <c r="G795" s="72">
        <f t="shared" si="77"/>
        <v>2.4375</v>
      </c>
      <c r="H795" s="73">
        <f t="shared" si="78"/>
        <v>17.4375</v>
      </c>
    </row>
    <row r="796" spans="1:8" x14ac:dyDescent="0.25">
      <c r="A796" s="26">
        <v>56</v>
      </c>
      <c r="B796" s="25">
        <v>0.58250000000000002</v>
      </c>
      <c r="C796" s="68">
        <f t="shared" si="73"/>
        <v>12.524999999999999</v>
      </c>
      <c r="D796" s="69">
        <f t="shared" si="74"/>
        <v>-2.4750000000000014</v>
      </c>
      <c r="E796" s="70">
        <f t="shared" si="75"/>
        <v>-17.475000000000001</v>
      </c>
      <c r="F796" s="71">
        <f t="shared" si="76"/>
        <v>-12.524999999999999</v>
      </c>
      <c r="G796" s="72">
        <f t="shared" si="77"/>
        <v>2.4750000000000014</v>
      </c>
      <c r="H796" s="73">
        <f t="shared" si="78"/>
        <v>17.475000000000001</v>
      </c>
    </row>
    <row r="797" spans="1:8" x14ac:dyDescent="0.25">
      <c r="A797" s="26">
        <v>57</v>
      </c>
      <c r="B797" s="25">
        <v>0.58374999999999999</v>
      </c>
      <c r="C797" s="68">
        <f t="shared" si="73"/>
        <v>12.487500000000001</v>
      </c>
      <c r="D797" s="69">
        <f t="shared" si="74"/>
        <v>-2.5124999999999993</v>
      </c>
      <c r="E797" s="70">
        <f t="shared" si="75"/>
        <v>-17.512499999999999</v>
      </c>
      <c r="F797" s="71">
        <f t="shared" si="76"/>
        <v>-12.487500000000001</v>
      </c>
      <c r="G797" s="72">
        <f t="shared" si="77"/>
        <v>2.5124999999999993</v>
      </c>
      <c r="H797" s="73">
        <f t="shared" si="78"/>
        <v>17.512499999999999</v>
      </c>
    </row>
    <row r="798" spans="1:8" x14ac:dyDescent="0.25">
      <c r="A798" s="26">
        <v>58</v>
      </c>
      <c r="B798" s="25">
        <v>0.58499999999999996</v>
      </c>
      <c r="C798" s="68">
        <f t="shared" si="73"/>
        <v>12.450000000000003</v>
      </c>
      <c r="D798" s="69">
        <f t="shared" si="74"/>
        <v>-2.5499999999999972</v>
      </c>
      <c r="E798" s="70">
        <f t="shared" si="75"/>
        <v>-17.549999999999997</v>
      </c>
      <c r="F798" s="71">
        <f t="shared" si="76"/>
        <v>-12.450000000000003</v>
      </c>
      <c r="G798" s="72">
        <f t="shared" si="77"/>
        <v>2.5499999999999972</v>
      </c>
      <c r="H798" s="73">
        <f t="shared" si="78"/>
        <v>17.549999999999997</v>
      </c>
    </row>
    <row r="799" spans="1:8" x14ac:dyDescent="0.25">
      <c r="A799" s="26">
        <v>59</v>
      </c>
      <c r="B799" s="25">
        <v>0.58625000000000005</v>
      </c>
      <c r="C799" s="68">
        <f t="shared" si="73"/>
        <v>12.412499999999998</v>
      </c>
      <c r="D799" s="69">
        <f t="shared" si="74"/>
        <v>-2.5875000000000021</v>
      </c>
      <c r="E799" s="70">
        <f t="shared" si="75"/>
        <v>-17.587500000000002</v>
      </c>
      <c r="F799" s="71">
        <f t="shared" si="76"/>
        <v>-12.412499999999998</v>
      </c>
      <c r="G799" s="72">
        <f t="shared" si="77"/>
        <v>2.5875000000000021</v>
      </c>
      <c r="H799" s="73">
        <f t="shared" si="78"/>
        <v>17.587500000000002</v>
      </c>
    </row>
    <row r="800" spans="1:8" x14ac:dyDescent="0.25">
      <c r="A800" s="26">
        <v>60</v>
      </c>
      <c r="B800" s="25">
        <v>0.58750000000000002</v>
      </c>
      <c r="C800" s="68">
        <f t="shared" si="73"/>
        <v>12.375</v>
      </c>
      <c r="D800" s="69">
        <f t="shared" si="74"/>
        <v>-2.625</v>
      </c>
      <c r="E800" s="70">
        <f t="shared" si="75"/>
        <v>-17.625</v>
      </c>
      <c r="F800" s="71">
        <f t="shared" si="76"/>
        <v>-12.375</v>
      </c>
      <c r="G800" s="72">
        <f t="shared" si="77"/>
        <v>2.625</v>
      </c>
      <c r="H800" s="73">
        <f t="shared" si="78"/>
        <v>17.625</v>
      </c>
    </row>
    <row r="801" spans="1:8" x14ac:dyDescent="0.25">
      <c r="A801" s="26">
        <v>61</v>
      </c>
      <c r="B801" s="25">
        <v>0.58875</v>
      </c>
      <c r="C801" s="68">
        <f t="shared" si="73"/>
        <v>12.337499999999999</v>
      </c>
      <c r="D801" s="69">
        <f t="shared" si="74"/>
        <v>-2.6625000000000014</v>
      </c>
      <c r="E801" s="70">
        <f t="shared" si="75"/>
        <v>-17.662500000000001</v>
      </c>
      <c r="F801" s="71">
        <f t="shared" si="76"/>
        <v>-12.337499999999999</v>
      </c>
      <c r="G801" s="72">
        <f t="shared" si="77"/>
        <v>2.6625000000000014</v>
      </c>
      <c r="H801" s="73">
        <f t="shared" si="78"/>
        <v>17.662500000000001</v>
      </c>
    </row>
    <row r="802" spans="1:8" x14ac:dyDescent="0.25">
      <c r="A802" s="26">
        <v>62</v>
      </c>
      <c r="B802" s="25">
        <v>0.59</v>
      </c>
      <c r="C802" s="68">
        <f t="shared" si="73"/>
        <v>12.3</v>
      </c>
      <c r="D802" s="69">
        <f t="shared" si="74"/>
        <v>-2.6999999999999993</v>
      </c>
      <c r="E802" s="70">
        <f t="shared" si="75"/>
        <v>-17.7</v>
      </c>
      <c r="F802" s="71">
        <f t="shared" si="76"/>
        <v>-12.3</v>
      </c>
      <c r="G802" s="72">
        <f t="shared" si="77"/>
        <v>2.6999999999999993</v>
      </c>
      <c r="H802" s="73">
        <f t="shared" si="78"/>
        <v>17.7</v>
      </c>
    </row>
    <row r="803" spans="1:8" x14ac:dyDescent="0.25">
      <c r="A803" s="26">
        <v>63</v>
      </c>
      <c r="B803" s="25">
        <v>0.59143000000000001</v>
      </c>
      <c r="C803" s="68">
        <f t="shared" si="73"/>
        <v>12.257100000000001</v>
      </c>
      <c r="D803" s="69">
        <f t="shared" si="74"/>
        <v>-2.7428999999999988</v>
      </c>
      <c r="E803" s="70">
        <f t="shared" si="75"/>
        <v>-17.742899999999999</v>
      </c>
      <c r="F803" s="71">
        <f t="shared" si="76"/>
        <v>-12.257100000000001</v>
      </c>
      <c r="G803" s="72">
        <f t="shared" si="77"/>
        <v>2.7428999999999988</v>
      </c>
      <c r="H803" s="73">
        <f t="shared" si="78"/>
        <v>17.742899999999999</v>
      </c>
    </row>
    <row r="804" spans="1:8" x14ac:dyDescent="0.25">
      <c r="A804" s="26">
        <v>64</v>
      </c>
      <c r="B804" s="25">
        <v>0.59286000000000005</v>
      </c>
      <c r="C804" s="68">
        <f t="shared" si="73"/>
        <v>12.214199999999998</v>
      </c>
      <c r="D804" s="69">
        <f t="shared" si="74"/>
        <v>-2.7858000000000018</v>
      </c>
      <c r="E804" s="70">
        <f t="shared" si="75"/>
        <v>-17.785800000000002</v>
      </c>
      <c r="F804" s="71">
        <f t="shared" si="76"/>
        <v>-12.214199999999998</v>
      </c>
      <c r="G804" s="72">
        <f t="shared" si="77"/>
        <v>2.7858000000000018</v>
      </c>
      <c r="H804" s="73">
        <f t="shared" si="78"/>
        <v>17.785800000000002</v>
      </c>
    </row>
    <row r="805" spans="1:8" x14ac:dyDescent="0.25">
      <c r="A805" s="26">
        <v>65</v>
      </c>
      <c r="B805" s="25">
        <v>0.59428999999999998</v>
      </c>
      <c r="C805" s="68">
        <f t="shared" si="73"/>
        <v>12.171300000000002</v>
      </c>
      <c r="D805" s="69">
        <f t="shared" si="74"/>
        <v>-2.8286999999999978</v>
      </c>
      <c r="E805" s="70">
        <f t="shared" si="75"/>
        <v>-17.828699999999998</v>
      </c>
      <c r="F805" s="71">
        <f t="shared" si="76"/>
        <v>-12.171300000000002</v>
      </c>
      <c r="G805" s="72">
        <f t="shared" si="77"/>
        <v>2.8286999999999978</v>
      </c>
      <c r="H805" s="73">
        <f t="shared" si="78"/>
        <v>17.828699999999998</v>
      </c>
    </row>
    <row r="806" spans="1:8" x14ac:dyDescent="0.25">
      <c r="A806" s="26">
        <v>66</v>
      </c>
      <c r="B806" s="25">
        <v>0.59570999999999996</v>
      </c>
      <c r="C806" s="68">
        <f t="shared" si="73"/>
        <v>12.128700000000002</v>
      </c>
      <c r="D806" s="69">
        <f t="shared" si="74"/>
        <v>-2.871299999999998</v>
      </c>
      <c r="E806" s="70">
        <f t="shared" si="75"/>
        <v>-17.871299999999998</v>
      </c>
      <c r="F806" s="71">
        <f t="shared" si="76"/>
        <v>-12.128700000000002</v>
      </c>
      <c r="G806" s="72">
        <f t="shared" si="77"/>
        <v>2.871299999999998</v>
      </c>
      <c r="H806" s="73">
        <f t="shared" si="78"/>
        <v>17.871299999999998</v>
      </c>
    </row>
    <row r="807" spans="1:8" x14ac:dyDescent="0.25">
      <c r="A807" s="26">
        <v>67</v>
      </c>
      <c r="B807" s="25">
        <v>0.59714</v>
      </c>
      <c r="C807" s="68">
        <f t="shared" si="73"/>
        <v>12.085799999999999</v>
      </c>
      <c r="D807" s="69">
        <f t="shared" si="74"/>
        <v>-2.914200000000001</v>
      </c>
      <c r="E807" s="70">
        <f t="shared" si="75"/>
        <v>-17.914200000000001</v>
      </c>
      <c r="F807" s="71">
        <f t="shared" si="76"/>
        <v>-12.085799999999999</v>
      </c>
      <c r="G807" s="72">
        <f t="shared" si="77"/>
        <v>2.914200000000001</v>
      </c>
      <c r="H807" s="73">
        <f t="shared" si="78"/>
        <v>17.914200000000001</v>
      </c>
    </row>
    <row r="808" spans="1:8" x14ac:dyDescent="0.25">
      <c r="A808" s="26">
        <v>68</v>
      </c>
      <c r="B808" s="25">
        <v>0.59857000000000005</v>
      </c>
      <c r="C808" s="68">
        <f t="shared" si="73"/>
        <v>12.042899999999999</v>
      </c>
      <c r="D808" s="69">
        <f t="shared" si="74"/>
        <v>-2.9571000000000005</v>
      </c>
      <c r="E808" s="70">
        <f t="shared" si="75"/>
        <v>-17.957100000000001</v>
      </c>
      <c r="F808" s="71">
        <f t="shared" si="76"/>
        <v>-12.042899999999999</v>
      </c>
      <c r="G808" s="72">
        <f t="shared" si="77"/>
        <v>2.9571000000000005</v>
      </c>
      <c r="H808" s="73">
        <f t="shared" si="78"/>
        <v>17.957100000000001</v>
      </c>
    </row>
    <row r="809" spans="1:8" x14ac:dyDescent="0.25">
      <c r="A809" s="26">
        <v>69</v>
      </c>
      <c r="B809" s="25">
        <v>0.6</v>
      </c>
      <c r="C809" s="68">
        <f t="shared" si="73"/>
        <v>12</v>
      </c>
      <c r="D809" s="69">
        <f t="shared" si="74"/>
        <v>-3</v>
      </c>
      <c r="E809" s="70">
        <f t="shared" si="75"/>
        <v>-18</v>
      </c>
      <c r="F809" s="71">
        <f t="shared" si="76"/>
        <v>-12</v>
      </c>
      <c r="G809" s="72">
        <f t="shared" si="77"/>
        <v>3</v>
      </c>
      <c r="H809" s="73">
        <f t="shared" si="78"/>
        <v>18</v>
      </c>
    </row>
    <row r="810" spans="1:8" x14ac:dyDescent="0.25">
      <c r="A810" s="26">
        <v>70</v>
      </c>
      <c r="B810" s="25">
        <v>0.60124999999999995</v>
      </c>
      <c r="C810" s="68">
        <f t="shared" si="73"/>
        <v>11.962500000000002</v>
      </c>
      <c r="D810" s="69">
        <f t="shared" si="74"/>
        <v>-3.0374999999999979</v>
      </c>
      <c r="E810" s="70">
        <f t="shared" si="75"/>
        <v>-18.037499999999998</v>
      </c>
      <c r="F810" s="71">
        <f t="shared" si="76"/>
        <v>-11.962500000000002</v>
      </c>
      <c r="G810" s="72">
        <f t="shared" si="77"/>
        <v>3.0374999999999979</v>
      </c>
      <c r="H810" s="73">
        <f t="shared" si="78"/>
        <v>18.037499999999998</v>
      </c>
    </row>
    <row r="811" spans="1:8" x14ac:dyDescent="0.25">
      <c r="A811" s="26">
        <v>71</v>
      </c>
      <c r="B811" s="25">
        <v>0.60250000000000004</v>
      </c>
      <c r="C811" s="68">
        <f t="shared" si="73"/>
        <v>11.924999999999997</v>
      </c>
      <c r="D811" s="69">
        <f t="shared" si="74"/>
        <v>-3.0750000000000028</v>
      </c>
      <c r="E811" s="70">
        <f t="shared" si="75"/>
        <v>-18.075000000000003</v>
      </c>
      <c r="F811" s="71">
        <f t="shared" si="76"/>
        <v>-11.924999999999997</v>
      </c>
      <c r="G811" s="72">
        <f t="shared" si="77"/>
        <v>3.0750000000000028</v>
      </c>
      <c r="H811" s="73">
        <f t="shared" si="78"/>
        <v>18.075000000000003</v>
      </c>
    </row>
    <row r="812" spans="1:8" x14ac:dyDescent="0.25">
      <c r="A812" s="26">
        <v>72</v>
      </c>
      <c r="B812" s="25">
        <v>0.60375000000000001</v>
      </c>
      <c r="C812" s="68">
        <f t="shared" si="73"/>
        <v>11.887499999999999</v>
      </c>
      <c r="D812" s="69">
        <f t="shared" si="74"/>
        <v>-3.1125000000000007</v>
      </c>
      <c r="E812" s="70">
        <f t="shared" si="75"/>
        <v>-18.112500000000001</v>
      </c>
      <c r="F812" s="71">
        <f t="shared" si="76"/>
        <v>-11.887499999999999</v>
      </c>
      <c r="G812" s="72">
        <f t="shared" si="77"/>
        <v>3.1125000000000007</v>
      </c>
      <c r="H812" s="73">
        <f t="shared" si="78"/>
        <v>18.112500000000001</v>
      </c>
    </row>
    <row r="813" spans="1:8" x14ac:dyDescent="0.25">
      <c r="A813" s="26">
        <v>73</v>
      </c>
      <c r="B813" s="25">
        <v>0.60499999999999998</v>
      </c>
      <c r="C813" s="68">
        <f t="shared" si="73"/>
        <v>11.850000000000001</v>
      </c>
      <c r="D813" s="69">
        <f t="shared" si="74"/>
        <v>-3.1499999999999986</v>
      </c>
      <c r="E813" s="70">
        <f t="shared" si="75"/>
        <v>-18.149999999999999</v>
      </c>
      <c r="F813" s="71">
        <f t="shared" si="76"/>
        <v>-11.850000000000001</v>
      </c>
      <c r="G813" s="72">
        <f t="shared" si="77"/>
        <v>3.1499999999999986</v>
      </c>
      <c r="H813" s="73">
        <f t="shared" si="78"/>
        <v>18.149999999999999</v>
      </c>
    </row>
    <row r="814" spans="1:8" x14ac:dyDescent="0.25">
      <c r="A814" s="26">
        <v>74</v>
      </c>
      <c r="B814" s="25">
        <v>0.60624999999999996</v>
      </c>
      <c r="C814" s="68">
        <f t="shared" si="73"/>
        <v>11.8125</v>
      </c>
      <c r="D814" s="69">
        <f t="shared" si="74"/>
        <v>-3.1875</v>
      </c>
      <c r="E814" s="70">
        <f t="shared" si="75"/>
        <v>-18.1875</v>
      </c>
      <c r="F814" s="71">
        <f t="shared" si="76"/>
        <v>-11.8125</v>
      </c>
      <c r="G814" s="72">
        <f t="shared" si="77"/>
        <v>3.1875</v>
      </c>
      <c r="H814" s="73">
        <f t="shared" si="78"/>
        <v>18.1875</v>
      </c>
    </row>
    <row r="815" spans="1:8" x14ac:dyDescent="0.25">
      <c r="A815" s="26">
        <v>75</v>
      </c>
      <c r="B815" s="25">
        <v>0.60750000000000004</v>
      </c>
      <c r="C815" s="68">
        <f t="shared" si="73"/>
        <v>11.774999999999999</v>
      </c>
      <c r="D815" s="69">
        <f t="shared" si="74"/>
        <v>-3.2250000000000014</v>
      </c>
      <c r="E815" s="70">
        <f t="shared" si="75"/>
        <v>-18.225000000000001</v>
      </c>
      <c r="F815" s="71">
        <f t="shared" si="76"/>
        <v>-11.774999999999999</v>
      </c>
      <c r="G815" s="72">
        <f t="shared" si="77"/>
        <v>3.2250000000000014</v>
      </c>
      <c r="H815" s="73">
        <f t="shared" si="78"/>
        <v>18.225000000000001</v>
      </c>
    </row>
    <row r="816" spans="1:8" x14ac:dyDescent="0.25">
      <c r="A816" s="26">
        <v>76</v>
      </c>
      <c r="B816" s="25">
        <v>0.60875000000000001</v>
      </c>
      <c r="C816" s="68">
        <f t="shared" si="73"/>
        <v>11.737500000000001</v>
      </c>
      <c r="D816" s="69">
        <f t="shared" si="74"/>
        <v>-3.2624999999999993</v>
      </c>
      <c r="E816" s="70">
        <f t="shared" si="75"/>
        <v>-18.262499999999999</v>
      </c>
      <c r="F816" s="71">
        <f t="shared" si="76"/>
        <v>-11.737500000000001</v>
      </c>
      <c r="G816" s="72">
        <f t="shared" si="77"/>
        <v>3.2624999999999993</v>
      </c>
      <c r="H816" s="73">
        <f t="shared" si="78"/>
        <v>18.262499999999999</v>
      </c>
    </row>
    <row r="817" spans="1:8" x14ac:dyDescent="0.25">
      <c r="A817" s="26">
        <v>77</v>
      </c>
      <c r="B817" s="25">
        <v>0.61</v>
      </c>
      <c r="C817" s="68">
        <f t="shared" si="73"/>
        <v>11.7</v>
      </c>
      <c r="D817" s="69">
        <f t="shared" si="74"/>
        <v>-3.3000000000000007</v>
      </c>
      <c r="E817" s="70">
        <f t="shared" si="75"/>
        <v>-18.3</v>
      </c>
      <c r="F817" s="71">
        <f t="shared" si="76"/>
        <v>-11.7</v>
      </c>
      <c r="G817" s="72">
        <f t="shared" si="77"/>
        <v>3.3000000000000007</v>
      </c>
      <c r="H817" s="73">
        <f t="shared" si="78"/>
        <v>18.3</v>
      </c>
    </row>
    <row r="818" spans="1:8" x14ac:dyDescent="0.25">
      <c r="A818" s="26">
        <v>78</v>
      </c>
      <c r="B818" s="25">
        <v>0.61143000000000003</v>
      </c>
      <c r="C818" s="68">
        <f t="shared" si="73"/>
        <v>11.6571</v>
      </c>
      <c r="D818" s="69">
        <f t="shared" si="74"/>
        <v>-3.3429000000000002</v>
      </c>
      <c r="E818" s="70">
        <f t="shared" si="75"/>
        <v>-18.3429</v>
      </c>
      <c r="F818" s="71">
        <f t="shared" si="76"/>
        <v>-11.6571</v>
      </c>
      <c r="G818" s="72">
        <f t="shared" si="77"/>
        <v>3.3429000000000002</v>
      </c>
      <c r="H818" s="73">
        <f t="shared" si="78"/>
        <v>18.3429</v>
      </c>
    </row>
    <row r="819" spans="1:8" x14ac:dyDescent="0.25">
      <c r="A819" s="26">
        <v>79</v>
      </c>
      <c r="B819" s="25">
        <v>0.61285999999999996</v>
      </c>
      <c r="C819" s="68">
        <f t="shared" si="73"/>
        <v>11.6142</v>
      </c>
      <c r="D819" s="69">
        <f t="shared" si="74"/>
        <v>-3.3857999999999997</v>
      </c>
      <c r="E819" s="70">
        <f t="shared" si="75"/>
        <v>-18.3858</v>
      </c>
      <c r="F819" s="71">
        <f t="shared" si="76"/>
        <v>-11.6142</v>
      </c>
      <c r="G819" s="72">
        <f t="shared" si="77"/>
        <v>3.3857999999999997</v>
      </c>
      <c r="H819" s="73">
        <f t="shared" si="78"/>
        <v>18.3858</v>
      </c>
    </row>
    <row r="820" spans="1:8" x14ac:dyDescent="0.25">
      <c r="A820" s="26">
        <v>80</v>
      </c>
      <c r="B820" s="25">
        <v>0.61429</v>
      </c>
      <c r="C820" s="68">
        <f t="shared" si="73"/>
        <v>11.571300000000001</v>
      </c>
      <c r="D820" s="69">
        <f t="shared" si="74"/>
        <v>-3.4286999999999992</v>
      </c>
      <c r="E820" s="70">
        <f t="shared" si="75"/>
        <v>-18.428699999999999</v>
      </c>
      <c r="F820" s="71">
        <f t="shared" si="76"/>
        <v>-11.571300000000001</v>
      </c>
      <c r="G820" s="72">
        <f t="shared" si="77"/>
        <v>3.4286999999999992</v>
      </c>
      <c r="H820" s="73">
        <f t="shared" si="78"/>
        <v>18.428699999999999</v>
      </c>
    </row>
    <row r="821" spans="1:8" x14ac:dyDescent="0.25">
      <c r="A821" s="26">
        <v>81</v>
      </c>
      <c r="B821" s="25">
        <v>0.61570999999999998</v>
      </c>
      <c r="C821" s="68">
        <f t="shared" si="73"/>
        <v>11.528700000000001</v>
      </c>
      <c r="D821" s="69">
        <f t="shared" si="74"/>
        <v>-3.4712999999999994</v>
      </c>
      <c r="E821" s="70">
        <f t="shared" si="75"/>
        <v>-18.471299999999999</v>
      </c>
      <c r="F821" s="71">
        <f t="shared" si="76"/>
        <v>-11.528700000000001</v>
      </c>
      <c r="G821" s="72">
        <f t="shared" si="77"/>
        <v>3.4712999999999994</v>
      </c>
      <c r="H821" s="73">
        <f t="shared" si="78"/>
        <v>18.471299999999999</v>
      </c>
    </row>
    <row r="822" spans="1:8" x14ac:dyDescent="0.25">
      <c r="A822" s="26">
        <v>82</v>
      </c>
      <c r="B822" s="25">
        <v>0.61714000000000002</v>
      </c>
      <c r="C822" s="68">
        <f t="shared" si="73"/>
        <v>11.485799999999998</v>
      </c>
      <c r="D822" s="69">
        <f t="shared" si="74"/>
        <v>-3.5142000000000024</v>
      </c>
      <c r="E822" s="70">
        <f t="shared" si="75"/>
        <v>-18.514200000000002</v>
      </c>
      <c r="F822" s="71">
        <f t="shared" si="76"/>
        <v>-11.485799999999998</v>
      </c>
      <c r="G822" s="72">
        <f t="shared" si="77"/>
        <v>3.5142000000000024</v>
      </c>
      <c r="H822" s="73">
        <f t="shared" si="78"/>
        <v>18.514200000000002</v>
      </c>
    </row>
    <row r="823" spans="1:8" x14ac:dyDescent="0.25">
      <c r="A823" s="26">
        <v>83</v>
      </c>
      <c r="B823" s="25">
        <v>0.61856999999999995</v>
      </c>
      <c r="C823" s="68">
        <f t="shared" si="73"/>
        <v>11.442900000000002</v>
      </c>
      <c r="D823" s="69">
        <f t="shared" si="74"/>
        <v>-3.5570999999999984</v>
      </c>
      <c r="E823" s="70">
        <f t="shared" si="75"/>
        <v>-18.557099999999998</v>
      </c>
      <c r="F823" s="71">
        <f t="shared" si="76"/>
        <v>-11.442900000000002</v>
      </c>
      <c r="G823" s="72">
        <f t="shared" si="77"/>
        <v>3.5570999999999984</v>
      </c>
      <c r="H823" s="73">
        <f t="shared" si="78"/>
        <v>18.557099999999998</v>
      </c>
    </row>
    <row r="824" spans="1:8" x14ac:dyDescent="0.25">
      <c r="A824" s="26">
        <v>84</v>
      </c>
      <c r="B824" s="25">
        <v>0.62</v>
      </c>
      <c r="C824" s="68">
        <f t="shared" si="73"/>
        <v>11.399999999999999</v>
      </c>
      <c r="D824" s="69">
        <f t="shared" si="74"/>
        <v>-3.6000000000000014</v>
      </c>
      <c r="E824" s="70">
        <f t="shared" si="75"/>
        <v>-18.600000000000001</v>
      </c>
      <c r="F824" s="71">
        <f t="shared" si="76"/>
        <v>-11.399999999999999</v>
      </c>
      <c r="G824" s="72">
        <f t="shared" si="77"/>
        <v>3.6000000000000014</v>
      </c>
      <c r="H824" s="73">
        <f t="shared" si="78"/>
        <v>18.600000000000001</v>
      </c>
    </row>
    <row r="825" spans="1:8" x14ac:dyDescent="0.25">
      <c r="A825" s="26">
        <v>85</v>
      </c>
      <c r="B825" s="25">
        <v>0.62124999999999997</v>
      </c>
      <c r="C825" s="68">
        <f t="shared" si="73"/>
        <v>11.362500000000001</v>
      </c>
      <c r="D825" s="69">
        <f t="shared" si="74"/>
        <v>-3.6374999999999993</v>
      </c>
      <c r="E825" s="70">
        <f t="shared" si="75"/>
        <v>-18.637499999999999</v>
      </c>
      <c r="F825" s="71">
        <f t="shared" si="76"/>
        <v>-11.362500000000001</v>
      </c>
      <c r="G825" s="72">
        <f t="shared" si="77"/>
        <v>3.6374999999999993</v>
      </c>
      <c r="H825" s="73">
        <f t="shared" si="78"/>
        <v>18.637499999999999</v>
      </c>
    </row>
    <row r="826" spans="1:8" x14ac:dyDescent="0.25">
      <c r="A826" s="26">
        <v>86</v>
      </c>
      <c r="B826" s="25">
        <v>0.62250000000000005</v>
      </c>
      <c r="C826" s="68">
        <f t="shared" si="73"/>
        <v>11.324999999999999</v>
      </c>
      <c r="D826" s="69">
        <f t="shared" si="74"/>
        <v>-3.6750000000000007</v>
      </c>
      <c r="E826" s="70">
        <f t="shared" si="75"/>
        <v>-18.675000000000001</v>
      </c>
      <c r="F826" s="71">
        <f t="shared" si="76"/>
        <v>-11.324999999999999</v>
      </c>
      <c r="G826" s="72">
        <f t="shared" si="77"/>
        <v>3.6750000000000007</v>
      </c>
      <c r="H826" s="73">
        <f t="shared" si="78"/>
        <v>18.675000000000001</v>
      </c>
    </row>
    <row r="827" spans="1:8" x14ac:dyDescent="0.25">
      <c r="A827" s="26">
        <v>87</v>
      </c>
      <c r="B827" s="25">
        <v>0.62375000000000003</v>
      </c>
      <c r="C827" s="68">
        <f t="shared" si="73"/>
        <v>11.287499999999998</v>
      </c>
      <c r="D827" s="69">
        <f t="shared" si="74"/>
        <v>-3.7125000000000021</v>
      </c>
      <c r="E827" s="70">
        <f t="shared" si="75"/>
        <v>-18.712500000000002</v>
      </c>
      <c r="F827" s="71">
        <f t="shared" si="76"/>
        <v>-11.287499999999998</v>
      </c>
      <c r="G827" s="72">
        <f t="shared" si="77"/>
        <v>3.7125000000000021</v>
      </c>
      <c r="H827" s="73">
        <f t="shared" si="78"/>
        <v>18.712500000000002</v>
      </c>
    </row>
    <row r="828" spans="1:8" x14ac:dyDescent="0.25">
      <c r="A828" s="26">
        <v>88</v>
      </c>
      <c r="B828" s="25">
        <v>0.625</v>
      </c>
      <c r="C828" s="68">
        <f t="shared" si="73"/>
        <v>11.25</v>
      </c>
      <c r="D828" s="69">
        <f t="shared" si="74"/>
        <v>-3.75</v>
      </c>
      <c r="E828" s="70">
        <f t="shared" si="75"/>
        <v>-18.75</v>
      </c>
      <c r="F828" s="71">
        <f t="shared" si="76"/>
        <v>-11.25</v>
      </c>
      <c r="G828" s="72">
        <f t="shared" si="77"/>
        <v>3.75</v>
      </c>
      <c r="H828" s="73">
        <f t="shared" si="78"/>
        <v>18.75</v>
      </c>
    </row>
    <row r="829" spans="1:8" x14ac:dyDescent="0.25">
      <c r="A829" s="26">
        <v>89</v>
      </c>
      <c r="B829" s="25">
        <v>0.62624999999999997</v>
      </c>
      <c r="C829" s="68">
        <f t="shared" si="73"/>
        <v>11.212500000000002</v>
      </c>
      <c r="D829" s="69">
        <f t="shared" si="74"/>
        <v>-3.7874999999999979</v>
      </c>
      <c r="E829" s="70">
        <f t="shared" si="75"/>
        <v>-18.787499999999998</v>
      </c>
      <c r="F829" s="71">
        <f t="shared" si="76"/>
        <v>-11.212500000000002</v>
      </c>
      <c r="G829" s="72">
        <f t="shared" si="77"/>
        <v>3.7874999999999979</v>
      </c>
      <c r="H829" s="73">
        <f t="shared" si="78"/>
        <v>18.787499999999998</v>
      </c>
    </row>
    <row r="830" spans="1:8" x14ac:dyDescent="0.25">
      <c r="A830" s="26">
        <v>90</v>
      </c>
      <c r="B830" s="25">
        <v>0.62749999999999995</v>
      </c>
      <c r="C830" s="68">
        <f t="shared" si="73"/>
        <v>11.175000000000001</v>
      </c>
      <c r="D830" s="69">
        <f t="shared" si="74"/>
        <v>-3.8249999999999993</v>
      </c>
      <c r="E830" s="70">
        <f t="shared" si="75"/>
        <v>-18.824999999999999</v>
      </c>
      <c r="F830" s="71">
        <f t="shared" si="76"/>
        <v>-11.175000000000001</v>
      </c>
      <c r="G830" s="72">
        <f t="shared" si="77"/>
        <v>3.8249999999999993</v>
      </c>
      <c r="H830" s="73">
        <f t="shared" si="78"/>
        <v>18.824999999999999</v>
      </c>
    </row>
    <row r="831" spans="1:8" x14ac:dyDescent="0.25">
      <c r="A831" s="26">
        <v>91</v>
      </c>
      <c r="B831" s="25">
        <v>0.62875000000000003</v>
      </c>
      <c r="C831" s="68">
        <f t="shared" si="73"/>
        <v>11.137499999999999</v>
      </c>
      <c r="D831" s="69">
        <f t="shared" si="74"/>
        <v>-3.8625000000000007</v>
      </c>
      <c r="E831" s="70">
        <f t="shared" si="75"/>
        <v>-18.862500000000001</v>
      </c>
      <c r="F831" s="71">
        <f t="shared" si="76"/>
        <v>-11.137499999999999</v>
      </c>
      <c r="G831" s="72">
        <f t="shared" si="77"/>
        <v>3.8625000000000007</v>
      </c>
      <c r="H831" s="73">
        <f t="shared" si="78"/>
        <v>18.862500000000001</v>
      </c>
    </row>
    <row r="832" spans="1:8" x14ac:dyDescent="0.25">
      <c r="A832" s="26">
        <v>92</v>
      </c>
      <c r="B832" s="25">
        <v>0.63</v>
      </c>
      <c r="C832" s="68">
        <f t="shared" si="73"/>
        <v>11.100000000000001</v>
      </c>
      <c r="D832" s="69">
        <f t="shared" si="74"/>
        <v>-3.8999999999999986</v>
      </c>
      <c r="E832" s="70">
        <f t="shared" si="75"/>
        <v>-18.899999999999999</v>
      </c>
      <c r="F832" s="71">
        <f t="shared" si="76"/>
        <v>-11.100000000000001</v>
      </c>
      <c r="G832" s="72">
        <f t="shared" si="77"/>
        <v>3.8999999999999986</v>
      </c>
      <c r="H832" s="73">
        <f t="shared" si="78"/>
        <v>18.899999999999999</v>
      </c>
    </row>
    <row r="833" spans="1:8" x14ac:dyDescent="0.25">
      <c r="A833" s="26">
        <v>93</v>
      </c>
      <c r="B833" s="25">
        <v>0.63143000000000005</v>
      </c>
      <c r="C833" s="68">
        <f t="shared" si="73"/>
        <v>11.057099999999998</v>
      </c>
      <c r="D833" s="69">
        <f t="shared" si="74"/>
        <v>-3.9429000000000016</v>
      </c>
      <c r="E833" s="70">
        <f t="shared" si="75"/>
        <v>-18.942900000000002</v>
      </c>
      <c r="F833" s="71">
        <f t="shared" si="76"/>
        <v>-11.057099999999998</v>
      </c>
      <c r="G833" s="72">
        <f t="shared" si="77"/>
        <v>3.9429000000000016</v>
      </c>
      <c r="H833" s="73">
        <f t="shared" si="78"/>
        <v>18.942900000000002</v>
      </c>
    </row>
    <row r="834" spans="1:8" x14ac:dyDescent="0.25">
      <c r="A834" s="26">
        <v>94</v>
      </c>
      <c r="B834" s="25">
        <v>0.63285999999999998</v>
      </c>
      <c r="C834" s="68">
        <f t="shared" si="73"/>
        <v>11.014200000000002</v>
      </c>
      <c r="D834" s="69">
        <f t="shared" si="74"/>
        <v>-3.9857999999999976</v>
      </c>
      <c r="E834" s="70">
        <f t="shared" si="75"/>
        <v>-18.985799999999998</v>
      </c>
      <c r="F834" s="71">
        <f t="shared" si="76"/>
        <v>-11.014200000000002</v>
      </c>
      <c r="G834" s="72">
        <f t="shared" si="77"/>
        <v>3.9857999999999976</v>
      </c>
      <c r="H834" s="73">
        <f t="shared" si="78"/>
        <v>18.985799999999998</v>
      </c>
    </row>
    <row r="835" spans="1:8" x14ac:dyDescent="0.25">
      <c r="A835" s="26">
        <v>95</v>
      </c>
      <c r="B835" s="25">
        <v>0.63429000000000002</v>
      </c>
      <c r="C835" s="68">
        <f t="shared" si="73"/>
        <v>10.971299999999999</v>
      </c>
      <c r="D835" s="69">
        <f t="shared" si="74"/>
        <v>-4.0287000000000006</v>
      </c>
      <c r="E835" s="70">
        <f t="shared" si="75"/>
        <v>-19.028700000000001</v>
      </c>
      <c r="F835" s="71">
        <f t="shared" si="76"/>
        <v>-10.971299999999999</v>
      </c>
      <c r="G835" s="72">
        <f t="shared" si="77"/>
        <v>4.0287000000000006</v>
      </c>
      <c r="H835" s="73">
        <f t="shared" si="78"/>
        <v>19.028700000000001</v>
      </c>
    </row>
    <row r="836" spans="1:8" x14ac:dyDescent="0.25">
      <c r="A836" s="26">
        <v>96</v>
      </c>
      <c r="B836" s="25">
        <v>0.63571</v>
      </c>
      <c r="C836" s="68">
        <f t="shared" si="73"/>
        <v>10.928699999999999</v>
      </c>
      <c r="D836" s="69">
        <f t="shared" si="74"/>
        <v>-4.0713000000000008</v>
      </c>
      <c r="E836" s="70">
        <f t="shared" si="75"/>
        <v>-19.071300000000001</v>
      </c>
      <c r="F836" s="71">
        <f t="shared" si="76"/>
        <v>-10.928699999999999</v>
      </c>
      <c r="G836" s="72">
        <f t="shared" si="77"/>
        <v>4.0713000000000008</v>
      </c>
      <c r="H836" s="73">
        <f t="shared" si="78"/>
        <v>19.071300000000001</v>
      </c>
    </row>
    <row r="837" spans="1:8" x14ac:dyDescent="0.25">
      <c r="A837" s="26">
        <v>97</v>
      </c>
      <c r="B837" s="25">
        <v>0.63714000000000004</v>
      </c>
      <c r="C837" s="68">
        <f t="shared" si="73"/>
        <v>10.8858</v>
      </c>
      <c r="D837" s="69">
        <f t="shared" si="74"/>
        <v>-4.1142000000000003</v>
      </c>
      <c r="E837" s="70">
        <f t="shared" si="75"/>
        <v>-19.1142</v>
      </c>
      <c r="F837" s="71">
        <f t="shared" si="76"/>
        <v>-10.8858</v>
      </c>
      <c r="G837" s="72">
        <f t="shared" si="77"/>
        <v>4.1142000000000003</v>
      </c>
      <c r="H837" s="73">
        <f t="shared" si="78"/>
        <v>19.1142</v>
      </c>
    </row>
    <row r="838" spans="1:8" x14ac:dyDescent="0.25">
      <c r="A838" s="26">
        <v>98</v>
      </c>
      <c r="B838" s="25">
        <v>0.63856999999999997</v>
      </c>
      <c r="C838" s="68">
        <f t="shared" si="73"/>
        <v>10.8429</v>
      </c>
      <c r="D838" s="69">
        <f t="shared" si="74"/>
        <v>-4.1570999999999998</v>
      </c>
      <c r="E838" s="70">
        <f t="shared" si="75"/>
        <v>-19.1571</v>
      </c>
      <c r="F838" s="71">
        <f t="shared" si="76"/>
        <v>-10.8429</v>
      </c>
      <c r="G838" s="72">
        <f t="shared" si="77"/>
        <v>4.1570999999999998</v>
      </c>
      <c r="H838" s="73">
        <f t="shared" si="78"/>
        <v>19.1571</v>
      </c>
    </row>
    <row r="839" spans="1:8" x14ac:dyDescent="0.25">
      <c r="A839" s="26">
        <v>99</v>
      </c>
      <c r="B839" s="25">
        <v>0.64</v>
      </c>
      <c r="C839" s="68">
        <f t="shared" ref="C839:C902" si="79">KFactor-KFactor*B839</f>
        <v>10.8</v>
      </c>
      <c r="D839" s="69">
        <f t="shared" ref="D839:D902" si="80">KFactor/2-KFactor*B839</f>
        <v>-4.1999999999999993</v>
      </c>
      <c r="E839" s="70">
        <f t="shared" ref="E839:E902" si="81">0-KFactor*B839</f>
        <v>-19.2</v>
      </c>
      <c r="F839" s="71">
        <f t="shared" ref="F839:F902" si="82">-C839</f>
        <v>-10.8</v>
      </c>
      <c r="G839" s="72">
        <f t="shared" ref="G839:G902" si="83">-D839</f>
        <v>4.1999999999999993</v>
      </c>
      <c r="H839" s="73">
        <f t="shared" ref="H839:H902" si="84">-E839</f>
        <v>19.2</v>
      </c>
    </row>
    <row r="840" spans="1:8" x14ac:dyDescent="0.25">
      <c r="A840" s="26">
        <v>100</v>
      </c>
      <c r="B840" s="25">
        <v>0.64124999999999999</v>
      </c>
      <c r="C840" s="68">
        <f t="shared" si="79"/>
        <v>10.762499999999999</v>
      </c>
      <c r="D840" s="69">
        <f t="shared" si="80"/>
        <v>-4.2375000000000007</v>
      </c>
      <c r="E840" s="70">
        <f t="shared" si="81"/>
        <v>-19.237500000000001</v>
      </c>
      <c r="F840" s="71">
        <f t="shared" si="82"/>
        <v>-10.762499999999999</v>
      </c>
      <c r="G840" s="72">
        <f t="shared" si="83"/>
        <v>4.2375000000000007</v>
      </c>
      <c r="H840" s="73">
        <f t="shared" si="84"/>
        <v>19.237500000000001</v>
      </c>
    </row>
    <row r="841" spans="1:8" x14ac:dyDescent="0.25">
      <c r="A841" s="26">
        <v>101</v>
      </c>
      <c r="B841" s="25">
        <v>0.64249999999999996</v>
      </c>
      <c r="C841" s="68">
        <f t="shared" si="79"/>
        <v>10.725000000000001</v>
      </c>
      <c r="D841" s="69">
        <f t="shared" si="80"/>
        <v>-4.2749999999999986</v>
      </c>
      <c r="E841" s="70">
        <f t="shared" si="81"/>
        <v>-19.274999999999999</v>
      </c>
      <c r="F841" s="71">
        <f t="shared" si="82"/>
        <v>-10.725000000000001</v>
      </c>
      <c r="G841" s="72">
        <f t="shared" si="83"/>
        <v>4.2749999999999986</v>
      </c>
      <c r="H841" s="73">
        <f t="shared" si="84"/>
        <v>19.274999999999999</v>
      </c>
    </row>
    <row r="842" spans="1:8" x14ac:dyDescent="0.25">
      <c r="A842" s="26">
        <v>102</v>
      </c>
      <c r="B842" s="25">
        <v>0.64375000000000004</v>
      </c>
      <c r="C842" s="68">
        <f t="shared" si="79"/>
        <v>10.6875</v>
      </c>
      <c r="D842" s="69">
        <f t="shared" si="80"/>
        <v>-4.3125</v>
      </c>
      <c r="E842" s="70">
        <f t="shared" si="81"/>
        <v>-19.3125</v>
      </c>
      <c r="F842" s="71">
        <f t="shared" si="82"/>
        <v>-10.6875</v>
      </c>
      <c r="G842" s="72">
        <f t="shared" si="83"/>
        <v>4.3125</v>
      </c>
      <c r="H842" s="73">
        <f t="shared" si="84"/>
        <v>19.3125</v>
      </c>
    </row>
    <row r="843" spans="1:8" x14ac:dyDescent="0.25">
      <c r="A843" s="26">
        <v>103</v>
      </c>
      <c r="B843" s="25">
        <v>0.64500000000000002</v>
      </c>
      <c r="C843" s="68">
        <f t="shared" si="79"/>
        <v>10.649999999999999</v>
      </c>
      <c r="D843" s="69">
        <f t="shared" si="80"/>
        <v>-4.3500000000000014</v>
      </c>
      <c r="E843" s="70">
        <f t="shared" si="81"/>
        <v>-19.350000000000001</v>
      </c>
      <c r="F843" s="71">
        <f t="shared" si="82"/>
        <v>-10.649999999999999</v>
      </c>
      <c r="G843" s="72">
        <f t="shared" si="83"/>
        <v>4.3500000000000014</v>
      </c>
      <c r="H843" s="73">
        <f t="shared" si="84"/>
        <v>19.350000000000001</v>
      </c>
    </row>
    <row r="844" spans="1:8" x14ac:dyDescent="0.25">
      <c r="A844" s="26">
        <v>104</v>
      </c>
      <c r="B844" s="25">
        <v>0.64624999999999999</v>
      </c>
      <c r="C844" s="68">
        <f t="shared" si="79"/>
        <v>10.612500000000001</v>
      </c>
      <c r="D844" s="69">
        <f t="shared" si="80"/>
        <v>-4.3874999999999993</v>
      </c>
      <c r="E844" s="70">
        <f t="shared" si="81"/>
        <v>-19.387499999999999</v>
      </c>
      <c r="F844" s="71">
        <f t="shared" si="82"/>
        <v>-10.612500000000001</v>
      </c>
      <c r="G844" s="72">
        <f t="shared" si="83"/>
        <v>4.3874999999999993</v>
      </c>
      <c r="H844" s="73">
        <f t="shared" si="84"/>
        <v>19.387499999999999</v>
      </c>
    </row>
    <row r="845" spans="1:8" x14ac:dyDescent="0.25">
      <c r="A845" s="26">
        <v>105</v>
      </c>
      <c r="B845" s="25">
        <v>0.64749999999999996</v>
      </c>
      <c r="C845" s="68">
        <f t="shared" si="79"/>
        <v>10.575000000000003</v>
      </c>
      <c r="D845" s="69">
        <f t="shared" si="80"/>
        <v>-4.4249999999999972</v>
      </c>
      <c r="E845" s="70">
        <f t="shared" si="81"/>
        <v>-19.424999999999997</v>
      </c>
      <c r="F845" s="71">
        <f t="shared" si="82"/>
        <v>-10.575000000000003</v>
      </c>
      <c r="G845" s="72">
        <f t="shared" si="83"/>
        <v>4.4249999999999972</v>
      </c>
      <c r="H845" s="73">
        <f t="shared" si="84"/>
        <v>19.424999999999997</v>
      </c>
    </row>
    <row r="846" spans="1:8" x14ac:dyDescent="0.25">
      <c r="A846" s="26">
        <v>106</v>
      </c>
      <c r="B846" s="25">
        <v>0.64875000000000005</v>
      </c>
      <c r="C846" s="68">
        <f t="shared" si="79"/>
        <v>10.537499999999998</v>
      </c>
      <c r="D846" s="69">
        <f t="shared" si="80"/>
        <v>-4.4625000000000021</v>
      </c>
      <c r="E846" s="70">
        <f t="shared" si="81"/>
        <v>-19.462500000000002</v>
      </c>
      <c r="F846" s="71">
        <f t="shared" si="82"/>
        <v>-10.537499999999998</v>
      </c>
      <c r="G846" s="72">
        <f t="shared" si="83"/>
        <v>4.4625000000000021</v>
      </c>
      <c r="H846" s="73">
        <f t="shared" si="84"/>
        <v>19.462500000000002</v>
      </c>
    </row>
    <row r="847" spans="1:8" x14ac:dyDescent="0.25">
      <c r="A847" s="26">
        <v>107</v>
      </c>
      <c r="B847" s="25">
        <v>0.65</v>
      </c>
      <c r="C847" s="68">
        <f t="shared" si="79"/>
        <v>10.5</v>
      </c>
      <c r="D847" s="69">
        <f t="shared" si="80"/>
        <v>-4.5</v>
      </c>
      <c r="E847" s="70">
        <f t="shared" si="81"/>
        <v>-19.5</v>
      </c>
      <c r="F847" s="71">
        <f t="shared" si="82"/>
        <v>-10.5</v>
      </c>
      <c r="G847" s="72">
        <f t="shared" si="83"/>
        <v>4.5</v>
      </c>
      <c r="H847" s="73">
        <f t="shared" si="84"/>
        <v>19.5</v>
      </c>
    </row>
    <row r="848" spans="1:8" x14ac:dyDescent="0.25">
      <c r="A848" s="26">
        <v>108</v>
      </c>
      <c r="B848" s="25">
        <v>0.65142999999999995</v>
      </c>
      <c r="C848" s="68">
        <f t="shared" si="79"/>
        <v>10.457100000000001</v>
      </c>
      <c r="D848" s="69">
        <f t="shared" si="80"/>
        <v>-4.5428999999999995</v>
      </c>
      <c r="E848" s="70">
        <f t="shared" si="81"/>
        <v>-19.542899999999999</v>
      </c>
      <c r="F848" s="71">
        <f t="shared" si="82"/>
        <v>-10.457100000000001</v>
      </c>
      <c r="G848" s="72">
        <f t="shared" si="83"/>
        <v>4.5428999999999995</v>
      </c>
      <c r="H848" s="73">
        <f t="shared" si="84"/>
        <v>19.542899999999999</v>
      </c>
    </row>
    <row r="849" spans="1:8" x14ac:dyDescent="0.25">
      <c r="A849" s="26">
        <v>109</v>
      </c>
      <c r="B849" s="25">
        <v>0.65286</v>
      </c>
      <c r="C849" s="68">
        <f t="shared" si="79"/>
        <v>10.414200000000001</v>
      </c>
      <c r="D849" s="69">
        <f t="shared" si="80"/>
        <v>-4.585799999999999</v>
      </c>
      <c r="E849" s="70">
        <f t="shared" si="81"/>
        <v>-19.585799999999999</v>
      </c>
      <c r="F849" s="71">
        <f t="shared" si="82"/>
        <v>-10.414200000000001</v>
      </c>
      <c r="G849" s="72">
        <f t="shared" si="83"/>
        <v>4.585799999999999</v>
      </c>
      <c r="H849" s="73">
        <f t="shared" si="84"/>
        <v>19.585799999999999</v>
      </c>
    </row>
    <row r="850" spans="1:8" x14ac:dyDescent="0.25">
      <c r="A850" s="26">
        <v>110</v>
      </c>
      <c r="B850" s="25">
        <v>0.65429000000000004</v>
      </c>
      <c r="C850" s="68">
        <f t="shared" si="79"/>
        <v>10.371299999999998</v>
      </c>
      <c r="D850" s="69">
        <f t="shared" si="80"/>
        <v>-4.628700000000002</v>
      </c>
      <c r="E850" s="70">
        <f t="shared" si="81"/>
        <v>-19.628700000000002</v>
      </c>
      <c r="F850" s="71">
        <f t="shared" si="82"/>
        <v>-10.371299999999998</v>
      </c>
      <c r="G850" s="72">
        <f t="shared" si="83"/>
        <v>4.628700000000002</v>
      </c>
      <c r="H850" s="73">
        <f t="shared" si="84"/>
        <v>19.628700000000002</v>
      </c>
    </row>
    <row r="851" spans="1:8" x14ac:dyDescent="0.25">
      <c r="A851" s="26">
        <v>111</v>
      </c>
      <c r="B851" s="25">
        <v>0.65571000000000002</v>
      </c>
      <c r="C851" s="68">
        <f t="shared" si="79"/>
        <v>10.328699999999998</v>
      </c>
      <c r="D851" s="69">
        <f t="shared" si="80"/>
        <v>-4.6713000000000022</v>
      </c>
      <c r="E851" s="70">
        <f t="shared" si="81"/>
        <v>-19.671300000000002</v>
      </c>
      <c r="F851" s="71">
        <f t="shared" si="82"/>
        <v>-10.328699999999998</v>
      </c>
      <c r="G851" s="72">
        <f t="shared" si="83"/>
        <v>4.6713000000000022</v>
      </c>
      <c r="H851" s="73">
        <f t="shared" si="84"/>
        <v>19.671300000000002</v>
      </c>
    </row>
    <row r="852" spans="1:8" x14ac:dyDescent="0.25">
      <c r="A852" s="26">
        <v>112</v>
      </c>
      <c r="B852" s="25">
        <v>0.65713999999999995</v>
      </c>
      <c r="C852" s="68">
        <f t="shared" si="79"/>
        <v>10.285800000000002</v>
      </c>
      <c r="D852" s="69">
        <f t="shared" si="80"/>
        <v>-4.7141999999999982</v>
      </c>
      <c r="E852" s="70">
        <f t="shared" si="81"/>
        <v>-19.714199999999998</v>
      </c>
      <c r="F852" s="71">
        <f t="shared" si="82"/>
        <v>-10.285800000000002</v>
      </c>
      <c r="G852" s="72">
        <f t="shared" si="83"/>
        <v>4.7141999999999982</v>
      </c>
      <c r="H852" s="73">
        <f t="shared" si="84"/>
        <v>19.714199999999998</v>
      </c>
    </row>
    <row r="853" spans="1:8" x14ac:dyDescent="0.25">
      <c r="A853" s="26">
        <v>113</v>
      </c>
      <c r="B853" s="25">
        <v>0.65856999999999999</v>
      </c>
      <c r="C853" s="68">
        <f t="shared" si="79"/>
        <v>10.242899999999999</v>
      </c>
      <c r="D853" s="69">
        <f t="shared" si="80"/>
        <v>-4.7571000000000012</v>
      </c>
      <c r="E853" s="70">
        <f t="shared" si="81"/>
        <v>-19.757100000000001</v>
      </c>
      <c r="F853" s="71">
        <f t="shared" si="82"/>
        <v>-10.242899999999999</v>
      </c>
      <c r="G853" s="72">
        <f t="shared" si="83"/>
        <v>4.7571000000000012</v>
      </c>
      <c r="H853" s="73">
        <f t="shared" si="84"/>
        <v>19.757100000000001</v>
      </c>
    </row>
    <row r="854" spans="1:8" x14ac:dyDescent="0.25">
      <c r="A854" s="26">
        <v>114</v>
      </c>
      <c r="B854" s="25">
        <v>0.66</v>
      </c>
      <c r="C854" s="68">
        <f t="shared" si="79"/>
        <v>10.199999999999999</v>
      </c>
      <c r="D854" s="69">
        <f t="shared" si="80"/>
        <v>-4.8000000000000007</v>
      </c>
      <c r="E854" s="70">
        <f t="shared" si="81"/>
        <v>-19.8</v>
      </c>
      <c r="F854" s="71">
        <f t="shared" si="82"/>
        <v>-10.199999999999999</v>
      </c>
      <c r="G854" s="72">
        <f t="shared" si="83"/>
        <v>4.8000000000000007</v>
      </c>
      <c r="H854" s="73">
        <f t="shared" si="84"/>
        <v>19.8</v>
      </c>
    </row>
    <row r="855" spans="1:8" x14ac:dyDescent="0.25">
      <c r="A855" s="26">
        <v>115</v>
      </c>
      <c r="B855" s="25">
        <v>0.66125</v>
      </c>
      <c r="C855" s="68">
        <f t="shared" si="79"/>
        <v>10.162500000000001</v>
      </c>
      <c r="D855" s="69">
        <f t="shared" si="80"/>
        <v>-4.8374999999999986</v>
      </c>
      <c r="E855" s="70">
        <f t="shared" si="81"/>
        <v>-19.837499999999999</v>
      </c>
      <c r="F855" s="71">
        <f t="shared" si="82"/>
        <v>-10.162500000000001</v>
      </c>
      <c r="G855" s="72">
        <f t="shared" si="83"/>
        <v>4.8374999999999986</v>
      </c>
      <c r="H855" s="73">
        <f t="shared" si="84"/>
        <v>19.837499999999999</v>
      </c>
    </row>
    <row r="856" spans="1:8" x14ac:dyDescent="0.25">
      <c r="A856" s="26">
        <v>116</v>
      </c>
      <c r="B856" s="25">
        <v>0.66249999999999998</v>
      </c>
      <c r="C856" s="68">
        <f t="shared" si="79"/>
        <v>10.125</v>
      </c>
      <c r="D856" s="69">
        <f t="shared" si="80"/>
        <v>-4.875</v>
      </c>
      <c r="E856" s="70">
        <f t="shared" si="81"/>
        <v>-19.875</v>
      </c>
      <c r="F856" s="71">
        <f t="shared" si="82"/>
        <v>-10.125</v>
      </c>
      <c r="G856" s="72">
        <f t="shared" si="83"/>
        <v>4.875</v>
      </c>
      <c r="H856" s="73">
        <f t="shared" si="84"/>
        <v>19.875</v>
      </c>
    </row>
    <row r="857" spans="1:8" x14ac:dyDescent="0.25">
      <c r="A857" s="26">
        <v>117</v>
      </c>
      <c r="B857" s="25">
        <v>0.66374999999999995</v>
      </c>
      <c r="C857" s="68">
        <f t="shared" si="79"/>
        <v>10.087500000000002</v>
      </c>
      <c r="D857" s="69">
        <f t="shared" si="80"/>
        <v>-4.9124999999999979</v>
      </c>
      <c r="E857" s="70">
        <f t="shared" si="81"/>
        <v>-19.912499999999998</v>
      </c>
      <c r="F857" s="71">
        <f t="shared" si="82"/>
        <v>-10.087500000000002</v>
      </c>
      <c r="G857" s="72">
        <f t="shared" si="83"/>
        <v>4.9124999999999979</v>
      </c>
      <c r="H857" s="73">
        <f t="shared" si="84"/>
        <v>19.912499999999998</v>
      </c>
    </row>
    <row r="858" spans="1:8" x14ac:dyDescent="0.25">
      <c r="A858" s="26">
        <v>118</v>
      </c>
      <c r="B858" s="25">
        <v>0.66500000000000004</v>
      </c>
      <c r="C858" s="68">
        <f t="shared" si="79"/>
        <v>10.049999999999997</v>
      </c>
      <c r="D858" s="69">
        <f t="shared" si="80"/>
        <v>-4.9500000000000028</v>
      </c>
      <c r="E858" s="70">
        <f t="shared" si="81"/>
        <v>-19.950000000000003</v>
      </c>
      <c r="F858" s="71">
        <f t="shared" si="82"/>
        <v>-10.049999999999997</v>
      </c>
      <c r="G858" s="72">
        <f t="shared" si="83"/>
        <v>4.9500000000000028</v>
      </c>
      <c r="H858" s="73">
        <f t="shared" si="84"/>
        <v>19.950000000000003</v>
      </c>
    </row>
    <row r="859" spans="1:8" x14ac:dyDescent="0.25">
      <c r="A859" s="26">
        <v>119</v>
      </c>
      <c r="B859" s="25">
        <v>0.66625000000000001</v>
      </c>
      <c r="C859" s="68">
        <f t="shared" si="79"/>
        <v>10.012499999999999</v>
      </c>
      <c r="D859" s="69">
        <f t="shared" si="80"/>
        <v>-4.9875000000000007</v>
      </c>
      <c r="E859" s="70">
        <f t="shared" si="81"/>
        <v>-19.987500000000001</v>
      </c>
      <c r="F859" s="71">
        <f t="shared" si="82"/>
        <v>-10.012499999999999</v>
      </c>
      <c r="G859" s="72">
        <f t="shared" si="83"/>
        <v>4.9875000000000007</v>
      </c>
      <c r="H859" s="73">
        <f t="shared" si="84"/>
        <v>19.987500000000001</v>
      </c>
    </row>
    <row r="860" spans="1:8" x14ac:dyDescent="0.25">
      <c r="A860" s="26">
        <v>120</v>
      </c>
      <c r="B860" s="25">
        <v>0.66749999999999998</v>
      </c>
      <c r="C860" s="68">
        <f t="shared" si="79"/>
        <v>9.9750000000000014</v>
      </c>
      <c r="D860" s="69">
        <f t="shared" si="80"/>
        <v>-5.0249999999999986</v>
      </c>
      <c r="E860" s="70">
        <f t="shared" si="81"/>
        <v>-20.024999999999999</v>
      </c>
      <c r="F860" s="71">
        <f t="shared" si="82"/>
        <v>-9.9750000000000014</v>
      </c>
      <c r="G860" s="72">
        <f t="shared" si="83"/>
        <v>5.0249999999999986</v>
      </c>
      <c r="H860" s="73">
        <f t="shared" si="84"/>
        <v>20.024999999999999</v>
      </c>
    </row>
    <row r="861" spans="1:8" x14ac:dyDescent="0.25">
      <c r="A861" s="26">
        <v>121</v>
      </c>
      <c r="B861" s="25">
        <v>0.66874999999999996</v>
      </c>
      <c r="C861" s="68">
        <f t="shared" si="79"/>
        <v>9.9375</v>
      </c>
      <c r="D861" s="69">
        <f t="shared" si="80"/>
        <v>-5.0625</v>
      </c>
      <c r="E861" s="70">
        <f t="shared" si="81"/>
        <v>-20.0625</v>
      </c>
      <c r="F861" s="71">
        <f t="shared" si="82"/>
        <v>-9.9375</v>
      </c>
      <c r="G861" s="72">
        <f t="shared" si="83"/>
        <v>5.0625</v>
      </c>
      <c r="H861" s="73">
        <f t="shared" si="84"/>
        <v>20.0625</v>
      </c>
    </row>
    <row r="862" spans="1:8" x14ac:dyDescent="0.25">
      <c r="A862" s="26">
        <v>122</v>
      </c>
      <c r="B862" s="25">
        <v>0.67</v>
      </c>
      <c r="C862" s="68">
        <f t="shared" si="79"/>
        <v>9.8999999999999986</v>
      </c>
      <c r="D862" s="69">
        <f t="shared" si="80"/>
        <v>-5.1000000000000014</v>
      </c>
      <c r="E862" s="70">
        <f t="shared" si="81"/>
        <v>-20.100000000000001</v>
      </c>
      <c r="F862" s="71">
        <f t="shared" si="82"/>
        <v>-9.8999999999999986</v>
      </c>
      <c r="G862" s="72">
        <f t="shared" si="83"/>
        <v>5.1000000000000014</v>
      </c>
      <c r="H862" s="73">
        <f t="shared" si="84"/>
        <v>20.100000000000001</v>
      </c>
    </row>
    <row r="863" spans="1:8" x14ac:dyDescent="0.25">
      <c r="A863" s="26">
        <v>123</v>
      </c>
      <c r="B863" s="25">
        <v>0.67125000000000001</v>
      </c>
      <c r="C863" s="68">
        <f t="shared" si="79"/>
        <v>9.8625000000000007</v>
      </c>
      <c r="D863" s="69">
        <f t="shared" si="80"/>
        <v>-5.1374999999999993</v>
      </c>
      <c r="E863" s="70">
        <f t="shared" si="81"/>
        <v>-20.137499999999999</v>
      </c>
      <c r="F863" s="71">
        <f t="shared" si="82"/>
        <v>-9.8625000000000007</v>
      </c>
      <c r="G863" s="72">
        <f t="shared" si="83"/>
        <v>5.1374999999999993</v>
      </c>
      <c r="H863" s="73">
        <f t="shared" si="84"/>
        <v>20.137499999999999</v>
      </c>
    </row>
    <row r="864" spans="1:8" x14ac:dyDescent="0.25">
      <c r="A864" s="26">
        <v>124</v>
      </c>
      <c r="B864" s="25">
        <v>0.67249999999999999</v>
      </c>
      <c r="C864" s="68">
        <f t="shared" si="79"/>
        <v>9.8249999999999993</v>
      </c>
      <c r="D864" s="69">
        <f t="shared" si="80"/>
        <v>-5.1750000000000007</v>
      </c>
      <c r="E864" s="70">
        <f t="shared" si="81"/>
        <v>-20.175000000000001</v>
      </c>
      <c r="F864" s="71">
        <f t="shared" si="82"/>
        <v>-9.8249999999999993</v>
      </c>
      <c r="G864" s="72">
        <f t="shared" si="83"/>
        <v>5.1750000000000007</v>
      </c>
      <c r="H864" s="73">
        <f t="shared" si="84"/>
        <v>20.175000000000001</v>
      </c>
    </row>
    <row r="865" spans="1:8" x14ac:dyDescent="0.25">
      <c r="A865" s="26">
        <v>125</v>
      </c>
      <c r="B865" s="25">
        <v>0.67374999999999996</v>
      </c>
      <c r="C865" s="68">
        <f t="shared" si="79"/>
        <v>9.7875000000000014</v>
      </c>
      <c r="D865" s="69">
        <f t="shared" si="80"/>
        <v>-5.2124999999999986</v>
      </c>
      <c r="E865" s="70">
        <f t="shared" si="81"/>
        <v>-20.212499999999999</v>
      </c>
      <c r="F865" s="71">
        <f t="shared" si="82"/>
        <v>-9.7875000000000014</v>
      </c>
      <c r="G865" s="72">
        <f t="shared" si="83"/>
        <v>5.2124999999999986</v>
      </c>
      <c r="H865" s="73">
        <f t="shared" si="84"/>
        <v>20.212499999999999</v>
      </c>
    </row>
    <row r="866" spans="1:8" x14ac:dyDescent="0.25">
      <c r="A866" s="26">
        <v>126</v>
      </c>
      <c r="B866" s="25">
        <v>0.67500000000000004</v>
      </c>
      <c r="C866" s="68">
        <f t="shared" si="79"/>
        <v>9.75</v>
      </c>
      <c r="D866" s="69">
        <f t="shared" si="80"/>
        <v>-5.25</v>
      </c>
      <c r="E866" s="70">
        <f t="shared" si="81"/>
        <v>-20.25</v>
      </c>
      <c r="F866" s="71">
        <f t="shared" si="82"/>
        <v>-9.75</v>
      </c>
      <c r="G866" s="72">
        <f t="shared" si="83"/>
        <v>5.25</v>
      </c>
      <c r="H866" s="73">
        <f t="shared" si="84"/>
        <v>20.25</v>
      </c>
    </row>
    <row r="867" spans="1:8" x14ac:dyDescent="0.25">
      <c r="A867" s="26">
        <v>127</v>
      </c>
      <c r="B867" s="25">
        <v>0.67625000000000002</v>
      </c>
      <c r="C867" s="68">
        <f t="shared" si="79"/>
        <v>9.7124999999999986</v>
      </c>
      <c r="D867" s="69">
        <f t="shared" si="80"/>
        <v>-5.2875000000000014</v>
      </c>
      <c r="E867" s="70">
        <f t="shared" si="81"/>
        <v>-20.287500000000001</v>
      </c>
      <c r="F867" s="71">
        <f t="shared" si="82"/>
        <v>-9.7124999999999986</v>
      </c>
      <c r="G867" s="72">
        <f t="shared" si="83"/>
        <v>5.2875000000000014</v>
      </c>
      <c r="H867" s="73">
        <f t="shared" si="84"/>
        <v>20.287500000000001</v>
      </c>
    </row>
    <row r="868" spans="1:8" x14ac:dyDescent="0.25">
      <c r="A868" s="26">
        <v>128</v>
      </c>
      <c r="B868" s="25">
        <v>0.67749999999999999</v>
      </c>
      <c r="C868" s="68">
        <f t="shared" si="79"/>
        <v>9.6750000000000007</v>
      </c>
      <c r="D868" s="69">
        <f t="shared" si="80"/>
        <v>-5.3249999999999993</v>
      </c>
      <c r="E868" s="70">
        <f t="shared" si="81"/>
        <v>-20.324999999999999</v>
      </c>
      <c r="F868" s="71">
        <f t="shared" si="82"/>
        <v>-9.6750000000000007</v>
      </c>
      <c r="G868" s="72">
        <f t="shared" si="83"/>
        <v>5.3249999999999993</v>
      </c>
      <c r="H868" s="73">
        <f t="shared" si="84"/>
        <v>20.324999999999999</v>
      </c>
    </row>
    <row r="869" spans="1:8" x14ac:dyDescent="0.25">
      <c r="A869" s="26">
        <v>129</v>
      </c>
      <c r="B869" s="25">
        <v>0.67874999999999996</v>
      </c>
      <c r="C869" s="68">
        <f t="shared" si="79"/>
        <v>9.6375000000000028</v>
      </c>
      <c r="D869" s="69">
        <f t="shared" si="80"/>
        <v>-5.3624999999999972</v>
      </c>
      <c r="E869" s="70">
        <f t="shared" si="81"/>
        <v>-20.362499999999997</v>
      </c>
      <c r="F869" s="71">
        <f t="shared" si="82"/>
        <v>-9.6375000000000028</v>
      </c>
      <c r="G869" s="72">
        <f t="shared" si="83"/>
        <v>5.3624999999999972</v>
      </c>
      <c r="H869" s="73">
        <f t="shared" si="84"/>
        <v>20.362499999999997</v>
      </c>
    </row>
    <row r="870" spans="1:8" x14ac:dyDescent="0.25">
      <c r="A870" s="26">
        <v>130</v>
      </c>
      <c r="B870" s="25">
        <v>0.68</v>
      </c>
      <c r="C870" s="68">
        <f t="shared" si="79"/>
        <v>9.5999999999999979</v>
      </c>
      <c r="D870" s="69">
        <f t="shared" si="80"/>
        <v>-5.4000000000000021</v>
      </c>
      <c r="E870" s="70">
        <f t="shared" si="81"/>
        <v>-20.400000000000002</v>
      </c>
      <c r="F870" s="71">
        <f t="shared" si="82"/>
        <v>-9.5999999999999979</v>
      </c>
      <c r="G870" s="72">
        <f t="shared" si="83"/>
        <v>5.4000000000000021</v>
      </c>
      <c r="H870" s="73">
        <f t="shared" si="84"/>
        <v>20.400000000000002</v>
      </c>
    </row>
    <row r="871" spans="1:8" x14ac:dyDescent="0.25">
      <c r="A871" s="26">
        <v>131</v>
      </c>
      <c r="B871" s="25">
        <v>0.68125000000000002</v>
      </c>
      <c r="C871" s="68">
        <f t="shared" si="79"/>
        <v>9.5625</v>
      </c>
      <c r="D871" s="69">
        <f t="shared" si="80"/>
        <v>-5.4375</v>
      </c>
      <c r="E871" s="70">
        <f t="shared" si="81"/>
        <v>-20.4375</v>
      </c>
      <c r="F871" s="71">
        <f t="shared" si="82"/>
        <v>-9.5625</v>
      </c>
      <c r="G871" s="72">
        <f t="shared" si="83"/>
        <v>5.4375</v>
      </c>
      <c r="H871" s="73">
        <f t="shared" si="84"/>
        <v>20.4375</v>
      </c>
    </row>
    <row r="872" spans="1:8" x14ac:dyDescent="0.25">
      <c r="A872" s="26">
        <v>132</v>
      </c>
      <c r="B872" s="25">
        <v>0.6825</v>
      </c>
      <c r="C872" s="68">
        <f t="shared" si="79"/>
        <v>9.5249999999999986</v>
      </c>
      <c r="D872" s="69">
        <f t="shared" si="80"/>
        <v>-5.4750000000000014</v>
      </c>
      <c r="E872" s="70">
        <f t="shared" si="81"/>
        <v>-20.475000000000001</v>
      </c>
      <c r="F872" s="71">
        <f t="shared" si="82"/>
        <v>-9.5249999999999986</v>
      </c>
      <c r="G872" s="72">
        <f t="shared" si="83"/>
        <v>5.4750000000000014</v>
      </c>
      <c r="H872" s="73">
        <f t="shared" si="84"/>
        <v>20.475000000000001</v>
      </c>
    </row>
    <row r="873" spans="1:8" x14ac:dyDescent="0.25">
      <c r="A873" s="26">
        <v>133</v>
      </c>
      <c r="B873" s="25">
        <v>0.68374999999999997</v>
      </c>
      <c r="C873" s="68">
        <f t="shared" si="79"/>
        <v>9.4875000000000007</v>
      </c>
      <c r="D873" s="69">
        <f t="shared" si="80"/>
        <v>-5.5124999999999993</v>
      </c>
      <c r="E873" s="70">
        <f t="shared" si="81"/>
        <v>-20.512499999999999</v>
      </c>
      <c r="F873" s="71">
        <f t="shared" si="82"/>
        <v>-9.4875000000000007</v>
      </c>
      <c r="G873" s="72">
        <f t="shared" si="83"/>
        <v>5.5124999999999993</v>
      </c>
      <c r="H873" s="73">
        <f t="shared" si="84"/>
        <v>20.512499999999999</v>
      </c>
    </row>
    <row r="874" spans="1:8" x14ac:dyDescent="0.25">
      <c r="A874" s="26">
        <v>134</v>
      </c>
      <c r="B874" s="25">
        <v>0.68500000000000005</v>
      </c>
      <c r="C874" s="68">
        <f t="shared" si="79"/>
        <v>9.4499999999999993</v>
      </c>
      <c r="D874" s="69">
        <f t="shared" si="80"/>
        <v>-5.5500000000000007</v>
      </c>
      <c r="E874" s="70">
        <f t="shared" si="81"/>
        <v>-20.55</v>
      </c>
      <c r="F874" s="71">
        <f t="shared" si="82"/>
        <v>-9.4499999999999993</v>
      </c>
      <c r="G874" s="72">
        <f t="shared" si="83"/>
        <v>5.5500000000000007</v>
      </c>
      <c r="H874" s="73">
        <f t="shared" si="84"/>
        <v>20.55</v>
      </c>
    </row>
    <row r="875" spans="1:8" x14ac:dyDescent="0.25">
      <c r="A875" s="26">
        <v>135</v>
      </c>
      <c r="B875" s="25">
        <v>0.68625000000000003</v>
      </c>
      <c r="C875" s="68">
        <f t="shared" si="79"/>
        <v>9.4124999999999979</v>
      </c>
      <c r="D875" s="69">
        <f t="shared" si="80"/>
        <v>-5.5875000000000021</v>
      </c>
      <c r="E875" s="70">
        <f t="shared" si="81"/>
        <v>-20.587500000000002</v>
      </c>
      <c r="F875" s="71">
        <f t="shared" si="82"/>
        <v>-9.4124999999999979</v>
      </c>
      <c r="G875" s="72">
        <f t="shared" si="83"/>
        <v>5.5875000000000021</v>
      </c>
      <c r="H875" s="73">
        <f t="shared" si="84"/>
        <v>20.587500000000002</v>
      </c>
    </row>
    <row r="876" spans="1:8" x14ac:dyDescent="0.25">
      <c r="A876" s="26">
        <v>136</v>
      </c>
      <c r="B876" s="25">
        <v>0.6875</v>
      </c>
      <c r="C876" s="68">
        <f t="shared" si="79"/>
        <v>9.375</v>
      </c>
      <c r="D876" s="69">
        <f t="shared" si="80"/>
        <v>-5.625</v>
      </c>
      <c r="E876" s="70">
        <f t="shared" si="81"/>
        <v>-20.625</v>
      </c>
      <c r="F876" s="71">
        <f t="shared" si="82"/>
        <v>-9.375</v>
      </c>
      <c r="G876" s="72">
        <f t="shared" si="83"/>
        <v>5.625</v>
      </c>
      <c r="H876" s="73">
        <f t="shared" si="84"/>
        <v>20.625</v>
      </c>
    </row>
    <row r="877" spans="1:8" x14ac:dyDescent="0.25">
      <c r="A877" s="26">
        <v>137</v>
      </c>
      <c r="B877" s="25">
        <v>0.68874999999999997</v>
      </c>
      <c r="C877" s="68">
        <f t="shared" si="79"/>
        <v>9.3375000000000021</v>
      </c>
      <c r="D877" s="69">
        <f t="shared" si="80"/>
        <v>-5.6624999999999979</v>
      </c>
      <c r="E877" s="70">
        <f t="shared" si="81"/>
        <v>-20.662499999999998</v>
      </c>
      <c r="F877" s="71">
        <f t="shared" si="82"/>
        <v>-9.3375000000000021</v>
      </c>
      <c r="G877" s="72">
        <f t="shared" si="83"/>
        <v>5.6624999999999979</v>
      </c>
      <c r="H877" s="73">
        <f t="shared" si="84"/>
        <v>20.662499999999998</v>
      </c>
    </row>
    <row r="878" spans="1:8" x14ac:dyDescent="0.25">
      <c r="A878" s="26">
        <v>138</v>
      </c>
      <c r="B878" s="25">
        <v>0.69</v>
      </c>
      <c r="C878" s="68">
        <f t="shared" si="79"/>
        <v>9.3000000000000007</v>
      </c>
      <c r="D878" s="69">
        <f t="shared" si="80"/>
        <v>-5.6999999999999993</v>
      </c>
      <c r="E878" s="70">
        <f t="shared" si="81"/>
        <v>-20.7</v>
      </c>
      <c r="F878" s="71">
        <f t="shared" si="82"/>
        <v>-9.3000000000000007</v>
      </c>
      <c r="G878" s="72">
        <f t="shared" si="83"/>
        <v>5.6999999999999993</v>
      </c>
      <c r="H878" s="73">
        <f t="shared" si="84"/>
        <v>20.7</v>
      </c>
    </row>
    <row r="879" spans="1:8" x14ac:dyDescent="0.25">
      <c r="A879" s="26">
        <v>139</v>
      </c>
      <c r="B879" s="25">
        <v>0.69125000000000003</v>
      </c>
      <c r="C879" s="68">
        <f t="shared" si="79"/>
        <v>9.2624999999999993</v>
      </c>
      <c r="D879" s="69">
        <f t="shared" si="80"/>
        <v>-5.7375000000000007</v>
      </c>
      <c r="E879" s="70">
        <f t="shared" si="81"/>
        <v>-20.737500000000001</v>
      </c>
      <c r="F879" s="71">
        <f t="shared" si="82"/>
        <v>-9.2624999999999993</v>
      </c>
      <c r="G879" s="72">
        <f t="shared" si="83"/>
        <v>5.7375000000000007</v>
      </c>
      <c r="H879" s="73">
        <f t="shared" si="84"/>
        <v>20.737500000000001</v>
      </c>
    </row>
    <row r="880" spans="1:8" x14ac:dyDescent="0.25">
      <c r="A880" s="26">
        <v>140</v>
      </c>
      <c r="B880" s="25">
        <v>0.6925</v>
      </c>
      <c r="C880" s="68">
        <f t="shared" si="79"/>
        <v>9.2250000000000014</v>
      </c>
      <c r="D880" s="69">
        <f t="shared" si="80"/>
        <v>-5.7749999999999986</v>
      </c>
      <c r="E880" s="70">
        <f t="shared" si="81"/>
        <v>-20.774999999999999</v>
      </c>
      <c r="F880" s="71">
        <f t="shared" si="82"/>
        <v>-9.2250000000000014</v>
      </c>
      <c r="G880" s="72">
        <f t="shared" si="83"/>
        <v>5.7749999999999986</v>
      </c>
      <c r="H880" s="73">
        <f t="shared" si="84"/>
        <v>20.774999999999999</v>
      </c>
    </row>
    <row r="881" spans="1:8" x14ac:dyDescent="0.25">
      <c r="A881" s="26">
        <v>141</v>
      </c>
      <c r="B881" s="25">
        <v>0.69374999999999998</v>
      </c>
      <c r="C881" s="68">
        <f t="shared" si="79"/>
        <v>9.1875</v>
      </c>
      <c r="D881" s="69">
        <f t="shared" si="80"/>
        <v>-5.8125</v>
      </c>
      <c r="E881" s="70">
        <f t="shared" si="81"/>
        <v>-20.8125</v>
      </c>
      <c r="F881" s="71">
        <f t="shared" si="82"/>
        <v>-9.1875</v>
      </c>
      <c r="G881" s="72">
        <f t="shared" si="83"/>
        <v>5.8125</v>
      </c>
      <c r="H881" s="73">
        <f t="shared" si="84"/>
        <v>20.8125</v>
      </c>
    </row>
    <row r="882" spans="1:8" x14ac:dyDescent="0.25">
      <c r="A882" s="26">
        <v>142</v>
      </c>
      <c r="B882" s="25">
        <v>0.69499999999999995</v>
      </c>
      <c r="C882" s="68">
        <f t="shared" si="79"/>
        <v>9.1500000000000021</v>
      </c>
      <c r="D882" s="69">
        <f t="shared" si="80"/>
        <v>-5.8499999999999979</v>
      </c>
      <c r="E882" s="70">
        <f t="shared" si="81"/>
        <v>-20.849999999999998</v>
      </c>
      <c r="F882" s="71">
        <f t="shared" si="82"/>
        <v>-9.1500000000000021</v>
      </c>
      <c r="G882" s="72">
        <f t="shared" si="83"/>
        <v>5.8499999999999979</v>
      </c>
      <c r="H882" s="73">
        <f t="shared" si="84"/>
        <v>20.849999999999998</v>
      </c>
    </row>
    <row r="883" spans="1:8" x14ac:dyDescent="0.25">
      <c r="A883" s="26">
        <v>143</v>
      </c>
      <c r="B883" s="25">
        <v>0.69625000000000004</v>
      </c>
      <c r="C883" s="68">
        <f t="shared" si="79"/>
        <v>9.1124999999999972</v>
      </c>
      <c r="D883" s="69">
        <f t="shared" si="80"/>
        <v>-5.8875000000000028</v>
      </c>
      <c r="E883" s="70">
        <f t="shared" si="81"/>
        <v>-20.887500000000003</v>
      </c>
      <c r="F883" s="71">
        <f t="shared" si="82"/>
        <v>-9.1124999999999972</v>
      </c>
      <c r="G883" s="72">
        <f t="shared" si="83"/>
        <v>5.8875000000000028</v>
      </c>
      <c r="H883" s="73">
        <f t="shared" si="84"/>
        <v>20.887500000000003</v>
      </c>
    </row>
    <row r="884" spans="1:8" x14ac:dyDescent="0.25">
      <c r="A884" s="26">
        <v>144</v>
      </c>
      <c r="B884" s="25">
        <v>0.69750000000000001</v>
      </c>
      <c r="C884" s="68">
        <f t="shared" si="79"/>
        <v>9.0749999999999993</v>
      </c>
      <c r="D884" s="69">
        <f t="shared" si="80"/>
        <v>-5.9250000000000007</v>
      </c>
      <c r="E884" s="70">
        <f t="shared" si="81"/>
        <v>-20.925000000000001</v>
      </c>
      <c r="F884" s="71">
        <f t="shared" si="82"/>
        <v>-9.0749999999999993</v>
      </c>
      <c r="G884" s="72">
        <f t="shared" si="83"/>
        <v>5.9250000000000007</v>
      </c>
      <c r="H884" s="73">
        <f t="shared" si="84"/>
        <v>20.925000000000001</v>
      </c>
    </row>
    <row r="885" spans="1:8" x14ac:dyDescent="0.25">
      <c r="A885" s="26">
        <v>145</v>
      </c>
      <c r="B885" s="25">
        <v>0.69874999999999998</v>
      </c>
      <c r="C885" s="68">
        <f t="shared" si="79"/>
        <v>9.0375000000000014</v>
      </c>
      <c r="D885" s="69">
        <f t="shared" si="80"/>
        <v>-5.9624999999999986</v>
      </c>
      <c r="E885" s="70">
        <f t="shared" si="81"/>
        <v>-20.962499999999999</v>
      </c>
      <c r="F885" s="71">
        <f t="shared" si="82"/>
        <v>-9.0375000000000014</v>
      </c>
      <c r="G885" s="72">
        <f t="shared" si="83"/>
        <v>5.9624999999999986</v>
      </c>
      <c r="H885" s="73">
        <f t="shared" si="84"/>
        <v>20.962499999999999</v>
      </c>
    </row>
    <row r="886" spans="1:8" x14ac:dyDescent="0.25">
      <c r="A886" s="26">
        <v>146</v>
      </c>
      <c r="B886" s="25">
        <v>0.7</v>
      </c>
      <c r="C886" s="68">
        <f t="shared" si="79"/>
        <v>9</v>
      </c>
      <c r="D886" s="69">
        <f t="shared" si="80"/>
        <v>-6</v>
      </c>
      <c r="E886" s="70">
        <f t="shared" si="81"/>
        <v>-21</v>
      </c>
      <c r="F886" s="71">
        <f t="shared" si="82"/>
        <v>-9</v>
      </c>
      <c r="G886" s="72">
        <f t="shared" si="83"/>
        <v>6</v>
      </c>
      <c r="H886" s="73">
        <f t="shared" si="84"/>
        <v>21</v>
      </c>
    </row>
    <row r="887" spans="1:8" x14ac:dyDescent="0.25">
      <c r="A887" s="26">
        <v>147</v>
      </c>
      <c r="B887" s="25">
        <v>0.70125000000000004</v>
      </c>
      <c r="C887" s="68">
        <f t="shared" si="79"/>
        <v>8.9624999999999986</v>
      </c>
      <c r="D887" s="69">
        <f t="shared" si="80"/>
        <v>-6.0375000000000014</v>
      </c>
      <c r="E887" s="70">
        <f t="shared" si="81"/>
        <v>-21.037500000000001</v>
      </c>
      <c r="F887" s="71">
        <f t="shared" si="82"/>
        <v>-8.9624999999999986</v>
      </c>
      <c r="G887" s="72">
        <f t="shared" si="83"/>
        <v>6.0375000000000014</v>
      </c>
      <c r="H887" s="73">
        <f t="shared" si="84"/>
        <v>21.037500000000001</v>
      </c>
    </row>
    <row r="888" spans="1:8" x14ac:dyDescent="0.25">
      <c r="A888" s="26">
        <v>148</v>
      </c>
      <c r="B888" s="25">
        <v>0.70250000000000001</v>
      </c>
      <c r="C888" s="68">
        <f t="shared" si="79"/>
        <v>8.9250000000000007</v>
      </c>
      <c r="D888" s="69">
        <f t="shared" si="80"/>
        <v>-6.0749999999999993</v>
      </c>
      <c r="E888" s="70">
        <f t="shared" si="81"/>
        <v>-21.074999999999999</v>
      </c>
      <c r="F888" s="71">
        <f t="shared" si="82"/>
        <v>-8.9250000000000007</v>
      </c>
      <c r="G888" s="72">
        <f t="shared" si="83"/>
        <v>6.0749999999999993</v>
      </c>
      <c r="H888" s="73">
        <f t="shared" si="84"/>
        <v>21.074999999999999</v>
      </c>
    </row>
    <row r="889" spans="1:8" x14ac:dyDescent="0.25">
      <c r="A889" s="26">
        <v>149</v>
      </c>
      <c r="B889" s="25">
        <v>0.70374999999999999</v>
      </c>
      <c r="C889" s="68">
        <f t="shared" si="79"/>
        <v>8.8874999999999993</v>
      </c>
      <c r="D889" s="69">
        <f t="shared" si="80"/>
        <v>-6.1125000000000007</v>
      </c>
      <c r="E889" s="70">
        <f t="shared" si="81"/>
        <v>-21.112500000000001</v>
      </c>
      <c r="F889" s="71">
        <f t="shared" si="82"/>
        <v>-8.8874999999999993</v>
      </c>
      <c r="G889" s="72">
        <f t="shared" si="83"/>
        <v>6.1125000000000007</v>
      </c>
      <c r="H889" s="73">
        <f t="shared" si="84"/>
        <v>21.112500000000001</v>
      </c>
    </row>
    <row r="890" spans="1:8" x14ac:dyDescent="0.25">
      <c r="A890" s="26">
        <v>150</v>
      </c>
      <c r="B890" s="25">
        <v>0.70499999999999996</v>
      </c>
      <c r="C890" s="68">
        <f t="shared" si="79"/>
        <v>8.8500000000000014</v>
      </c>
      <c r="D890" s="69">
        <f t="shared" si="80"/>
        <v>-6.1499999999999986</v>
      </c>
      <c r="E890" s="70">
        <f t="shared" si="81"/>
        <v>-21.15</v>
      </c>
      <c r="F890" s="71">
        <f t="shared" si="82"/>
        <v>-8.8500000000000014</v>
      </c>
      <c r="G890" s="72">
        <f t="shared" si="83"/>
        <v>6.1499999999999986</v>
      </c>
      <c r="H890" s="73">
        <f t="shared" si="84"/>
        <v>21.15</v>
      </c>
    </row>
    <row r="891" spans="1:8" x14ac:dyDescent="0.25">
      <c r="A891" s="26">
        <v>151</v>
      </c>
      <c r="B891" s="25">
        <v>0.70625000000000004</v>
      </c>
      <c r="C891" s="68">
        <f t="shared" si="79"/>
        <v>8.8125</v>
      </c>
      <c r="D891" s="69">
        <f t="shared" si="80"/>
        <v>-6.1875</v>
      </c>
      <c r="E891" s="70">
        <f t="shared" si="81"/>
        <v>-21.1875</v>
      </c>
      <c r="F891" s="71">
        <f t="shared" si="82"/>
        <v>-8.8125</v>
      </c>
      <c r="G891" s="72">
        <f t="shared" si="83"/>
        <v>6.1875</v>
      </c>
      <c r="H891" s="73">
        <f t="shared" si="84"/>
        <v>21.1875</v>
      </c>
    </row>
    <row r="892" spans="1:8" x14ac:dyDescent="0.25">
      <c r="A892" s="26">
        <v>152</v>
      </c>
      <c r="B892" s="25">
        <v>0.70750000000000002</v>
      </c>
      <c r="C892" s="68">
        <f t="shared" si="79"/>
        <v>8.7749999999999986</v>
      </c>
      <c r="D892" s="69">
        <f t="shared" si="80"/>
        <v>-6.2250000000000014</v>
      </c>
      <c r="E892" s="70">
        <f t="shared" si="81"/>
        <v>-21.225000000000001</v>
      </c>
      <c r="F892" s="71">
        <f t="shared" si="82"/>
        <v>-8.7749999999999986</v>
      </c>
      <c r="G892" s="72">
        <f t="shared" si="83"/>
        <v>6.2250000000000014</v>
      </c>
      <c r="H892" s="73">
        <f t="shared" si="84"/>
        <v>21.225000000000001</v>
      </c>
    </row>
    <row r="893" spans="1:8" x14ac:dyDescent="0.25">
      <c r="A893" s="26">
        <v>153</v>
      </c>
      <c r="B893" s="25">
        <v>0.70874999999999999</v>
      </c>
      <c r="C893" s="68">
        <f t="shared" si="79"/>
        <v>8.7375000000000007</v>
      </c>
      <c r="D893" s="69">
        <f t="shared" si="80"/>
        <v>-6.2624999999999993</v>
      </c>
      <c r="E893" s="70">
        <f t="shared" si="81"/>
        <v>-21.262499999999999</v>
      </c>
      <c r="F893" s="71">
        <f t="shared" si="82"/>
        <v>-8.7375000000000007</v>
      </c>
      <c r="G893" s="72">
        <f t="shared" si="83"/>
        <v>6.2624999999999993</v>
      </c>
      <c r="H893" s="73">
        <f t="shared" si="84"/>
        <v>21.262499999999999</v>
      </c>
    </row>
    <row r="894" spans="1:8" x14ac:dyDescent="0.25">
      <c r="A894" s="26">
        <v>154</v>
      </c>
      <c r="B894" s="25">
        <v>0.71</v>
      </c>
      <c r="C894" s="68">
        <f t="shared" si="79"/>
        <v>8.7000000000000028</v>
      </c>
      <c r="D894" s="69">
        <f t="shared" si="80"/>
        <v>-6.2999999999999972</v>
      </c>
      <c r="E894" s="70">
        <f t="shared" si="81"/>
        <v>-21.299999999999997</v>
      </c>
      <c r="F894" s="71">
        <f t="shared" si="82"/>
        <v>-8.7000000000000028</v>
      </c>
      <c r="G894" s="72">
        <f t="shared" si="83"/>
        <v>6.2999999999999972</v>
      </c>
      <c r="H894" s="73">
        <f t="shared" si="84"/>
        <v>21.299999999999997</v>
      </c>
    </row>
    <row r="895" spans="1:8" x14ac:dyDescent="0.25">
      <c r="A895" s="26">
        <v>155</v>
      </c>
      <c r="B895" s="25">
        <v>0.71111000000000002</v>
      </c>
      <c r="C895" s="68">
        <f t="shared" si="79"/>
        <v>8.6666999999999987</v>
      </c>
      <c r="D895" s="69">
        <f t="shared" si="80"/>
        <v>-6.3333000000000013</v>
      </c>
      <c r="E895" s="70">
        <f t="shared" si="81"/>
        <v>-21.333300000000001</v>
      </c>
      <c r="F895" s="71">
        <f t="shared" si="82"/>
        <v>-8.6666999999999987</v>
      </c>
      <c r="G895" s="72">
        <f t="shared" si="83"/>
        <v>6.3333000000000013</v>
      </c>
      <c r="H895" s="73">
        <f t="shared" si="84"/>
        <v>21.333300000000001</v>
      </c>
    </row>
    <row r="896" spans="1:8" x14ac:dyDescent="0.25">
      <c r="A896" s="26">
        <v>156</v>
      </c>
      <c r="B896" s="25">
        <v>0.71221999999999996</v>
      </c>
      <c r="C896" s="68">
        <f t="shared" si="79"/>
        <v>8.6334000000000017</v>
      </c>
      <c r="D896" s="69">
        <f t="shared" si="80"/>
        <v>-6.3665999999999983</v>
      </c>
      <c r="E896" s="70">
        <f t="shared" si="81"/>
        <v>-21.366599999999998</v>
      </c>
      <c r="F896" s="71">
        <f t="shared" si="82"/>
        <v>-8.6334000000000017</v>
      </c>
      <c r="G896" s="72">
        <f t="shared" si="83"/>
        <v>6.3665999999999983</v>
      </c>
      <c r="H896" s="73">
        <f t="shared" si="84"/>
        <v>21.366599999999998</v>
      </c>
    </row>
    <row r="897" spans="1:8" x14ac:dyDescent="0.25">
      <c r="A897" s="26">
        <v>157</v>
      </c>
      <c r="B897" s="25">
        <v>0.71333000000000002</v>
      </c>
      <c r="C897" s="68">
        <f t="shared" si="79"/>
        <v>8.6000999999999976</v>
      </c>
      <c r="D897" s="69">
        <f t="shared" si="80"/>
        <v>-6.3999000000000024</v>
      </c>
      <c r="E897" s="70">
        <f t="shared" si="81"/>
        <v>-21.399900000000002</v>
      </c>
      <c r="F897" s="71">
        <f t="shared" si="82"/>
        <v>-8.6000999999999976</v>
      </c>
      <c r="G897" s="72">
        <f t="shared" si="83"/>
        <v>6.3999000000000024</v>
      </c>
      <c r="H897" s="73">
        <f t="shared" si="84"/>
        <v>21.399900000000002</v>
      </c>
    </row>
    <row r="898" spans="1:8" x14ac:dyDescent="0.25">
      <c r="A898" s="26">
        <v>158</v>
      </c>
      <c r="B898" s="25">
        <v>0.71443999999999996</v>
      </c>
      <c r="C898" s="68">
        <f t="shared" si="79"/>
        <v>8.5668000000000006</v>
      </c>
      <c r="D898" s="69">
        <f t="shared" si="80"/>
        <v>-6.4331999999999994</v>
      </c>
      <c r="E898" s="70">
        <f t="shared" si="81"/>
        <v>-21.433199999999999</v>
      </c>
      <c r="F898" s="71">
        <f t="shared" si="82"/>
        <v>-8.5668000000000006</v>
      </c>
      <c r="G898" s="72">
        <f t="shared" si="83"/>
        <v>6.4331999999999994</v>
      </c>
      <c r="H898" s="73">
        <f t="shared" si="84"/>
        <v>21.433199999999999</v>
      </c>
    </row>
    <row r="899" spans="1:8" x14ac:dyDescent="0.25">
      <c r="A899" s="26">
        <v>159</v>
      </c>
      <c r="B899" s="25">
        <v>0.71555999999999997</v>
      </c>
      <c r="C899" s="68">
        <f t="shared" si="79"/>
        <v>8.5332000000000008</v>
      </c>
      <c r="D899" s="69">
        <f t="shared" si="80"/>
        <v>-6.4667999999999992</v>
      </c>
      <c r="E899" s="70">
        <f t="shared" si="81"/>
        <v>-21.466799999999999</v>
      </c>
      <c r="F899" s="71">
        <f t="shared" si="82"/>
        <v>-8.5332000000000008</v>
      </c>
      <c r="G899" s="72">
        <f t="shared" si="83"/>
        <v>6.4667999999999992</v>
      </c>
      <c r="H899" s="73">
        <f t="shared" si="84"/>
        <v>21.466799999999999</v>
      </c>
    </row>
    <row r="900" spans="1:8" x14ac:dyDescent="0.25">
      <c r="A900" s="26">
        <v>160</v>
      </c>
      <c r="B900" s="25">
        <v>0.71667000000000003</v>
      </c>
      <c r="C900" s="68">
        <f t="shared" si="79"/>
        <v>8.4999000000000002</v>
      </c>
      <c r="D900" s="69">
        <f t="shared" si="80"/>
        <v>-6.5000999999999998</v>
      </c>
      <c r="E900" s="70">
        <f t="shared" si="81"/>
        <v>-21.5001</v>
      </c>
      <c r="F900" s="71">
        <f t="shared" si="82"/>
        <v>-8.4999000000000002</v>
      </c>
      <c r="G900" s="72">
        <f t="shared" si="83"/>
        <v>6.5000999999999998</v>
      </c>
      <c r="H900" s="73">
        <f t="shared" si="84"/>
        <v>21.5001</v>
      </c>
    </row>
    <row r="901" spans="1:8" x14ac:dyDescent="0.25">
      <c r="A901" s="26">
        <v>161</v>
      </c>
      <c r="B901" s="25">
        <v>0.71777999999999997</v>
      </c>
      <c r="C901" s="68">
        <f t="shared" si="79"/>
        <v>8.4665999999999997</v>
      </c>
      <c r="D901" s="69">
        <f t="shared" si="80"/>
        <v>-6.5334000000000003</v>
      </c>
      <c r="E901" s="70">
        <f t="shared" si="81"/>
        <v>-21.5334</v>
      </c>
      <c r="F901" s="71">
        <f t="shared" si="82"/>
        <v>-8.4665999999999997</v>
      </c>
      <c r="G901" s="72">
        <f t="shared" si="83"/>
        <v>6.5334000000000003</v>
      </c>
      <c r="H901" s="73">
        <f t="shared" si="84"/>
        <v>21.5334</v>
      </c>
    </row>
    <row r="902" spans="1:8" x14ac:dyDescent="0.25">
      <c r="A902" s="26">
        <v>162</v>
      </c>
      <c r="B902" s="25">
        <v>0.71889000000000003</v>
      </c>
      <c r="C902" s="68">
        <f t="shared" si="79"/>
        <v>8.4332999999999991</v>
      </c>
      <c r="D902" s="69">
        <f t="shared" si="80"/>
        <v>-6.5667000000000009</v>
      </c>
      <c r="E902" s="70">
        <f t="shared" si="81"/>
        <v>-21.566700000000001</v>
      </c>
      <c r="F902" s="71">
        <f t="shared" si="82"/>
        <v>-8.4332999999999991</v>
      </c>
      <c r="G902" s="72">
        <f t="shared" si="83"/>
        <v>6.5667000000000009</v>
      </c>
      <c r="H902" s="73">
        <f t="shared" si="84"/>
        <v>21.566700000000001</v>
      </c>
    </row>
    <row r="903" spans="1:8" x14ac:dyDescent="0.25">
      <c r="A903" s="26">
        <v>163</v>
      </c>
      <c r="B903" s="25">
        <v>0.72</v>
      </c>
      <c r="C903" s="68">
        <f t="shared" ref="C903:C966" si="85">KFactor-KFactor*B903</f>
        <v>8.4000000000000021</v>
      </c>
      <c r="D903" s="69">
        <f t="shared" ref="D903:D966" si="86">KFactor/2-KFactor*B903</f>
        <v>-6.5999999999999979</v>
      </c>
      <c r="E903" s="70">
        <f t="shared" ref="E903:E966" si="87">0-KFactor*B903</f>
        <v>-21.599999999999998</v>
      </c>
      <c r="F903" s="71">
        <f t="shared" ref="F903:F966" si="88">-C903</f>
        <v>-8.4000000000000021</v>
      </c>
      <c r="G903" s="72">
        <f t="shared" ref="G903:G966" si="89">-D903</f>
        <v>6.5999999999999979</v>
      </c>
      <c r="H903" s="73">
        <f t="shared" ref="H903:H966" si="90">-E903</f>
        <v>21.599999999999998</v>
      </c>
    </row>
    <row r="904" spans="1:8" x14ac:dyDescent="0.25">
      <c r="A904" s="26">
        <v>164</v>
      </c>
      <c r="B904" s="25">
        <v>0.72124999999999995</v>
      </c>
      <c r="C904" s="68">
        <f t="shared" si="85"/>
        <v>8.3625000000000007</v>
      </c>
      <c r="D904" s="69">
        <f t="shared" si="86"/>
        <v>-6.6374999999999993</v>
      </c>
      <c r="E904" s="70">
        <f t="shared" si="87"/>
        <v>-21.637499999999999</v>
      </c>
      <c r="F904" s="71">
        <f t="shared" si="88"/>
        <v>-8.3625000000000007</v>
      </c>
      <c r="G904" s="72">
        <f t="shared" si="89"/>
        <v>6.6374999999999993</v>
      </c>
      <c r="H904" s="73">
        <f t="shared" si="90"/>
        <v>21.637499999999999</v>
      </c>
    </row>
    <row r="905" spans="1:8" x14ac:dyDescent="0.25">
      <c r="A905" s="26">
        <v>165</v>
      </c>
      <c r="B905" s="25">
        <v>0.72250000000000003</v>
      </c>
      <c r="C905" s="68">
        <f t="shared" si="85"/>
        <v>8.3249999999999993</v>
      </c>
      <c r="D905" s="69">
        <f t="shared" si="86"/>
        <v>-6.6750000000000007</v>
      </c>
      <c r="E905" s="70">
        <f t="shared" si="87"/>
        <v>-21.675000000000001</v>
      </c>
      <c r="F905" s="71">
        <f t="shared" si="88"/>
        <v>-8.3249999999999993</v>
      </c>
      <c r="G905" s="72">
        <f t="shared" si="89"/>
        <v>6.6750000000000007</v>
      </c>
      <c r="H905" s="73">
        <f t="shared" si="90"/>
        <v>21.675000000000001</v>
      </c>
    </row>
    <row r="906" spans="1:8" x14ac:dyDescent="0.25">
      <c r="A906" s="26">
        <v>166</v>
      </c>
      <c r="B906" s="25">
        <v>0.72375</v>
      </c>
      <c r="C906" s="68">
        <f t="shared" si="85"/>
        <v>8.2875000000000014</v>
      </c>
      <c r="D906" s="69">
        <f t="shared" si="86"/>
        <v>-6.7124999999999986</v>
      </c>
      <c r="E906" s="70">
        <f t="shared" si="87"/>
        <v>-21.712499999999999</v>
      </c>
      <c r="F906" s="71">
        <f t="shared" si="88"/>
        <v>-8.2875000000000014</v>
      </c>
      <c r="G906" s="72">
        <f t="shared" si="89"/>
        <v>6.7124999999999986</v>
      </c>
      <c r="H906" s="73">
        <f t="shared" si="90"/>
        <v>21.712499999999999</v>
      </c>
    </row>
    <row r="907" spans="1:8" x14ac:dyDescent="0.25">
      <c r="A907" s="26">
        <v>167</v>
      </c>
      <c r="B907" s="25">
        <v>0.72499999999999998</v>
      </c>
      <c r="C907" s="68">
        <f t="shared" si="85"/>
        <v>8.25</v>
      </c>
      <c r="D907" s="69">
        <f t="shared" si="86"/>
        <v>-6.75</v>
      </c>
      <c r="E907" s="70">
        <f t="shared" si="87"/>
        <v>-21.75</v>
      </c>
      <c r="F907" s="71">
        <f t="shared" si="88"/>
        <v>-8.25</v>
      </c>
      <c r="G907" s="72">
        <f t="shared" si="89"/>
        <v>6.75</v>
      </c>
      <c r="H907" s="73">
        <f t="shared" si="90"/>
        <v>21.75</v>
      </c>
    </row>
    <row r="908" spans="1:8" x14ac:dyDescent="0.25">
      <c r="A908" s="26">
        <v>168</v>
      </c>
      <c r="B908" s="25">
        <v>0.72624999999999995</v>
      </c>
      <c r="C908" s="68">
        <f t="shared" si="85"/>
        <v>8.2125000000000021</v>
      </c>
      <c r="D908" s="69">
        <f t="shared" si="86"/>
        <v>-6.7874999999999979</v>
      </c>
      <c r="E908" s="70">
        <f t="shared" si="87"/>
        <v>-21.787499999999998</v>
      </c>
      <c r="F908" s="71">
        <f t="shared" si="88"/>
        <v>-8.2125000000000021</v>
      </c>
      <c r="G908" s="72">
        <f t="shared" si="89"/>
        <v>6.7874999999999979</v>
      </c>
      <c r="H908" s="73">
        <f t="shared" si="90"/>
        <v>21.787499999999998</v>
      </c>
    </row>
    <row r="909" spans="1:8" x14ac:dyDescent="0.25">
      <c r="A909" s="26">
        <v>169</v>
      </c>
      <c r="B909" s="25">
        <v>0.72750000000000004</v>
      </c>
      <c r="C909" s="68">
        <f t="shared" si="85"/>
        <v>8.1749999999999972</v>
      </c>
      <c r="D909" s="69">
        <f t="shared" si="86"/>
        <v>-6.8250000000000028</v>
      </c>
      <c r="E909" s="70">
        <f t="shared" si="87"/>
        <v>-21.825000000000003</v>
      </c>
      <c r="F909" s="71">
        <f t="shared" si="88"/>
        <v>-8.1749999999999972</v>
      </c>
      <c r="G909" s="72">
        <f t="shared" si="89"/>
        <v>6.8250000000000028</v>
      </c>
      <c r="H909" s="73">
        <f t="shared" si="90"/>
        <v>21.825000000000003</v>
      </c>
    </row>
    <row r="910" spans="1:8" x14ac:dyDescent="0.25">
      <c r="A910" s="26">
        <v>170</v>
      </c>
      <c r="B910" s="25">
        <v>0.72875000000000001</v>
      </c>
      <c r="C910" s="68">
        <f t="shared" si="85"/>
        <v>8.1374999999999993</v>
      </c>
      <c r="D910" s="69">
        <f t="shared" si="86"/>
        <v>-6.8625000000000007</v>
      </c>
      <c r="E910" s="70">
        <f t="shared" si="87"/>
        <v>-21.862500000000001</v>
      </c>
      <c r="F910" s="71">
        <f t="shared" si="88"/>
        <v>-8.1374999999999993</v>
      </c>
      <c r="G910" s="72">
        <f t="shared" si="89"/>
        <v>6.8625000000000007</v>
      </c>
      <c r="H910" s="73">
        <f t="shared" si="90"/>
        <v>21.862500000000001</v>
      </c>
    </row>
    <row r="911" spans="1:8" x14ac:dyDescent="0.25">
      <c r="A911" s="26">
        <v>171</v>
      </c>
      <c r="B911" s="25">
        <v>0.73</v>
      </c>
      <c r="C911" s="68">
        <f t="shared" si="85"/>
        <v>8.1000000000000014</v>
      </c>
      <c r="D911" s="69">
        <f t="shared" si="86"/>
        <v>-6.8999999999999986</v>
      </c>
      <c r="E911" s="70">
        <f t="shared" si="87"/>
        <v>-21.9</v>
      </c>
      <c r="F911" s="71">
        <f t="shared" si="88"/>
        <v>-8.1000000000000014</v>
      </c>
      <c r="G911" s="72">
        <f t="shared" si="89"/>
        <v>6.8999999999999986</v>
      </c>
      <c r="H911" s="73">
        <f t="shared" si="90"/>
        <v>21.9</v>
      </c>
    </row>
    <row r="912" spans="1:8" x14ac:dyDescent="0.25">
      <c r="A912" s="26">
        <v>172</v>
      </c>
      <c r="B912" s="25">
        <v>0.73111000000000004</v>
      </c>
      <c r="C912" s="68">
        <f t="shared" si="85"/>
        <v>8.0666999999999973</v>
      </c>
      <c r="D912" s="69">
        <f t="shared" si="86"/>
        <v>-6.9333000000000027</v>
      </c>
      <c r="E912" s="70">
        <f t="shared" si="87"/>
        <v>-21.933300000000003</v>
      </c>
      <c r="F912" s="71">
        <f t="shared" si="88"/>
        <v>-8.0666999999999973</v>
      </c>
      <c r="G912" s="72">
        <f t="shared" si="89"/>
        <v>6.9333000000000027</v>
      </c>
      <c r="H912" s="73">
        <f t="shared" si="90"/>
        <v>21.933300000000003</v>
      </c>
    </row>
    <row r="913" spans="1:8" x14ac:dyDescent="0.25">
      <c r="A913" s="26">
        <v>173</v>
      </c>
      <c r="B913" s="25">
        <v>0.73221999999999998</v>
      </c>
      <c r="C913" s="68">
        <f t="shared" si="85"/>
        <v>8.0334000000000003</v>
      </c>
      <c r="D913" s="69">
        <f t="shared" si="86"/>
        <v>-6.9665999999999997</v>
      </c>
      <c r="E913" s="70">
        <f t="shared" si="87"/>
        <v>-21.9666</v>
      </c>
      <c r="F913" s="71">
        <f t="shared" si="88"/>
        <v>-8.0334000000000003</v>
      </c>
      <c r="G913" s="72">
        <f t="shared" si="89"/>
        <v>6.9665999999999997</v>
      </c>
      <c r="H913" s="73">
        <f t="shared" si="90"/>
        <v>21.9666</v>
      </c>
    </row>
    <row r="914" spans="1:8" x14ac:dyDescent="0.25">
      <c r="A914" s="26">
        <v>174</v>
      </c>
      <c r="B914" s="25">
        <v>0.73333000000000004</v>
      </c>
      <c r="C914" s="68">
        <f t="shared" si="85"/>
        <v>8.0000999999999998</v>
      </c>
      <c r="D914" s="69">
        <f t="shared" si="86"/>
        <v>-6.9999000000000002</v>
      </c>
      <c r="E914" s="70">
        <f t="shared" si="87"/>
        <v>-21.9999</v>
      </c>
      <c r="F914" s="71">
        <f t="shared" si="88"/>
        <v>-8.0000999999999998</v>
      </c>
      <c r="G914" s="72">
        <f t="shared" si="89"/>
        <v>6.9999000000000002</v>
      </c>
      <c r="H914" s="73">
        <f t="shared" si="90"/>
        <v>21.9999</v>
      </c>
    </row>
    <row r="915" spans="1:8" x14ac:dyDescent="0.25">
      <c r="A915" s="26">
        <v>175</v>
      </c>
      <c r="B915" s="25">
        <v>0.73443999999999998</v>
      </c>
      <c r="C915" s="68">
        <f t="shared" si="85"/>
        <v>7.9667999999999992</v>
      </c>
      <c r="D915" s="69">
        <f t="shared" si="86"/>
        <v>-7.0332000000000008</v>
      </c>
      <c r="E915" s="70">
        <f t="shared" si="87"/>
        <v>-22.033200000000001</v>
      </c>
      <c r="F915" s="71">
        <f t="shared" si="88"/>
        <v>-7.9667999999999992</v>
      </c>
      <c r="G915" s="72">
        <f t="shared" si="89"/>
        <v>7.0332000000000008</v>
      </c>
      <c r="H915" s="73">
        <f t="shared" si="90"/>
        <v>22.033200000000001</v>
      </c>
    </row>
    <row r="916" spans="1:8" x14ac:dyDescent="0.25">
      <c r="A916" s="26">
        <v>176</v>
      </c>
      <c r="B916" s="25">
        <v>0.73555999999999999</v>
      </c>
      <c r="C916" s="68">
        <f t="shared" si="85"/>
        <v>7.9331999999999994</v>
      </c>
      <c r="D916" s="69">
        <f t="shared" si="86"/>
        <v>-7.0668000000000006</v>
      </c>
      <c r="E916" s="70">
        <f t="shared" si="87"/>
        <v>-22.066800000000001</v>
      </c>
      <c r="F916" s="71">
        <f t="shared" si="88"/>
        <v>-7.9331999999999994</v>
      </c>
      <c r="G916" s="72">
        <f t="shared" si="89"/>
        <v>7.0668000000000006</v>
      </c>
      <c r="H916" s="73">
        <f t="shared" si="90"/>
        <v>22.066800000000001</v>
      </c>
    </row>
    <row r="917" spans="1:8" x14ac:dyDescent="0.25">
      <c r="A917" s="26">
        <v>177</v>
      </c>
      <c r="B917" s="25">
        <v>0.73667000000000005</v>
      </c>
      <c r="C917" s="68">
        <f t="shared" si="85"/>
        <v>7.8998999999999988</v>
      </c>
      <c r="D917" s="69">
        <f t="shared" si="86"/>
        <v>-7.1001000000000012</v>
      </c>
      <c r="E917" s="70">
        <f t="shared" si="87"/>
        <v>-22.100100000000001</v>
      </c>
      <c r="F917" s="71">
        <f t="shared" si="88"/>
        <v>-7.8998999999999988</v>
      </c>
      <c r="G917" s="72">
        <f t="shared" si="89"/>
        <v>7.1001000000000012</v>
      </c>
      <c r="H917" s="73">
        <f t="shared" si="90"/>
        <v>22.100100000000001</v>
      </c>
    </row>
    <row r="918" spans="1:8" x14ac:dyDescent="0.25">
      <c r="A918" s="26">
        <v>178</v>
      </c>
      <c r="B918" s="25">
        <v>0.73777999999999999</v>
      </c>
      <c r="C918" s="68">
        <f t="shared" si="85"/>
        <v>7.8666000000000018</v>
      </c>
      <c r="D918" s="69">
        <f t="shared" si="86"/>
        <v>-7.1333999999999982</v>
      </c>
      <c r="E918" s="70">
        <f t="shared" si="87"/>
        <v>-22.133399999999998</v>
      </c>
      <c r="F918" s="71">
        <f t="shared" si="88"/>
        <v>-7.8666000000000018</v>
      </c>
      <c r="G918" s="72">
        <f t="shared" si="89"/>
        <v>7.1333999999999982</v>
      </c>
      <c r="H918" s="73">
        <f t="shared" si="90"/>
        <v>22.133399999999998</v>
      </c>
    </row>
    <row r="919" spans="1:8" x14ac:dyDescent="0.25">
      <c r="A919" s="26">
        <v>179</v>
      </c>
      <c r="B919" s="25">
        <v>0.73889000000000005</v>
      </c>
      <c r="C919" s="68">
        <f t="shared" si="85"/>
        <v>7.8332999999999977</v>
      </c>
      <c r="D919" s="69">
        <f t="shared" si="86"/>
        <v>-7.1667000000000023</v>
      </c>
      <c r="E919" s="70">
        <f t="shared" si="87"/>
        <v>-22.166700000000002</v>
      </c>
      <c r="F919" s="71">
        <f t="shared" si="88"/>
        <v>-7.8332999999999977</v>
      </c>
      <c r="G919" s="72">
        <f t="shared" si="89"/>
        <v>7.1667000000000023</v>
      </c>
      <c r="H919" s="73">
        <f t="shared" si="90"/>
        <v>22.166700000000002</v>
      </c>
    </row>
    <row r="920" spans="1:8" x14ac:dyDescent="0.25">
      <c r="A920" s="26">
        <v>180</v>
      </c>
      <c r="B920" s="25">
        <v>0.74</v>
      </c>
      <c r="C920" s="68">
        <f t="shared" si="85"/>
        <v>7.8000000000000007</v>
      </c>
      <c r="D920" s="69">
        <f t="shared" si="86"/>
        <v>-7.1999999999999993</v>
      </c>
      <c r="E920" s="70">
        <f t="shared" si="87"/>
        <v>-22.2</v>
      </c>
      <c r="F920" s="71">
        <f t="shared" si="88"/>
        <v>-7.8000000000000007</v>
      </c>
      <c r="G920" s="72">
        <f t="shared" si="89"/>
        <v>7.1999999999999993</v>
      </c>
      <c r="H920" s="73">
        <f t="shared" si="90"/>
        <v>22.2</v>
      </c>
    </row>
    <row r="921" spans="1:8" x14ac:dyDescent="0.25">
      <c r="A921" s="26">
        <v>181</v>
      </c>
      <c r="B921" s="25">
        <v>0.74111000000000005</v>
      </c>
      <c r="C921" s="68">
        <f t="shared" si="85"/>
        <v>7.7667000000000002</v>
      </c>
      <c r="D921" s="69">
        <f t="shared" si="86"/>
        <v>-7.2332999999999998</v>
      </c>
      <c r="E921" s="70">
        <f t="shared" si="87"/>
        <v>-22.2333</v>
      </c>
      <c r="F921" s="71">
        <f t="shared" si="88"/>
        <v>-7.7667000000000002</v>
      </c>
      <c r="G921" s="72">
        <f t="shared" si="89"/>
        <v>7.2332999999999998</v>
      </c>
      <c r="H921" s="73">
        <f t="shared" si="90"/>
        <v>22.2333</v>
      </c>
    </row>
    <row r="922" spans="1:8" x14ac:dyDescent="0.25">
      <c r="A922" s="26">
        <v>182</v>
      </c>
      <c r="B922" s="25">
        <v>0.74221999999999999</v>
      </c>
      <c r="C922" s="68">
        <f t="shared" si="85"/>
        <v>7.7333999999999996</v>
      </c>
      <c r="D922" s="69">
        <f t="shared" si="86"/>
        <v>-7.2666000000000004</v>
      </c>
      <c r="E922" s="70">
        <f t="shared" si="87"/>
        <v>-22.2666</v>
      </c>
      <c r="F922" s="71">
        <f t="shared" si="88"/>
        <v>-7.7333999999999996</v>
      </c>
      <c r="G922" s="72">
        <f t="shared" si="89"/>
        <v>7.2666000000000004</v>
      </c>
      <c r="H922" s="73">
        <f t="shared" si="90"/>
        <v>22.2666</v>
      </c>
    </row>
    <row r="923" spans="1:8" x14ac:dyDescent="0.25">
      <c r="A923" s="26">
        <v>183</v>
      </c>
      <c r="B923" s="25">
        <v>0.74333000000000005</v>
      </c>
      <c r="C923" s="68">
        <f t="shared" si="85"/>
        <v>7.7000999999999991</v>
      </c>
      <c r="D923" s="69">
        <f t="shared" si="86"/>
        <v>-7.2999000000000009</v>
      </c>
      <c r="E923" s="70">
        <f t="shared" si="87"/>
        <v>-22.299900000000001</v>
      </c>
      <c r="F923" s="71">
        <f t="shared" si="88"/>
        <v>-7.7000999999999991</v>
      </c>
      <c r="G923" s="72">
        <f t="shared" si="89"/>
        <v>7.2999000000000009</v>
      </c>
      <c r="H923" s="73">
        <f t="shared" si="90"/>
        <v>22.299900000000001</v>
      </c>
    </row>
    <row r="924" spans="1:8" x14ac:dyDescent="0.25">
      <c r="A924" s="26">
        <v>184</v>
      </c>
      <c r="B924" s="25">
        <v>0.74443999999999999</v>
      </c>
      <c r="C924" s="68">
        <f t="shared" si="85"/>
        <v>7.6668000000000021</v>
      </c>
      <c r="D924" s="69">
        <f t="shared" si="86"/>
        <v>-7.3331999999999979</v>
      </c>
      <c r="E924" s="70">
        <f t="shared" si="87"/>
        <v>-22.333199999999998</v>
      </c>
      <c r="F924" s="71">
        <f t="shared" si="88"/>
        <v>-7.6668000000000021</v>
      </c>
      <c r="G924" s="72">
        <f t="shared" si="89"/>
        <v>7.3331999999999979</v>
      </c>
      <c r="H924" s="73">
        <f t="shared" si="90"/>
        <v>22.333199999999998</v>
      </c>
    </row>
    <row r="925" spans="1:8" x14ac:dyDescent="0.25">
      <c r="A925" s="26">
        <v>185</v>
      </c>
      <c r="B925" s="25">
        <v>0.74556</v>
      </c>
      <c r="C925" s="68">
        <f t="shared" si="85"/>
        <v>7.6331999999999987</v>
      </c>
      <c r="D925" s="69">
        <f t="shared" si="86"/>
        <v>-7.3668000000000013</v>
      </c>
      <c r="E925" s="70">
        <f t="shared" si="87"/>
        <v>-22.366800000000001</v>
      </c>
      <c r="F925" s="71">
        <f t="shared" si="88"/>
        <v>-7.6331999999999987</v>
      </c>
      <c r="G925" s="72">
        <f t="shared" si="89"/>
        <v>7.3668000000000013</v>
      </c>
      <c r="H925" s="73">
        <f t="shared" si="90"/>
        <v>22.366800000000001</v>
      </c>
    </row>
    <row r="926" spans="1:8" x14ac:dyDescent="0.25">
      <c r="A926" s="26">
        <v>186</v>
      </c>
      <c r="B926" s="25">
        <v>0.74666999999999994</v>
      </c>
      <c r="C926" s="68">
        <f t="shared" si="85"/>
        <v>7.5999000000000017</v>
      </c>
      <c r="D926" s="69">
        <f t="shared" si="86"/>
        <v>-7.4000999999999983</v>
      </c>
      <c r="E926" s="70">
        <f t="shared" si="87"/>
        <v>-22.400099999999998</v>
      </c>
      <c r="F926" s="71">
        <f t="shared" si="88"/>
        <v>-7.5999000000000017</v>
      </c>
      <c r="G926" s="72">
        <f t="shared" si="89"/>
        <v>7.4000999999999983</v>
      </c>
      <c r="H926" s="73">
        <f t="shared" si="90"/>
        <v>22.400099999999998</v>
      </c>
    </row>
    <row r="927" spans="1:8" x14ac:dyDescent="0.25">
      <c r="A927" s="26">
        <v>187</v>
      </c>
      <c r="B927" s="25">
        <v>0.74778</v>
      </c>
      <c r="C927" s="68">
        <f t="shared" si="85"/>
        <v>7.5666000000000011</v>
      </c>
      <c r="D927" s="69">
        <f t="shared" si="86"/>
        <v>-7.4333999999999989</v>
      </c>
      <c r="E927" s="70">
        <f t="shared" si="87"/>
        <v>-22.433399999999999</v>
      </c>
      <c r="F927" s="71">
        <f t="shared" si="88"/>
        <v>-7.5666000000000011</v>
      </c>
      <c r="G927" s="72">
        <f t="shared" si="89"/>
        <v>7.4333999999999989</v>
      </c>
      <c r="H927" s="73">
        <f t="shared" si="90"/>
        <v>22.433399999999999</v>
      </c>
    </row>
    <row r="928" spans="1:8" x14ac:dyDescent="0.25">
      <c r="A928" s="26">
        <v>188</v>
      </c>
      <c r="B928" s="25">
        <v>0.74888999999999994</v>
      </c>
      <c r="C928" s="68">
        <f t="shared" si="85"/>
        <v>7.5333000000000006</v>
      </c>
      <c r="D928" s="69">
        <f t="shared" si="86"/>
        <v>-7.4666999999999994</v>
      </c>
      <c r="E928" s="70">
        <f t="shared" si="87"/>
        <v>-22.466699999999999</v>
      </c>
      <c r="F928" s="71">
        <f t="shared" si="88"/>
        <v>-7.5333000000000006</v>
      </c>
      <c r="G928" s="72">
        <f t="shared" si="89"/>
        <v>7.4666999999999994</v>
      </c>
      <c r="H928" s="73">
        <f t="shared" si="90"/>
        <v>22.466699999999999</v>
      </c>
    </row>
    <row r="929" spans="1:8" x14ac:dyDescent="0.25">
      <c r="A929" s="26">
        <v>189</v>
      </c>
      <c r="B929" s="25">
        <v>0.75</v>
      </c>
      <c r="C929" s="68">
        <f t="shared" si="85"/>
        <v>7.5</v>
      </c>
      <c r="D929" s="69">
        <f t="shared" si="86"/>
        <v>-7.5</v>
      </c>
      <c r="E929" s="70">
        <f t="shared" si="87"/>
        <v>-22.5</v>
      </c>
      <c r="F929" s="71">
        <f t="shared" si="88"/>
        <v>-7.5</v>
      </c>
      <c r="G929" s="72">
        <f t="shared" si="89"/>
        <v>7.5</v>
      </c>
      <c r="H929" s="73">
        <f t="shared" si="90"/>
        <v>22.5</v>
      </c>
    </row>
    <row r="930" spans="1:8" x14ac:dyDescent="0.25">
      <c r="A930" s="26">
        <v>190</v>
      </c>
      <c r="B930" s="25">
        <v>0.75111000000000006</v>
      </c>
      <c r="C930" s="68">
        <f t="shared" si="85"/>
        <v>7.4666999999999994</v>
      </c>
      <c r="D930" s="69">
        <f t="shared" si="86"/>
        <v>-7.5333000000000006</v>
      </c>
      <c r="E930" s="70">
        <f t="shared" si="87"/>
        <v>-22.533300000000001</v>
      </c>
      <c r="F930" s="71">
        <f t="shared" si="88"/>
        <v>-7.4666999999999994</v>
      </c>
      <c r="G930" s="72">
        <f t="shared" si="89"/>
        <v>7.5333000000000006</v>
      </c>
      <c r="H930" s="73">
        <f t="shared" si="90"/>
        <v>22.533300000000001</v>
      </c>
    </row>
    <row r="931" spans="1:8" x14ac:dyDescent="0.25">
      <c r="A931" s="26">
        <v>191</v>
      </c>
      <c r="B931" s="25">
        <v>0.75222</v>
      </c>
      <c r="C931" s="68">
        <f t="shared" si="85"/>
        <v>7.4333999999999989</v>
      </c>
      <c r="D931" s="69">
        <f t="shared" si="86"/>
        <v>-7.5666000000000011</v>
      </c>
      <c r="E931" s="70">
        <f t="shared" si="87"/>
        <v>-22.566600000000001</v>
      </c>
      <c r="F931" s="71">
        <f t="shared" si="88"/>
        <v>-7.4333999999999989</v>
      </c>
      <c r="G931" s="72">
        <f t="shared" si="89"/>
        <v>7.5666000000000011</v>
      </c>
      <c r="H931" s="73">
        <f t="shared" si="90"/>
        <v>22.566600000000001</v>
      </c>
    </row>
    <row r="932" spans="1:8" x14ac:dyDescent="0.25">
      <c r="A932" s="26">
        <v>192</v>
      </c>
      <c r="B932" s="25">
        <v>0.75333000000000006</v>
      </c>
      <c r="C932" s="68">
        <f t="shared" si="85"/>
        <v>7.4000999999999983</v>
      </c>
      <c r="D932" s="69">
        <f t="shared" si="86"/>
        <v>-7.5999000000000017</v>
      </c>
      <c r="E932" s="70">
        <f t="shared" si="87"/>
        <v>-22.599900000000002</v>
      </c>
      <c r="F932" s="71">
        <f t="shared" si="88"/>
        <v>-7.4000999999999983</v>
      </c>
      <c r="G932" s="72">
        <f t="shared" si="89"/>
        <v>7.5999000000000017</v>
      </c>
      <c r="H932" s="73">
        <f t="shared" si="90"/>
        <v>22.599900000000002</v>
      </c>
    </row>
    <row r="933" spans="1:8" x14ac:dyDescent="0.25">
      <c r="A933" s="26">
        <v>193</v>
      </c>
      <c r="B933" s="25">
        <v>0.75444</v>
      </c>
      <c r="C933" s="68">
        <f t="shared" si="85"/>
        <v>7.3668000000000013</v>
      </c>
      <c r="D933" s="69">
        <f t="shared" si="86"/>
        <v>-7.6331999999999987</v>
      </c>
      <c r="E933" s="70">
        <f t="shared" si="87"/>
        <v>-22.633199999999999</v>
      </c>
      <c r="F933" s="71">
        <f t="shared" si="88"/>
        <v>-7.3668000000000013</v>
      </c>
      <c r="G933" s="72">
        <f t="shared" si="89"/>
        <v>7.6331999999999987</v>
      </c>
      <c r="H933" s="73">
        <f t="shared" si="90"/>
        <v>22.633199999999999</v>
      </c>
    </row>
    <row r="934" spans="1:8" x14ac:dyDescent="0.25">
      <c r="A934" s="26">
        <v>194</v>
      </c>
      <c r="B934" s="25">
        <v>0.75556000000000001</v>
      </c>
      <c r="C934" s="68">
        <f t="shared" si="85"/>
        <v>7.3331999999999979</v>
      </c>
      <c r="D934" s="69">
        <f t="shared" si="86"/>
        <v>-7.6668000000000021</v>
      </c>
      <c r="E934" s="70">
        <f t="shared" si="87"/>
        <v>-22.666800000000002</v>
      </c>
      <c r="F934" s="71">
        <f t="shared" si="88"/>
        <v>-7.3331999999999979</v>
      </c>
      <c r="G934" s="72">
        <f t="shared" si="89"/>
        <v>7.6668000000000021</v>
      </c>
      <c r="H934" s="73">
        <f t="shared" si="90"/>
        <v>22.666800000000002</v>
      </c>
    </row>
    <row r="935" spans="1:8" x14ac:dyDescent="0.25">
      <c r="A935" s="26">
        <v>195</v>
      </c>
      <c r="B935" s="25">
        <v>0.75666999999999995</v>
      </c>
      <c r="C935" s="68">
        <f t="shared" si="85"/>
        <v>7.2999000000000009</v>
      </c>
      <c r="D935" s="69">
        <f t="shared" si="86"/>
        <v>-7.7000999999999991</v>
      </c>
      <c r="E935" s="70">
        <f t="shared" si="87"/>
        <v>-22.700099999999999</v>
      </c>
      <c r="F935" s="71">
        <f t="shared" si="88"/>
        <v>-7.2999000000000009</v>
      </c>
      <c r="G935" s="72">
        <f t="shared" si="89"/>
        <v>7.7000999999999991</v>
      </c>
      <c r="H935" s="73">
        <f t="shared" si="90"/>
        <v>22.700099999999999</v>
      </c>
    </row>
    <row r="936" spans="1:8" x14ac:dyDescent="0.25">
      <c r="A936" s="26">
        <v>196</v>
      </c>
      <c r="B936" s="25">
        <v>0.75778000000000001</v>
      </c>
      <c r="C936" s="68">
        <f t="shared" si="85"/>
        <v>7.2666000000000004</v>
      </c>
      <c r="D936" s="69">
        <f t="shared" si="86"/>
        <v>-7.7333999999999996</v>
      </c>
      <c r="E936" s="70">
        <f t="shared" si="87"/>
        <v>-22.7334</v>
      </c>
      <c r="F936" s="71">
        <f t="shared" si="88"/>
        <v>-7.2666000000000004</v>
      </c>
      <c r="G936" s="72">
        <f t="shared" si="89"/>
        <v>7.7333999999999996</v>
      </c>
      <c r="H936" s="73">
        <f t="shared" si="90"/>
        <v>22.7334</v>
      </c>
    </row>
    <row r="937" spans="1:8" x14ac:dyDescent="0.25">
      <c r="A937" s="26">
        <v>197</v>
      </c>
      <c r="B937" s="25">
        <v>0.75888999999999995</v>
      </c>
      <c r="C937" s="68">
        <f t="shared" si="85"/>
        <v>7.2332999999999998</v>
      </c>
      <c r="D937" s="69">
        <f t="shared" si="86"/>
        <v>-7.7667000000000002</v>
      </c>
      <c r="E937" s="70">
        <f t="shared" si="87"/>
        <v>-22.7667</v>
      </c>
      <c r="F937" s="71">
        <f t="shared" si="88"/>
        <v>-7.2332999999999998</v>
      </c>
      <c r="G937" s="72">
        <f t="shared" si="89"/>
        <v>7.7667000000000002</v>
      </c>
      <c r="H937" s="73">
        <f t="shared" si="90"/>
        <v>22.7667</v>
      </c>
    </row>
    <row r="938" spans="1:8" x14ac:dyDescent="0.25">
      <c r="A938" s="26">
        <v>198</v>
      </c>
      <c r="B938" s="25">
        <v>0.76</v>
      </c>
      <c r="C938" s="68">
        <f t="shared" si="85"/>
        <v>7.1999999999999993</v>
      </c>
      <c r="D938" s="69">
        <f t="shared" si="86"/>
        <v>-7.8000000000000007</v>
      </c>
      <c r="E938" s="70">
        <f t="shared" si="87"/>
        <v>-22.8</v>
      </c>
      <c r="F938" s="71">
        <f t="shared" si="88"/>
        <v>-7.1999999999999993</v>
      </c>
      <c r="G938" s="72">
        <f t="shared" si="89"/>
        <v>7.8000000000000007</v>
      </c>
      <c r="H938" s="73">
        <f t="shared" si="90"/>
        <v>22.8</v>
      </c>
    </row>
    <row r="939" spans="1:8" x14ac:dyDescent="0.25">
      <c r="A939" s="26">
        <v>199</v>
      </c>
      <c r="B939" s="25">
        <v>0.76110999999999995</v>
      </c>
      <c r="C939" s="68">
        <f t="shared" si="85"/>
        <v>7.1667000000000023</v>
      </c>
      <c r="D939" s="69">
        <f t="shared" si="86"/>
        <v>-7.8332999999999977</v>
      </c>
      <c r="E939" s="70">
        <f t="shared" si="87"/>
        <v>-22.833299999999998</v>
      </c>
      <c r="F939" s="71">
        <f t="shared" si="88"/>
        <v>-7.1667000000000023</v>
      </c>
      <c r="G939" s="72">
        <f t="shared" si="89"/>
        <v>7.8332999999999977</v>
      </c>
      <c r="H939" s="73">
        <f t="shared" si="90"/>
        <v>22.833299999999998</v>
      </c>
    </row>
    <row r="940" spans="1:8" x14ac:dyDescent="0.25">
      <c r="A940" s="26">
        <v>200</v>
      </c>
      <c r="B940" s="25">
        <v>0.76222000000000001</v>
      </c>
      <c r="C940" s="68">
        <f t="shared" si="85"/>
        <v>7.1333999999999982</v>
      </c>
      <c r="D940" s="69">
        <f t="shared" si="86"/>
        <v>-7.8666000000000018</v>
      </c>
      <c r="E940" s="70">
        <f t="shared" si="87"/>
        <v>-22.866600000000002</v>
      </c>
      <c r="F940" s="71">
        <f t="shared" si="88"/>
        <v>-7.1333999999999982</v>
      </c>
      <c r="G940" s="72">
        <f t="shared" si="89"/>
        <v>7.8666000000000018</v>
      </c>
      <c r="H940" s="73">
        <f t="shared" si="90"/>
        <v>22.866600000000002</v>
      </c>
    </row>
    <row r="941" spans="1:8" x14ac:dyDescent="0.25">
      <c r="A941" s="26">
        <v>201</v>
      </c>
      <c r="B941" s="25">
        <v>0.76332999999999995</v>
      </c>
      <c r="C941" s="68">
        <f t="shared" si="85"/>
        <v>7.1001000000000012</v>
      </c>
      <c r="D941" s="69">
        <f t="shared" si="86"/>
        <v>-7.8998999999999988</v>
      </c>
      <c r="E941" s="70">
        <f t="shared" si="87"/>
        <v>-22.899899999999999</v>
      </c>
      <c r="F941" s="71">
        <f t="shared" si="88"/>
        <v>-7.1001000000000012</v>
      </c>
      <c r="G941" s="72">
        <f t="shared" si="89"/>
        <v>7.8998999999999988</v>
      </c>
      <c r="H941" s="73">
        <f t="shared" si="90"/>
        <v>22.899899999999999</v>
      </c>
    </row>
    <row r="942" spans="1:8" x14ac:dyDescent="0.25">
      <c r="A942" s="26">
        <v>202</v>
      </c>
      <c r="B942" s="25">
        <v>0.76444000000000001</v>
      </c>
      <c r="C942" s="68">
        <f t="shared" si="85"/>
        <v>7.0668000000000006</v>
      </c>
      <c r="D942" s="69">
        <f t="shared" si="86"/>
        <v>-7.9331999999999994</v>
      </c>
      <c r="E942" s="70">
        <f t="shared" si="87"/>
        <v>-22.933199999999999</v>
      </c>
      <c r="F942" s="71">
        <f t="shared" si="88"/>
        <v>-7.0668000000000006</v>
      </c>
      <c r="G942" s="72">
        <f t="shared" si="89"/>
        <v>7.9331999999999994</v>
      </c>
      <c r="H942" s="73">
        <f t="shared" si="90"/>
        <v>22.933199999999999</v>
      </c>
    </row>
    <row r="943" spans="1:8" x14ac:dyDescent="0.25">
      <c r="A943" s="26">
        <v>203</v>
      </c>
      <c r="B943" s="25">
        <v>0.76556000000000002</v>
      </c>
      <c r="C943" s="68">
        <f t="shared" si="85"/>
        <v>7.0332000000000008</v>
      </c>
      <c r="D943" s="69">
        <f t="shared" si="86"/>
        <v>-7.9667999999999992</v>
      </c>
      <c r="E943" s="70">
        <f t="shared" si="87"/>
        <v>-22.966799999999999</v>
      </c>
      <c r="F943" s="71">
        <f t="shared" si="88"/>
        <v>-7.0332000000000008</v>
      </c>
      <c r="G943" s="72">
        <f t="shared" si="89"/>
        <v>7.9667999999999992</v>
      </c>
      <c r="H943" s="73">
        <f t="shared" si="90"/>
        <v>22.966799999999999</v>
      </c>
    </row>
    <row r="944" spans="1:8" x14ac:dyDescent="0.25">
      <c r="A944" s="26">
        <v>204</v>
      </c>
      <c r="B944" s="25">
        <v>0.76666999999999996</v>
      </c>
      <c r="C944" s="68">
        <f t="shared" si="85"/>
        <v>6.9999000000000002</v>
      </c>
      <c r="D944" s="69">
        <f t="shared" si="86"/>
        <v>-8.0000999999999998</v>
      </c>
      <c r="E944" s="70">
        <f t="shared" si="87"/>
        <v>-23.0001</v>
      </c>
      <c r="F944" s="71">
        <f t="shared" si="88"/>
        <v>-6.9999000000000002</v>
      </c>
      <c r="G944" s="72">
        <f t="shared" si="89"/>
        <v>8.0000999999999998</v>
      </c>
      <c r="H944" s="73">
        <f t="shared" si="90"/>
        <v>23.0001</v>
      </c>
    </row>
    <row r="945" spans="1:8" x14ac:dyDescent="0.25">
      <c r="A945" s="26">
        <v>205</v>
      </c>
      <c r="B945" s="25">
        <v>0.76778000000000002</v>
      </c>
      <c r="C945" s="68">
        <f t="shared" si="85"/>
        <v>6.9665999999999997</v>
      </c>
      <c r="D945" s="69">
        <f t="shared" si="86"/>
        <v>-8.0334000000000003</v>
      </c>
      <c r="E945" s="70">
        <f t="shared" si="87"/>
        <v>-23.0334</v>
      </c>
      <c r="F945" s="71">
        <f t="shared" si="88"/>
        <v>-6.9665999999999997</v>
      </c>
      <c r="G945" s="72">
        <f t="shared" si="89"/>
        <v>8.0334000000000003</v>
      </c>
      <c r="H945" s="73">
        <f t="shared" si="90"/>
        <v>23.0334</v>
      </c>
    </row>
    <row r="946" spans="1:8" x14ac:dyDescent="0.25">
      <c r="A946" s="26">
        <v>206</v>
      </c>
      <c r="B946" s="25">
        <v>0.76888999999999996</v>
      </c>
      <c r="C946" s="68">
        <f t="shared" si="85"/>
        <v>6.9333000000000027</v>
      </c>
      <c r="D946" s="69">
        <f t="shared" si="86"/>
        <v>-8.0666999999999973</v>
      </c>
      <c r="E946" s="70">
        <f t="shared" si="87"/>
        <v>-23.066699999999997</v>
      </c>
      <c r="F946" s="71">
        <f t="shared" si="88"/>
        <v>-6.9333000000000027</v>
      </c>
      <c r="G946" s="72">
        <f t="shared" si="89"/>
        <v>8.0666999999999973</v>
      </c>
      <c r="H946" s="73">
        <f t="shared" si="90"/>
        <v>23.066699999999997</v>
      </c>
    </row>
    <row r="947" spans="1:8" x14ac:dyDescent="0.25">
      <c r="A947" s="26">
        <v>207</v>
      </c>
      <c r="B947" s="25">
        <v>0.77</v>
      </c>
      <c r="C947" s="68">
        <f t="shared" si="85"/>
        <v>6.8999999999999986</v>
      </c>
      <c r="D947" s="69">
        <f t="shared" si="86"/>
        <v>-8.1000000000000014</v>
      </c>
      <c r="E947" s="70">
        <f t="shared" si="87"/>
        <v>-23.1</v>
      </c>
      <c r="F947" s="71">
        <f t="shared" si="88"/>
        <v>-6.8999999999999986</v>
      </c>
      <c r="G947" s="72">
        <f t="shared" si="89"/>
        <v>8.1000000000000014</v>
      </c>
      <c r="H947" s="73">
        <f t="shared" si="90"/>
        <v>23.1</v>
      </c>
    </row>
    <row r="948" spans="1:8" x14ac:dyDescent="0.25">
      <c r="A948" s="26">
        <v>208</v>
      </c>
      <c r="B948" s="25">
        <v>0.77110999999999996</v>
      </c>
      <c r="C948" s="68">
        <f t="shared" si="85"/>
        <v>6.8667000000000016</v>
      </c>
      <c r="D948" s="69">
        <f t="shared" si="86"/>
        <v>-8.1332999999999984</v>
      </c>
      <c r="E948" s="70">
        <f t="shared" si="87"/>
        <v>-23.133299999999998</v>
      </c>
      <c r="F948" s="71">
        <f t="shared" si="88"/>
        <v>-6.8667000000000016</v>
      </c>
      <c r="G948" s="72">
        <f t="shared" si="89"/>
        <v>8.1332999999999984</v>
      </c>
      <c r="H948" s="73">
        <f t="shared" si="90"/>
        <v>23.133299999999998</v>
      </c>
    </row>
    <row r="949" spans="1:8" x14ac:dyDescent="0.25">
      <c r="A949" s="26">
        <v>209</v>
      </c>
      <c r="B949" s="25">
        <v>0.77222000000000002</v>
      </c>
      <c r="C949" s="68">
        <f t="shared" si="85"/>
        <v>6.833400000000001</v>
      </c>
      <c r="D949" s="69">
        <f t="shared" si="86"/>
        <v>-8.166599999999999</v>
      </c>
      <c r="E949" s="70">
        <f t="shared" si="87"/>
        <v>-23.166599999999999</v>
      </c>
      <c r="F949" s="71">
        <f t="shared" si="88"/>
        <v>-6.833400000000001</v>
      </c>
      <c r="G949" s="72">
        <f t="shared" si="89"/>
        <v>8.166599999999999</v>
      </c>
      <c r="H949" s="73">
        <f t="shared" si="90"/>
        <v>23.166599999999999</v>
      </c>
    </row>
    <row r="950" spans="1:8" x14ac:dyDescent="0.25">
      <c r="A950" s="26">
        <v>210</v>
      </c>
      <c r="B950" s="25">
        <v>0.77332999999999996</v>
      </c>
      <c r="C950" s="68">
        <f t="shared" si="85"/>
        <v>6.8001000000000005</v>
      </c>
      <c r="D950" s="69">
        <f t="shared" si="86"/>
        <v>-8.1998999999999995</v>
      </c>
      <c r="E950" s="70">
        <f t="shared" si="87"/>
        <v>-23.1999</v>
      </c>
      <c r="F950" s="71">
        <f t="shared" si="88"/>
        <v>-6.8001000000000005</v>
      </c>
      <c r="G950" s="72">
        <f t="shared" si="89"/>
        <v>8.1998999999999995</v>
      </c>
      <c r="H950" s="73">
        <f t="shared" si="90"/>
        <v>23.1999</v>
      </c>
    </row>
    <row r="951" spans="1:8" x14ac:dyDescent="0.25">
      <c r="A951" s="26">
        <v>211</v>
      </c>
      <c r="B951" s="25">
        <v>0.77444000000000002</v>
      </c>
      <c r="C951" s="68">
        <f t="shared" si="85"/>
        <v>6.7667999999999999</v>
      </c>
      <c r="D951" s="69">
        <f t="shared" si="86"/>
        <v>-8.2332000000000001</v>
      </c>
      <c r="E951" s="70">
        <f t="shared" si="87"/>
        <v>-23.2332</v>
      </c>
      <c r="F951" s="71">
        <f t="shared" si="88"/>
        <v>-6.7667999999999999</v>
      </c>
      <c r="G951" s="72">
        <f t="shared" si="89"/>
        <v>8.2332000000000001</v>
      </c>
      <c r="H951" s="73">
        <f t="shared" si="90"/>
        <v>23.2332</v>
      </c>
    </row>
    <row r="952" spans="1:8" x14ac:dyDescent="0.25">
      <c r="A952" s="26">
        <v>212</v>
      </c>
      <c r="B952" s="25">
        <v>0.77556000000000003</v>
      </c>
      <c r="C952" s="68">
        <f t="shared" si="85"/>
        <v>6.7332000000000001</v>
      </c>
      <c r="D952" s="69">
        <f t="shared" si="86"/>
        <v>-8.2667999999999999</v>
      </c>
      <c r="E952" s="70">
        <f t="shared" si="87"/>
        <v>-23.2668</v>
      </c>
      <c r="F952" s="71">
        <f t="shared" si="88"/>
        <v>-6.7332000000000001</v>
      </c>
      <c r="G952" s="72">
        <f t="shared" si="89"/>
        <v>8.2667999999999999</v>
      </c>
      <c r="H952" s="73">
        <f t="shared" si="90"/>
        <v>23.2668</v>
      </c>
    </row>
    <row r="953" spans="1:8" x14ac:dyDescent="0.25">
      <c r="A953" s="26">
        <v>213</v>
      </c>
      <c r="B953" s="25">
        <v>0.77666999999999997</v>
      </c>
      <c r="C953" s="68">
        <f t="shared" si="85"/>
        <v>6.6998999999999995</v>
      </c>
      <c r="D953" s="69">
        <f t="shared" si="86"/>
        <v>-8.3001000000000005</v>
      </c>
      <c r="E953" s="70">
        <f t="shared" si="87"/>
        <v>-23.3001</v>
      </c>
      <c r="F953" s="71">
        <f t="shared" si="88"/>
        <v>-6.6998999999999995</v>
      </c>
      <c r="G953" s="72">
        <f t="shared" si="89"/>
        <v>8.3001000000000005</v>
      </c>
      <c r="H953" s="73">
        <f t="shared" si="90"/>
        <v>23.3001</v>
      </c>
    </row>
    <row r="954" spans="1:8" x14ac:dyDescent="0.25">
      <c r="A954" s="26">
        <v>214</v>
      </c>
      <c r="B954" s="25">
        <v>0.77778000000000003</v>
      </c>
      <c r="C954" s="68">
        <f t="shared" si="85"/>
        <v>6.666599999999999</v>
      </c>
      <c r="D954" s="69">
        <f t="shared" si="86"/>
        <v>-8.333400000000001</v>
      </c>
      <c r="E954" s="70">
        <f t="shared" si="87"/>
        <v>-23.333400000000001</v>
      </c>
      <c r="F954" s="71">
        <f t="shared" si="88"/>
        <v>-6.666599999999999</v>
      </c>
      <c r="G954" s="72">
        <f t="shared" si="89"/>
        <v>8.333400000000001</v>
      </c>
      <c r="H954" s="73">
        <f t="shared" si="90"/>
        <v>23.333400000000001</v>
      </c>
    </row>
    <row r="955" spans="1:8" x14ac:dyDescent="0.25">
      <c r="A955" s="26">
        <v>215</v>
      </c>
      <c r="B955" s="25">
        <v>0.77888999999999997</v>
      </c>
      <c r="C955" s="68">
        <f t="shared" si="85"/>
        <v>6.633300000000002</v>
      </c>
      <c r="D955" s="69">
        <f t="shared" si="86"/>
        <v>-8.366699999999998</v>
      </c>
      <c r="E955" s="70">
        <f t="shared" si="87"/>
        <v>-23.366699999999998</v>
      </c>
      <c r="F955" s="71">
        <f t="shared" si="88"/>
        <v>-6.633300000000002</v>
      </c>
      <c r="G955" s="72">
        <f t="shared" si="89"/>
        <v>8.366699999999998</v>
      </c>
      <c r="H955" s="73">
        <f t="shared" si="90"/>
        <v>23.366699999999998</v>
      </c>
    </row>
    <row r="956" spans="1:8" x14ac:dyDescent="0.25">
      <c r="A956" s="26">
        <v>216</v>
      </c>
      <c r="B956" s="25">
        <v>0.78</v>
      </c>
      <c r="C956" s="68">
        <f t="shared" si="85"/>
        <v>6.5999999999999979</v>
      </c>
      <c r="D956" s="69">
        <f t="shared" si="86"/>
        <v>-8.4000000000000021</v>
      </c>
      <c r="E956" s="70">
        <f t="shared" si="87"/>
        <v>-23.400000000000002</v>
      </c>
      <c r="F956" s="71">
        <f t="shared" si="88"/>
        <v>-6.5999999999999979</v>
      </c>
      <c r="G956" s="72">
        <f t="shared" si="89"/>
        <v>8.4000000000000021</v>
      </c>
      <c r="H956" s="73">
        <f t="shared" si="90"/>
        <v>23.400000000000002</v>
      </c>
    </row>
    <row r="957" spans="1:8" x14ac:dyDescent="0.25">
      <c r="A957" s="26">
        <v>217</v>
      </c>
      <c r="B957" s="25">
        <v>0.78100000000000003</v>
      </c>
      <c r="C957" s="68">
        <f t="shared" si="85"/>
        <v>6.57</v>
      </c>
      <c r="D957" s="69">
        <f t="shared" si="86"/>
        <v>-8.43</v>
      </c>
      <c r="E957" s="70">
        <f t="shared" si="87"/>
        <v>-23.43</v>
      </c>
      <c r="F957" s="71">
        <f t="shared" si="88"/>
        <v>-6.57</v>
      </c>
      <c r="G957" s="72">
        <f t="shared" si="89"/>
        <v>8.43</v>
      </c>
      <c r="H957" s="73">
        <f t="shared" si="90"/>
        <v>23.43</v>
      </c>
    </row>
    <row r="958" spans="1:8" x14ac:dyDescent="0.25">
      <c r="A958" s="26">
        <v>218</v>
      </c>
      <c r="B958" s="25">
        <v>0.78200000000000003</v>
      </c>
      <c r="C958" s="68">
        <f t="shared" si="85"/>
        <v>6.5399999999999991</v>
      </c>
      <c r="D958" s="69">
        <f t="shared" si="86"/>
        <v>-8.4600000000000009</v>
      </c>
      <c r="E958" s="70">
        <f t="shared" si="87"/>
        <v>-23.46</v>
      </c>
      <c r="F958" s="71">
        <f t="shared" si="88"/>
        <v>-6.5399999999999991</v>
      </c>
      <c r="G958" s="72">
        <f t="shared" si="89"/>
        <v>8.4600000000000009</v>
      </c>
      <c r="H958" s="73">
        <f t="shared" si="90"/>
        <v>23.46</v>
      </c>
    </row>
    <row r="959" spans="1:8" x14ac:dyDescent="0.25">
      <c r="A959" s="26">
        <v>219</v>
      </c>
      <c r="B959" s="25">
        <v>0.78300000000000003</v>
      </c>
      <c r="C959" s="68">
        <f t="shared" si="85"/>
        <v>6.509999999999998</v>
      </c>
      <c r="D959" s="69">
        <f t="shared" si="86"/>
        <v>-8.490000000000002</v>
      </c>
      <c r="E959" s="70">
        <f t="shared" si="87"/>
        <v>-23.490000000000002</v>
      </c>
      <c r="F959" s="71">
        <f t="shared" si="88"/>
        <v>-6.509999999999998</v>
      </c>
      <c r="G959" s="72">
        <f t="shared" si="89"/>
        <v>8.490000000000002</v>
      </c>
      <c r="H959" s="73">
        <f t="shared" si="90"/>
        <v>23.490000000000002</v>
      </c>
    </row>
    <row r="960" spans="1:8" x14ac:dyDescent="0.25">
      <c r="A960" s="26">
        <v>220</v>
      </c>
      <c r="B960" s="25">
        <v>0.78400000000000003</v>
      </c>
      <c r="C960" s="68">
        <f t="shared" si="85"/>
        <v>6.48</v>
      </c>
      <c r="D960" s="69">
        <f t="shared" si="86"/>
        <v>-8.52</v>
      </c>
      <c r="E960" s="70">
        <f t="shared" si="87"/>
        <v>-23.52</v>
      </c>
      <c r="F960" s="71">
        <f t="shared" si="88"/>
        <v>-6.48</v>
      </c>
      <c r="G960" s="72">
        <f t="shared" si="89"/>
        <v>8.52</v>
      </c>
      <c r="H960" s="73">
        <f t="shared" si="90"/>
        <v>23.52</v>
      </c>
    </row>
    <row r="961" spans="1:8" x14ac:dyDescent="0.25">
      <c r="A961" s="26">
        <v>221</v>
      </c>
      <c r="B961" s="25">
        <v>0.78500000000000003</v>
      </c>
      <c r="C961" s="68">
        <f t="shared" si="85"/>
        <v>6.4499999999999993</v>
      </c>
      <c r="D961" s="69">
        <f t="shared" si="86"/>
        <v>-8.5500000000000007</v>
      </c>
      <c r="E961" s="70">
        <f t="shared" si="87"/>
        <v>-23.55</v>
      </c>
      <c r="F961" s="71">
        <f t="shared" si="88"/>
        <v>-6.4499999999999993</v>
      </c>
      <c r="G961" s="72">
        <f t="shared" si="89"/>
        <v>8.5500000000000007</v>
      </c>
      <c r="H961" s="73">
        <f t="shared" si="90"/>
        <v>23.55</v>
      </c>
    </row>
    <row r="962" spans="1:8" x14ac:dyDescent="0.25">
      <c r="A962" s="26">
        <v>222</v>
      </c>
      <c r="B962" s="25">
        <v>0.78600000000000003</v>
      </c>
      <c r="C962" s="68">
        <f t="shared" si="85"/>
        <v>6.4199999999999982</v>
      </c>
      <c r="D962" s="69">
        <f t="shared" si="86"/>
        <v>-8.5800000000000018</v>
      </c>
      <c r="E962" s="70">
        <f t="shared" si="87"/>
        <v>-23.580000000000002</v>
      </c>
      <c r="F962" s="71">
        <f t="shared" si="88"/>
        <v>-6.4199999999999982</v>
      </c>
      <c r="G962" s="72">
        <f t="shared" si="89"/>
        <v>8.5800000000000018</v>
      </c>
      <c r="H962" s="73">
        <f t="shared" si="90"/>
        <v>23.580000000000002</v>
      </c>
    </row>
    <row r="963" spans="1:8" x14ac:dyDescent="0.25">
      <c r="A963" s="26">
        <v>223</v>
      </c>
      <c r="B963" s="25">
        <v>0.78700000000000003</v>
      </c>
      <c r="C963" s="68">
        <f t="shared" si="85"/>
        <v>6.3900000000000006</v>
      </c>
      <c r="D963" s="69">
        <f t="shared" si="86"/>
        <v>-8.61</v>
      </c>
      <c r="E963" s="70">
        <f t="shared" si="87"/>
        <v>-23.61</v>
      </c>
      <c r="F963" s="71">
        <f t="shared" si="88"/>
        <v>-6.3900000000000006</v>
      </c>
      <c r="G963" s="72">
        <f t="shared" si="89"/>
        <v>8.61</v>
      </c>
      <c r="H963" s="73">
        <f t="shared" si="90"/>
        <v>23.61</v>
      </c>
    </row>
    <row r="964" spans="1:8" x14ac:dyDescent="0.25">
      <c r="A964" s="26">
        <v>224</v>
      </c>
      <c r="B964" s="25">
        <v>0.78800000000000003</v>
      </c>
      <c r="C964" s="68">
        <f t="shared" si="85"/>
        <v>6.3599999999999994</v>
      </c>
      <c r="D964" s="69">
        <f t="shared" si="86"/>
        <v>-8.64</v>
      </c>
      <c r="E964" s="70">
        <f t="shared" si="87"/>
        <v>-23.64</v>
      </c>
      <c r="F964" s="71">
        <f t="shared" si="88"/>
        <v>-6.3599999999999994</v>
      </c>
      <c r="G964" s="72">
        <f t="shared" si="89"/>
        <v>8.64</v>
      </c>
      <c r="H964" s="73">
        <f t="shared" si="90"/>
        <v>23.64</v>
      </c>
    </row>
    <row r="965" spans="1:8" x14ac:dyDescent="0.25">
      <c r="A965" s="26">
        <v>225</v>
      </c>
      <c r="B965" s="25">
        <v>0.78900000000000003</v>
      </c>
      <c r="C965" s="68">
        <f t="shared" si="85"/>
        <v>6.3299999999999983</v>
      </c>
      <c r="D965" s="69">
        <f t="shared" si="86"/>
        <v>-8.6700000000000017</v>
      </c>
      <c r="E965" s="70">
        <f t="shared" si="87"/>
        <v>-23.67</v>
      </c>
      <c r="F965" s="71">
        <f t="shared" si="88"/>
        <v>-6.3299999999999983</v>
      </c>
      <c r="G965" s="72">
        <f t="shared" si="89"/>
        <v>8.6700000000000017</v>
      </c>
      <c r="H965" s="73">
        <f t="shared" si="90"/>
        <v>23.67</v>
      </c>
    </row>
    <row r="966" spans="1:8" x14ac:dyDescent="0.25">
      <c r="A966" s="26">
        <v>226</v>
      </c>
      <c r="B966" s="25">
        <v>0.79</v>
      </c>
      <c r="C966" s="68">
        <f t="shared" si="85"/>
        <v>6.2999999999999972</v>
      </c>
      <c r="D966" s="69">
        <f t="shared" si="86"/>
        <v>-8.7000000000000028</v>
      </c>
      <c r="E966" s="70">
        <f t="shared" si="87"/>
        <v>-23.700000000000003</v>
      </c>
      <c r="F966" s="71">
        <f t="shared" si="88"/>
        <v>-6.2999999999999972</v>
      </c>
      <c r="G966" s="72">
        <f t="shared" si="89"/>
        <v>8.7000000000000028</v>
      </c>
      <c r="H966" s="73">
        <f t="shared" si="90"/>
        <v>23.700000000000003</v>
      </c>
    </row>
    <row r="967" spans="1:8" x14ac:dyDescent="0.25">
      <c r="A967" s="26">
        <v>227</v>
      </c>
      <c r="B967" s="25">
        <v>0.79100000000000004</v>
      </c>
      <c r="C967" s="68">
        <f t="shared" ref="C967:C1030" si="91">KFactor-KFactor*B967</f>
        <v>6.27</v>
      </c>
      <c r="D967" s="69">
        <f t="shared" ref="D967:D1030" si="92">KFactor/2-KFactor*B967</f>
        <v>-8.73</v>
      </c>
      <c r="E967" s="70">
        <f t="shared" ref="E967:E1030" si="93">0-KFactor*B967</f>
        <v>-23.73</v>
      </c>
      <c r="F967" s="71">
        <f t="shared" ref="F967:F1030" si="94">-C967</f>
        <v>-6.27</v>
      </c>
      <c r="G967" s="72">
        <f t="shared" ref="G967:G1030" si="95">-D967</f>
        <v>8.73</v>
      </c>
      <c r="H967" s="73">
        <f t="shared" ref="H967:H1030" si="96">-E967</f>
        <v>23.73</v>
      </c>
    </row>
    <row r="968" spans="1:8" x14ac:dyDescent="0.25">
      <c r="A968" s="26">
        <v>228</v>
      </c>
      <c r="B968" s="25">
        <v>0.79200000000000004</v>
      </c>
      <c r="C968" s="68">
        <f t="shared" si="91"/>
        <v>6.2399999999999984</v>
      </c>
      <c r="D968" s="69">
        <f t="shared" si="92"/>
        <v>-8.7600000000000016</v>
      </c>
      <c r="E968" s="70">
        <f t="shared" si="93"/>
        <v>-23.76</v>
      </c>
      <c r="F968" s="71">
        <f t="shared" si="94"/>
        <v>-6.2399999999999984</v>
      </c>
      <c r="G968" s="72">
        <f t="shared" si="95"/>
        <v>8.7600000000000016</v>
      </c>
      <c r="H968" s="73">
        <f t="shared" si="96"/>
        <v>23.76</v>
      </c>
    </row>
    <row r="969" spans="1:8" x14ac:dyDescent="0.25">
      <c r="A969" s="26">
        <v>229</v>
      </c>
      <c r="B969" s="25">
        <v>0.79300000000000004</v>
      </c>
      <c r="C969" s="68">
        <f t="shared" si="91"/>
        <v>6.2099999999999973</v>
      </c>
      <c r="D969" s="69">
        <f t="shared" si="92"/>
        <v>-8.7900000000000027</v>
      </c>
      <c r="E969" s="70">
        <f t="shared" si="93"/>
        <v>-23.790000000000003</v>
      </c>
      <c r="F969" s="71">
        <f t="shared" si="94"/>
        <v>-6.2099999999999973</v>
      </c>
      <c r="G969" s="72">
        <f t="shared" si="95"/>
        <v>8.7900000000000027</v>
      </c>
      <c r="H969" s="73">
        <f t="shared" si="96"/>
        <v>23.790000000000003</v>
      </c>
    </row>
    <row r="970" spans="1:8" x14ac:dyDescent="0.25">
      <c r="A970" s="26">
        <v>230</v>
      </c>
      <c r="B970" s="25">
        <v>0.79400000000000004</v>
      </c>
      <c r="C970" s="68">
        <f t="shared" si="91"/>
        <v>6.18</v>
      </c>
      <c r="D970" s="69">
        <f t="shared" si="92"/>
        <v>-8.82</v>
      </c>
      <c r="E970" s="70">
        <f t="shared" si="93"/>
        <v>-23.82</v>
      </c>
      <c r="F970" s="71">
        <f t="shared" si="94"/>
        <v>-6.18</v>
      </c>
      <c r="G970" s="72">
        <f t="shared" si="95"/>
        <v>8.82</v>
      </c>
      <c r="H970" s="73">
        <f t="shared" si="96"/>
        <v>23.82</v>
      </c>
    </row>
    <row r="971" spans="1:8" x14ac:dyDescent="0.25">
      <c r="A971" s="26">
        <v>231</v>
      </c>
      <c r="B971" s="25">
        <v>0.79500000000000004</v>
      </c>
      <c r="C971" s="68">
        <f t="shared" si="91"/>
        <v>6.1499999999999986</v>
      </c>
      <c r="D971" s="69">
        <f t="shared" si="92"/>
        <v>-8.8500000000000014</v>
      </c>
      <c r="E971" s="70">
        <f t="shared" si="93"/>
        <v>-23.85</v>
      </c>
      <c r="F971" s="71">
        <f t="shared" si="94"/>
        <v>-6.1499999999999986</v>
      </c>
      <c r="G971" s="72">
        <f t="shared" si="95"/>
        <v>8.8500000000000014</v>
      </c>
      <c r="H971" s="73">
        <f t="shared" si="96"/>
        <v>23.85</v>
      </c>
    </row>
    <row r="972" spans="1:8" x14ac:dyDescent="0.25">
      <c r="A972" s="26">
        <v>232</v>
      </c>
      <c r="B972" s="25">
        <v>0.79600000000000004</v>
      </c>
      <c r="C972" s="68">
        <f t="shared" si="91"/>
        <v>6.1199999999999974</v>
      </c>
      <c r="D972" s="69">
        <f t="shared" si="92"/>
        <v>-8.8800000000000026</v>
      </c>
      <c r="E972" s="70">
        <f t="shared" si="93"/>
        <v>-23.880000000000003</v>
      </c>
      <c r="F972" s="71">
        <f t="shared" si="94"/>
        <v>-6.1199999999999974</v>
      </c>
      <c r="G972" s="72">
        <f t="shared" si="95"/>
        <v>8.8800000000000026</v>
      </c>
      <c r="H972" s="73">
        <f t="shared" si="96"/>
        <v>23.880000000000003</v>
      </c>
    </row>
    <row r="973" spans="1:8" x14ac:dyDescent="0.25">
      <c r="A973" s="26">
        <v>233</v>
      </c>
      <c r="B973" s="25">
        <v>0.79700000000000004</v>
      </c>
      <c r="C973" s="68">
        <f t="shared" si="91"/>
        <v>6.09</v>
      </c>
      <c r="D973" s="69">
        <f t="shared" si="92"/>
        <v>-8.91</v>
      </c>
      <c r="E973" s="70">
        <f t="shared" si="93"/>
        <v>-23.91</v>
      </c>
      <c r="F973" s="71">
        <f t="shared" si="94"/>
        <v>-6.09</v>
      </c>
      <c r="G973" s="72">
        <f t="shared" si="95"/>
        <v>8.91</v>
      </c>
      <c r="H973" s="73">
        <f t="shared" si="96"/>
        <v>23.91</v>
      </c>
    </row>
    <row r="974" spans="1:8" x14ac:dyDescent="0.25">
      <c r="A974" s="26">
        <v>234</v>
      </c>
      <c r="B974" s="25">
        <v>0.79800000000000004</v>
      </c>
      <c r="C974" s="68">
        <f t="shared" si="91"/>
        <v>6.0599999999999987</v>
      </c>
      <c r="D974" s="69">
        <f t="shared" si="92"/>
        <v>-8.9400000000000013</v>
      </c>
      <c r="E974" s="70">
        <f t="shared" si="93"/>
        <v>-23.94</v>
      </c>
      <c r="F974" s="71">
        <f t="shared" si="94"/>
        <v>-6.0599999999999987</v>
      </c>
      <c r="G974" s="72">
        <f t="shared" si="95"/>
        <v>8.9400000000000013</v>
      </c>
      <c r="H974" s="73">
        <f t="shared" si="96"/>
        <v>23.94</v>
      </c>
    </row>
    <row r="975" spans="1:8" x14ac:dyDescent="0.25">
      <c r="A975" s="26">
        <v>235</v>
      </c>
      <c r="B975" s="25">
        <v>0.79900000000000004</v>
      </c>
      <c r="C975" s="68">
        <f t="shared" si="91"/>
        <v>6.0299999999999976</v>
      </c>
      <c r="D975" s="69">
        <f t="shared" si="92"/>
        <v>-8.9700000000000024</v>
      </c>
      <c r="E975" s="70">
        <f t="shared" si="93"/>
        <v>-23.970000000000002</v>
      </c>
      <c r="F975" s="71">
        <f t="shared" si="94"/>
        <v>-6.0299999999999976</v>
      </c>
      <c r="G975" s="72">
        <f t="shared" si="95"/>
        <v>8.9700000000000024</v>
      </c>
      <c r="H975" s="73">
        <f t="shared" si="96"/>
        <v>23.970000000000002</v>
      </c>
    </row>
    <row r="976" spans="1:8" x14ac:dyDescent="0.25">
      <c r="A976" s="26">
        <v>236</v>
      </c>
      <c r="B976" s="25">
        <v>0.8</v>
      </c>
      <c r="C976" s="68">
        <f t="shared" si="91"/>
        <v>6</v>
      </c>
      <c r="D976" s="69">
        <f t="shared" si="92"/>
        <v>-9</v>
      </c>
      <c r="E976" s="70">
        <f t="shared" si="93"/>
        <v>-24</v>
      </c>
      <c r="F976" s="71">
        <f t="shared" si="94"/>
        <v>-6</v>
      </c>
      <c r="G976" s="72">
        <f t="shared" si="95"/>
        <v>9</v>
      </c>
      <c r="H976" s="73">
        <f t="shared" si="96"/>
        <v>24</v>
      </c>
    </row>
    <row r="977" spans="1:8" x14ac:dyDescent="0.25">
      <c r="A977" s="26">
        <v>237</v>
      </c>
      <c r="B977" s="25">
        <v>0.80100000000000005</v>
      </c>
      <c r="C977" s="68">
        <f t="shared" si="91"/>
        <v>5.9699999999999989</v>
      </c>
      <c r="D977" s="69">
        <f t="shared" si="92"/>
        <v>-9.0300000000000011</v>
      </c>
      <c r="E977" s="70">
        <f t="shared" si="93"/>
        <v>-24.03</v>
      </c>
      <c r="F977" s="71">
        <f t="shared" si="94"/>
        <v>-5.9699999999999989</v>
      </c>
      <c r="G977" s="72">
        <f t="shared" si="95"/>
        <v>9.0300000000000011</v>
      </c>
      <c r="H977" s="73">
        <f t="shared" si="96"/>
        <v>24.03</v>
      </c>
    </row>
    <row r="978" spans="1:8" x14ac:dyDescent="0.25">
      <c r="A978" s="26">
        <v>238</v>
      </c>
      <c r="B978" s="25">
        <v>0.80200000000000005</v>
      </c>
      <c r="C978" s="68">
        <f t="shared" si="91"/>
        <v>5.9399999999999977</v>
      </c>
      <c r="D978" s="69">
        <f t="shared" si="92"/>
        <v>-9.0600000000000023</v>
      </c>
      <c r="E978" s="70">
        <f t="shared" si="93"/>
        <v>-24.060000000000002</v>
      </c>
      <c r="F978" s="71">
        <f t="shared" si="94"/>
        <v>-5.9399999999999977</v>
      </c>
      <c r="G978" s="72">
        <f t="shared" si="95"/>
        <v>9.0600000000000023</v>
      </c>
      <c r="H978" s="73">
        <f t="shared" si="96"/>
        <v>24.060000000000002</v>
      </c>
    </row>
    <row r="979" spans="1:8" x14ac:dyDescent="0.25">
      <c r="A979" s="26">
        <v>239</v>
      </c>
      <c r="B979" s="25">
        <v>0.80300000000000005</v>
      </c>
      <c r="C979" s="68">
        <f t="shared" si="91"/>
        <v>5.91</v>
      </c>
      <c r="D979" s="69">
        <f t="shared" si="92"/>
        <v>-9.09</v>
      </c>
      <c r="E979" s="70">
        <f t="shared" si="93"/>
        <v>-24.09</v>
      </c>
      <c r="F979" s="71">
        <f t="shared" si="94"/>
        <v>-5.91</v>
      </c>
      <c r="G979" s="72">
        <f t="shared" si="95"/>
        <v>9.09</v>
      </c>
      <c r="H979" s="73">
        <f t="shared" si="96"/>
        <v>24.09</v>
      </c>
    </row>
    <row r="980" spans="1:8" x14ac:dyDescent="0.25">
      <c r="A980" s="26">
        <v>240</v>
      </c>
      <c r="B980" s="25">
        <v>0.80400000000000005</v>
      </c>
      <c r="C980" s="68">
        <f t="shared" si="91"/>
        <v>5.879999999999999</v>
      </c>
      <c r="D980" s="69">
        <f t="shared" si="92"/>
        <v>-9.120000000000001</v>
      </c>
      <c r="E980" s="70">
        <f t="shared" si="93"/>
        <v>-24.12</v>
      </c>
      <c r="F980" s="71">
        <f t="shared" si="94"/>
        <v>-5.879999999999999</v>
      </c>
      <c r="G980" s="72">
        <f t="shared" si="95"/>
        <v>9.120000000000001</v>
      </c>
      <c r="H980" s="73">
        <f t="shared" si="96"/>
        <v>24.12</v>
      </c>
    </row>
    <row r="981" spans="1:8" x14ac:dyDescent="0.25">
      <c r="A981" s="26">
        <v>241</v>
      </c>
      <c r="B981" s="25">
        <v>0.80500000000000005</v>
      </c>
      <c r="C981" s="68">
        <f t="shared" si="91"/>
        <v>5.8499999999999979</v>
      </c>
      <c r="D981" s="69">
        <f t="shared" si="92"/>
        <v>-9.1500000000000021</v>
      </c>
      <c r="E981" s="70">
        <f t="shared" si="93"/>
        <v>-24.150000000000002</v>
      </c>
      <c r="F981" s="71">
        <f t="shared" si="94"/>
        <v>-5.8499999999999979</v>
      </c>
      <c r="G981" s="72">
        <f t="shared" si="95"/>
        <v>9.1500000000000021</v>
      </c>
      <c r="H981" s="73">
        <f t="shared" si="96"/>
        <v>24.150000000000002</v>
      </c>
    </row>
    <row r="982" spans="1:8" x14ac:dyDescent="0.25">
      <c r="A982" s="26">
        <v>242</v>
      </c>
      <c r="B982" s="25">
        <v>0.80600000000000005</v>
      </c>
      <c r="C982" s="68">
        <f t="shared" si="91"/>
        <v>5.82</v>
      </c>
      <c r="D982" s="69">
        <f t="shared" si="92"/>
        <v>-9.18</v>
      </c>
      <c r="E982" s="70">
        <f t="shared" si="93"/>
        <v>-24.18</v>
      </c>
      <c r="F982" s="71">
        <f t="shared" si="94"/>
        <v>-5.82</v>
      </c>
      <c r="G982" s="72">
        <f t="shared" si="95"/>
        <v>9.18</v>
      </c>
      <c r="H982" s="73">
        <f t="shared" si="96"/>
        <v>24.18</v>
      </c>
    </row>
    <row r="983" spans="1:8" x14ac:dyDescent="0.25">
      <c r="A983" s="26">
        <v>243</v>
      </c>
      <c r="B983" s="25">
        <v>0.80700000000000005</v>
      </c>
      <c r="C983" s="68">
        <f t="shared" si="91"/>
        <v>5.7899999999999991</v>
      </c>
      <c r="D983" s="69">
        <f t="shared" si="92"/>
        <v>-9.2100000000000009</v>
      </c>
      <c r="E983" s="70">
        <f t="shared" si="93"/>
        <v>-24.21</v>
      </c>
      <c r="F983" s="71">
        <f t="shared" si="94"/>
        <v>-5.7899999999999991</v>
      </c>
      <c r="G983" s="72">
        <f t="shared" si="95"/>
        <v>9.2100000000000009</v>
      </c>
      <c r="H983" s="73">
        <f t="shared" si="96"/>
        <v>24.21</v>
      </c>
    </row>
    <row r="984" spans="1:8" x14ac:dyDescent="0.25">
      <c r="A984" s="26">
        <v>244</v>
      </c>
      <c r="B984" s="25">
        <v>0.80800000000000005</v>
      </c>
      <c r="C984" s="68">
        <f t="shared" si="91"/>
        <v>5.759999999999998</v>
      </c>
      <c r="D984" s="69">
        <f t="shared" si="92"/>
        <v>-9.240000000000002</v>
      </c>
      <c r="E984" s="70">
        <f t="shared" si="93"/>
        <v>-24.240000000000002</v>
      </c>
      <c r="F984" s="71">
        <f t="shared" si="94"/>
        <v>-5.759999999999998</v>
      </c>
      <c r="G984" s="72">
        <f t="shared" si="95"/>
        <v>9.240000000000002</v>
      </c>
      <c r="H984" s="73">
        <f t="shared" si="96"/>
        <v>24.240000000000002</v>
      </c>
    </row>
    <row r="985" spans="1:8" x14ac:dyDescent="0.25">
      <c r="A985" s="26">
        <v>245</v>
      </c>
      <c r="B985" s="25">
        <v>0.80900000000000005</v>
      </c>
      <c r="C985" s="68">
        <f t="shared" si="91"/>
        <v>5.7299999999999969</v>
      </c>
      <c r="D985" s="69">
        <f t="shared" si="92"/>
        <v>-9.2700000000000031</v>
      </c>
      <c r="E985" s="70">
        <f t="shared" si="93"/>
        <v>-24.270000000000003</v>
      </c>
      <c r="F985" s="71">
        <f t="shared" si="94"/>
        <v>-5.7299999999999969</v>
      </c>
      <c r="G985" s="72">
        <f t="shared" si="95"/>
        <v>9.2700000000000031</v>
      </c>
      <c r="H985" s="73">
        <f t="shared" si="96"/>
        <v>24.270000000000003</v>
      </c>
    </row>
    <row r="986" spans="1:8" x14ac:dyDescent="0.25">
      <c r="A986" s="26">
        <v>246</v>
      </c>
      <c r="B986" s="25">
        <v>0.81</v>
      </c>
      <c r="C986" s="68">
        <f t="shared" si="91"/>
        <v>5.6999999999999993</v>
      </c>
      <c r="D986" s="69">
        <f t="shared" si="92"/>
        <v>-9.3000000000000007</v>
      </c>
      <c r="E986" s="70">
        <f t="shared" si="93"/>
        <v>-24.3</v>
      </c>
      <c r="F986" s="71">
        <f t="shared" si="94"/>
        <v>-5.6999999999999993</v>
      </c>
      <c r="G986" s="72">
        <f t="shared" si="95"/>
        <v>9.3000000000000007</v>
      </c>
      <c r="H986" s="73">
        <f t="shared" si="96"/>
        <v>24.3</v>
      </c>
    </row>
    <row r="987" spans="1:8" x14ac:dyDescent="0.25">
      <c r="A987" s="26">
        <v>247</v>
      </c>
      <c r="B987" s="25">
        <v>0.81091000000000002</v>
      </c>
      <c r="C987" s="68">
        <f t="shared" si="91"/>
        <v>5.672699999999999</v>
      </c>
      <c r="D987" s="69">
        <f t="shared" si="92"/>
        <v>-9.327300000000001</v>
      </c>
      <c r="E987" s="70">
        <f t="shared" si="93"/>
        <v>-24.327300000000001</v>
      </c>
      <c r="F987" s="71">
        <f t="shared" si="94"/>
        <v>-5.672699999999999</v>
      </c>
      <c r="G987" s="72">
        <f t="shared" si="95"/>
        <v>9.327300000000001</v>
      </c>
      <c r="H987" s="73">
        <f t="shared" si="96"/>
        <v>24.327300000000001</v>
      </c>
    </row>
    <row r="988" spans="1:8" x14ac:dyDescent="0.25">
      <c r="A988" s="26">
        <v>248</v>
      </c>
      <c r="B988" s="25">
        <v>0.81181999999999999</v>
      </c>
      <c r="C988" s="68">
        <f t="shared" si="91"/>
        <v>5.6454000000000022</v>
      </c>
      <c r="D988" s="69">
        <f t="shared" si="92"/>
        <v>-9.3545999999999978</v>
      </c>
      <c r="E988" s="70">
        <f t="shared" si="93"/>
        <v>-24.354599999999998</v>
      </c>
      <c r="F988" s="71">
        <f t="shared" si="94"/>
        <v>-5.6454000000000022</v>
      </c>
      <c r="G988" s="72">
        <f t="shared" si="95"/>
        <v>9.3545999999999978</v>
      </c>
      <c r="H988" s="73">
        <f t="shared" si="96"/>
        <v>24.354599999999998</v>
      </c>
    </row>
    <row r="989" spans="1:8" x14ac:dyDescent="0.25">
      <c r="A989" s="26">
        <v>249</v>
      </c>
      <c r="B989" s="25">
        <v>0.81272999999999995</v>
      </c>
      <c r="C989" s="68">
        <f t="shared" si="91"/>
        <v>5.6181000000000019</v>
      </c>
      <c r="D989" s="69">
        <f t="shared" si="92"/>
        <v>-9.3818999999999981</v>
      </c>
      <c r="E989" s="70">
        <f t="shared" si="93"/>
        <v>-24.381899999999998</v>
      </c>
      <c r="F989" s="71">
        <f t="shared" si="94"/>
        <v>-5.6181000000000019</v>
      </c>
      <c r="G989" s="72">
        <f t="shared" si="95"/>
        <v>9.3818999999999981</v>
      </c>
      <c r="H989" s="73">
        <f t="shared" si="96"/>
        <v>24.381899999999998</v>
      </c>
    </row>
    <row r="990" spans="1:8" x14ac:dyDescent="0.25">
      <c r="A990" s="26">
        <v>250</v>
      </c>
      <c r="B990" s="25">
        <v>0.81364000000000003</v>
      </c>
      <c r="C990" s="68">
        <f t="shared" si="91"/>
        <v>5.590799999999998</v>
      </c>
      <c r="D990" s="69">
        <f t="shared" si="92"/>
        <v>-9.409200000000002</v>
      </c>
      <c r="E990" s="70">
        <f t="shared" si="93"/>
        <v>-24.409200000000002</v>
      </c>
      <c r="F990" s="71">
        <f t="shared" si="94"/>
        <v>-5.590799999999998</v>
      </c>
      <c r="G990" s="72">
        <f t="shared" si="95"/>
        <v>9.409200000000002</v>
      </c>
      <c r="H990" s="73">
        <f t="shared" si="96"/>
        <v>24.409200000000002</v>
      </c>
    </row>
    <row r="991" spans="1:8" x14ac:dyDescent="0.25">
      <c r="A991" s="26">
        <v>251</v>
      </c>
      <c r="B991" s="25">
        <v>0.81455</v>
      </c>
      <c r="C991" s="68">
        <f t="shared" si="91"/>
        <v>5.5635000000000012</v>
      </c>
      <c r="D991" s="69">
        <f t="shared" si="92"/>
        <v>-9.4364999999999988</v>
      </c>
      <c r="E991" s="70">
        <f t="shared" si="93"/>
        <v>-24.436499999999999</v>
      </c>
      <c r="F991" s="71">
        <f t="shared" si="94"/>
        <v>-5.5635000000000012</v>
      </c>
      <c r="G991" s="72">
        <f t="shared" si="95"/>
        <v>9.4364999999999988</v>
      </c>
      <c r="H991" s="73">
        <f t="shared" si="96"/>
        <v>24.436499999999999</v>
      </c>
    </row>
    <row r="992" spans="1:8" x14ac:dyDescent="0.25">
      <c r="A992" s="26">
        <v>252</v>
      </c>
      <c r="B992" s="25">
        <v>0.81545000000000001</v>
      </c>
      <c r="C992" s="68">
        <f t="shared" si="91"/>
        <v>5.5365000000000002</v>
      </c>
      <c r="D992" s="69">
        <f t="shared" si="92"/>
        <v>-9.4634999999999998</v>
      </c>
      <c r="E992" s="70">
        <f t="shared" si="93"/>
        <v>-24.4635</v>
      </c>
      <c r="F992" s="71">
        <f t="shared" si="94"/>
        <v>-5.5365000000000002</v>
      </c>
      <c r="G992" s="72">
        <f t="shared" si="95"/>
        <v>9.4634999999999998</v>
      </c>
      <c r="H992" s="73">
        <f t="shared" si="96"/>
        <v>24.4635</v>
      </c>
    </row>
    <row r="993" spans="1:8" x14ac:dyDescent="0.25">
      <c r="A993" s="26">
        <v>253</v>
      </c>
      <c r="B993" s="25">
        <v>0.81635999999999997</v>
      </c>
      <c r="C993" s="68">
        <f t="shared" si="91"/>
        <v>5.5091999999999999</v>
      </c>
      <c r="D993" s="69">
        <f t="shared" si="92"/>
        <v>-9.4908000000000001</v>
      </c>
      <c r="E993" s="70">
        <f t="shared" si="93"/>
        <v>-24.4908</v>
      </c>
      <c r="F993" s="71">
        <f t="shared" si="94"/>
        <v>-5.5091999999999999</v>
      </c>
      <c r="G993" s="72">
        <f t="shared" si="95"/>
        <v>9.4908000000000001</v>
      </c>
      <c r="H993" s="73">
        <f t="shared" si="96"/>
        <v>24.4908</v>
      </c>
    </row>
    <row r="994" spans="1:8" x14ac:dyDescent="0.25">
      <c r="A994" s="26">
        <v>254</v>
      </c>
      <c r="B994" s="25">
        <v>0.81727000000000005</v>
      </c>
      <c r="C994" s="68">
        <f t="shared" si="91"/>
        <v>5.4818999999999996</v>
      </c>
      <c r="D994" s="69">
        <f t="shared" si="92"/>
        <v>-9.5181000000000004</v>
      </c>
      <c r="E994" s="70">
        <f t="shared" si="93"/>
        <v>-24.5181</v>
      </c>
      <c r="F994" s="71">
        <f t="shared" si="94"/>
        <v>-5.4818999999999996</v>
      </c>
      <c r="G994" s="72">
        <f t="shared" si="95"/>
        <v>9.5181000000000004</v>
      </c>
      <c r="H994" s="73">
        <f t="shared" si="96"/>
        <v>24.5181</v>
      </c>
    </row>
    <row r="995" spans="1:8" x14ac:dyDescent="0.25">
      <c r="A995" s="26">
        <v>255</v>
      </c>
      <c r="B995" s="25">
        <v>0.81818000000000002</v>
      </c>
      <c r="C995" s="68">
        <f t="shared" si="91"/>
        <v>5.4545999999999992</v>
      </c>
      <c r="D995" s="69">
        <f t="shared" si="92"/>
        <v>-9.5454000000000008</v>
      </c>
      <c r="E995" s="70">
        <f t="shared" si="93"/>
        <v>-24.545400000000001</v>
      </c>
      <c r="F995" s="71">
        <f t="shared" si="94"/>
        <v>-5.4545999999999992</v>
      </c>
      <c r="G995" s="72">
        <f t="shared" si="95"/>
        <v>9.5454000000000008</v>
      </c>
      <c r="H995" s="73">
        <f t="shared" si="96"/>
        <v>24.545400000000001</v>
      </c>
    </row>
    <row r="996" spans="1:8" x14ac:dyDescent="0.25">
      <c r="A996" s="26">
        <v>256</v>
      </c>
      <c r="B996" s="25">
        <v>0.81908999999999998</v>
      </c>
      <c r="C996" s="68">
        <f t="shared" si="91"/>
        <v>5.4272999999999989</v>
      </c>
      <c r="D996" s="69">
        <f t="shared" si="92"/>
        <v>-9.5727000000000011</v>
      </c>
      <c r="E996" s="70">
        <f t="shared" si="93"/>
        <v>-24.572700000000001</v>
      </c>
      <c r="F996" s="71">
        <f t="shared" si="94"/>
        <v>-5.4272999999999989</v>
      </c>
      <c r="G996" s="72">
        <f t="shared" si="95"/>
        <v>9.5727000000000011</v>
      </c>
      <c r="H996" s="73">
        <f t="shared" si="96"/>
        <v>24.572700000000001</v>
      </c>
    </row>
    <row r="997" spans="1:8" x14ac:dyDescent="0.25">
      <c r="A997" s="26">
        <v>257</v>
      </c>
      <c r="B997" s="25">
        <v>0.82</v>
      </c>
      <c r="C997" s="68">
        <f t="shared" si="91"/>
        <v>5.4000000000000021</v>
      </c>
      <c r="D997" s="69">
        <f t="shared" si="92"/>
        <v>-9.5999999999999979</v>
      </c>
      <c r="E997" s="70">
        <f t="shared" si="93"/>
        <v>-24.599999999999998</v>
      </c>
      <c r="F997" s="71">
        <f t="shared" si="94"/>
        <v>-5.4000000000000021</v>
      </c>
      <c r="G997" s="72">
        <f t="shared" si="95"/>
        <v>9.5999999999999979</v>
      </c>
      <c r="H997" s="73">
        <f t="shared" si="96"/>
        <v>24.599999999999998</v>
      </c>
    </row>
    <row r="998" spans="1:8" x14ac:dyDescent="0.25">
      <c r="A998" s="26">
        <v>258</v>
      </c>
      <c r="B998" s="25">
        <v>0.82091000000000003</v>
      </c>
      <c r="C998" s="68">
        <f t="shared" si="91"/>
        <v>5.3726999999999983</v>
      </c>
      <c r="D998" s="69">
        <f t="shared" si="92"/>
        <v>-9.6273000000000017</v>
      </c>
      <c r="E998" s="70">
        <f t="shared" si="93"/>
        <v>-24.627300000000002</v>
      </c>
      <c r="F998" s="71">
        <f t="shared" si="94"/>
        <v>-5.3726999999999983</v>
      </c>
      <c r="G998" s="72">
        <f t="shared" si="95"/>
        <v>9.6273000000000017</v>
      </c>
      <c r="H998" s="73">
        <f t="shared" si="96"/>
        <v>24.627300000000002</v>
      </c>
    </row>
    <row r="999" spans="1:8" x14ac:dyDescent="0.25">
      <c r="A999" s="26">
        <v>259</v>
      </c>
      <c r="B999" s="25">
        <v>0.82181999999999999</v>
      </c>
      <c r="C999" s="68">
        <f t="shared" si="91"/>
        <v>5.3454000000000015</v>
      </c>
      <c r="D999" s="69">
        <f t="shared" si="92"/>
        <v>-9.6545999999999985</v>
      </c>
      <c r="E999" s="70">
        <f t="shared" si="93"/>
        <v>-24.654599999999999</v>
      </c>
      <c r="F999" s="71">
        <f t="shared" si="94"/>
        <v>-5.3454000000000015</v>
      </c>
      <c r="G999" s="72">
        <f t="shared" si="95"/>
        <v>9.6545999999999985</v>
      </c>
      <c r="H999" s="73">
        <f t="shared" si="96"/>
        <v>24.654599999999999</v>
      </c>
    </row>
    <row r="1000" spans="1:8" x14ac:dyDescent="0.25">
      <c r="A1000" s="26">
        <v>260</v>
      </c>
      <c r="B1000" s="25">
        <v>0.82272999999999996</v>
      </c>
      <c r="C1000" s="68">
        <f t="shared" si="91"/>
        <v>5.3181000000000012</v>
      </c>
      <c r="D1000" s="69">
        <f t="shared" si="92"/>
        <v>-9.6818999999999988</v>
      </c>
      <c r="E1000" s="70">
        <f t="shared" si="93"/>
        <v>-24.681899999999999</v>
      </c>
      <c r="F1000" s="71">
        <f t="shared" si="94"/>
        <v>-5.3181000000000012</v>
      </c>
      <c r="G1000" s="72">
        <f t="shared" si="95"/>
        <v>9.6818999999999988</v>
      </c>
      <c r="H1000" s="73">
        <f t="shared" si="96"/>
        <v>24.681899999999999</v>
      </c>
    </row>
    <row r="1001" spans="1:8" x14ac:dyDescent="0.25">
      <c r="A1001" s="26">
        <v>261</v>
      </c>
      <c r="B1001" s="25">
        <v>0.82364000000000004</v>
      </c>
      <c r="C1001" s="68">
        <f t="shared" si="91"/>
        <v>5.2907999999999973</v>
      </c>
      <c r="D1001" s="69">
        <f t="shared" si="92"/>
        <v>-9.7092000000000027</v>
      </c>
      <c r="E1001" s="70">
        <f t="shared" si="93"/>
        <v>-24.709200000000003</v>
      </c>
      <c r="F1001" s="71">
        <f t="shared" si="94"/>
        <v>-5.2907999999999973</v>
      </c>
      <c r="G1001" s="72">
        <f t="shared" si="95"/>
        <v>9.7092000000000027</v>
      </c>
      <c r="H1001" s="73">
        <f t="shared" si="96"/>
        <v>24.709200000000003</v>
      </c>
    </row>
    <row r="1002" spans="1:8" x14ac:dyDescent="0.25">
      <c r="A1002" s="26">
        <v>262</v>
      </c>
      <c r="B1002" s="25">
        <v>0.82455000000000001</v>
      </c>
      <c r="C1002" s="68">
        <f t="shared" si="91"/>
        <v>5.2635000000000005</v>
      </c>
      <c r="D1002" s="69">
        <f t="shared" si="92"/>
        <v>-9.7364999999999995</v>
      </c>
      <c r="E1002" s="70">
        <f t="shared" si="93"/>
        <v>-24.736499999999999</v>
      </c>
      <c r="F1002" s="71">
        <f t="shared" si="94"/>
        <v>-5.2635000000000005</v>
      </c>
      <c r="G1002" s="72">
        <f t="shared" si="95"/>
        <v>9.7364999999999995</v>
      </c>
      <c r="H1002" s="73">
        <f t="shared" si="96"/>
        <v>24.736499999999999</v>
      </c>
    </row>
    <row r="1003" spans="1:8" x14ac:dyDescent="0.25">
      <c r="A1003" s="26">
        <v>263</v>
      </c>
      <c r="B1003" s="25">
        <v>0.82545000000000002</v>
      </c>
      <c r="C1003" s="68">
        <f t="shared" si="91"/>
        <v>5.2364999999999995</v>
      </c>
      <c r="D1003" s="69">
        <f t="shared" si="92"/>
        <v>-9.7635000000000005</v>
      </c>
      <c r="E1003" s="70">
        <f t="shared" si="93"/>
        <v>-24.763500000000001</v>
      </c>
      <c r="F1003" s="71">
        <f t="shared" si="94"/>
        <v>-5.2364999999999995</v>
      </c>
      <c r="G1003" s="72">
        <f t="shared" si="95"/>
        <v>9.7635000000000005</v>
      </c>
      <c r="H1003" s="73">
        <f t="shared" si="96"/>
        <v>24.763500000000001</v>
      </c>
    </row>
    <row r="1004" spans="1:8" x14ac:dyDescent="0.25">
      <c r="A1004" s="26">
        <v>264</v>
      </c>
      <c r="B1004" s="25">
        <v>0.82635999999999998</v>
      </c>
      <c r="C1004" s="68">
        <f t="shared" si="91"/>
        <v>5.2091999999999992</v>
      </c>
      <c r="D1004" s="69">
        <f t="shared" si="92"/>
        <v>-9.7908000000000008</v>
      </c>
      <c r="E1004" s="70">
        <f t="shared" si="93"/>
        <v>-24.790800000000001</v>
      </c>
      <c r="F1004" s="71">
        <f t="shared" si="94"/>
        <v>-5.2091999999999992</v>
      </c>
      <c r="G1004" s="72">
        <f t="shared" si="95"/>
        <v>9.7908000000000008</v>
      </c>
      <c r="H1004" s="73">
        <f t="shared" si="96"/>
        <v>24.790800000000001</v>
      </c>
    </row>
    <row r="1005" spans="1:8" x14ac:dyDescent="0.25">
      <c r="A1005" s="26">
        <v>265</v>
      </c>
      <c r="B1005" s="25">
        <v>0.82726999999999995</v>
      </c>
      <c r="C1005" s="68">
        <f t="shared" si="91"/>
        <v>5.1819000000000024</v>
      </c>
      <c r="D1005" s="69">
        <f t="shared" si="92"/>
        <v>-9.8180999999999976</v>
      </c>
      <c r="E1005" s="70">
        <f t="shared" si="93"/>
        <v>-24.818099999999998</v>
      </c>
      <c r="F1005" s="71">
        <f t="shared" si="94"/>
        <v>-5.1819000000000024</v>
      </c>
      <c r="G1005" s="72">
        <f t="shared" si="95"/>
        <v>9.8180999999999976</v>
      </c>
      <c r="H1005" s="73">
        <f t="shared" si="96"/>
        <v>24.818099999999998</v>
      </c>
    </row>
    <row r="1006" spans="1:8" x14ac:dyDescent="0.25">
      <c r="A1006" s="26">
        <v>266</v>
      </c>
      <c r="B1006" s="25">
        <v>0.82818000000000003</v>
      </c>
      <c r="C1006" s="68">
        <f t="shared" si="91"/>
        <v>5.1545999999999985</v>
      </c>
      <c r="D1006" s="69">
        <f t="shared" si="92"/>
        <v>-9.8454000000000015</v>
      </c>
      <c r="E1006" s="70">
        <f t="shared" si="93"/>
        <v>-24.845400000000001</v>
      </c>
      <c r="F1006" s="71">
        <f t="shared" si="94"/>
        <v>-5.1545999999999985</v>
      </c>
      <c r="G1006" s="72">
        <f t="shared" si="95"/>
        <v>9.8454000000000015</v>
      </c>
      <c r="H1006" s="73">
        <f t="shared" si="96"/>
        <v>24.845400000000001</v>
      </c>
    </row>
    <row r="1007" spans="1:8" x14ac:dyDescent="0.25">
      <c r="A1007" s="26">
        <v>267</v>
      </c>
      <c r="B1007" s="25">
        <v>0.82908999999999999</v>
      </c>
      <c r="C1007" s="68">
        <f t="shared" si="91"/>
        <v>5.1273000000000017</v>
      </c>
      <c r="D1007" s="69">
        <f t="shared" si="92"/>
        <v>-9.8726999999999983</v>
      </c>
      <c r="E1007" s="70">
        <f t="shared" si="93"/>
        <v>-24.872699999999998</v>
      </c>
      <c r="F1007" s="71">
        <f t="shared" si="94"/>
        <v>-5.1273000000000017</v>
      </c>
      <c r="G1007" s="72">
        <f t="shared" si="95"/>
        <v>9.8726999999999983</v>
      </c>
      <c r="H1007" s="73">
        <f t="shared" si="96"/>
        <v>24.872699999999998</v>
      </c>
    </row>
    <row r="1008" spans="1:8" x14ac:dyDescent="0.25">
      <c r="A1008" s="26">
        <v>268</v>
      </c>
      <c r="B1008" s="25">
        <v>0.83</v>
      </c>
      <c r="C1008" s="68">
        <f t="shared" si="91"/>
        <v>5.1000000000000014</v>
      </c>
      <c r="D1008" s="69">
        <f t="shared" si="92"/>
        <v>-9.8999999999999986</v>
      </c>
      <c r="E1008" s="70">
        <f t="shared" si="93"/>
        <v>-24.9</v>
      </c>
      <c r="F1008" s="71">
        <f t="shared" si="94"/>
        <v>-5.1000000000000014</v>
      </c>
      <c r="G1008" s="72">
        <f t="shared" si="95"/>
        <v>9.8999999999999986</v>
      </c>
      <c r="H1008" s="73">
        <f t="shared" si="96"/>
        <v>24.9</v>
      </c>
    </row>
    <row r="1009" spans="1:8" x14ac:dyDescent="0.25">
      <c r="A1009" s="26">
        <v>269</v>
      </c>
      <c r="B1009" s="25">
        <v>0.83091000000000004</v>
      </c>
      <c r="C1009" s="68">
        <f t="shared" si="91"/>
        <v>5.0726999999999975</v>
      </c>
      <c r="D1009" s="69">
        <f t="shared" si="92"/>
        <v>-9.9273000000000025</v>
      </c>
      <c r="E1009" s="70">
        <f t="shared" si="93"/>
        <v>-24.927300000000002</v>
      </c>
      <c r="F1009" s="71">
        <f t="shared" si="94"/>
        <v>-5.0726999999999975</v>
      </c>
      <c r="G1009" s="72">
        <f t="shared" si="95"/>
        <v>9.9273000000000025</v>
      </c>
      <c r="H1009" s="73">
        <f t="shared" si="96"/>
        <v>24.927300000000002</v>
      </c>
    </row>
    <row r="1010" spans="1:8" x14ac:dyDescent="0.25">
      <c r="A1010" s="26">
        <v>270</v>
      </c>
      <c r="B1010" s="25">
        <v>0.83182</v>
      </c>
      <c r="C1010" s="68">
        <f t="shared" si="91"/>
        <v>5.0454000000000008</v>
      </c>
      <c r="D1010" s="69">
        <f t="shared" si="92"/>
        <v>-9.9545999999999992</v>
      </c>
      <c r="E1010" s="70">
        <f t="shared" si="93"/>
        <v>-24.954599999999999</v>
      </c>
      <c r="F1010" s="71">
        <f t="shared" si="94"/>
        <v>-5.0454000000000008</v>
      </c>
      <c r="G1010" s="72">
        <f t="shared" si="95"/>
        <v>9.9545999999999992</v>
      </c>
      <c r="H1010" s="73">
        <f t="shared" si="96"/>
        <v>24.954599999999999</v>
      </c>
    </row>
    <row r="1011" spans="1:8" x14ac:dyDescent="0.25">
      <c r="A1011" s="26">
        <v>271</v>
      </c>
      <c r="B1011" s="25">
        <v>0.83272999999999997</v>
      </c>
      <c r="C1011" s="68">
        <f t="shared" si="91"/>
        <v>5.0181000000000004</v>
      </c>
      <c r="D1011" s="69">
        <f t="shared" si="92"/>
        <v>-9.9818999999999996</v>
      </c>
      <c r="E1011" s="70">
        <f t="shared" si="93"/>
        <v>-24.9819</v>
      </c>
      <c r="F1011" s="71">
        <f t="shared" si="94"/>
        <v>-5.0181000000000004</v>
      </c>
      <c r="G1011" s="72">
        <f t="shared" si="95"/>
        <v>9.9818999999999996</v>
      </c>
      <c r="H1011" s="73">
        <f t="shared" si="96"/>
        <v>24.9819</v>
      </c>
    </row>
    <row r="1012" spans="1:8" x14ac:dyDescent="0.25">
      <c r="A1012" s="26">
        <v>272</v>
      </c>
      <c r="B1012" s="25">
        <v>0.83364000000000005</v>
      </c>
      <c r="C1012" s="68">
        <f t="shared" si="91"/>
        <v>4.9908000000000001</v>
      </c>
      <c r="D1012" s="69">
        <f t="shared" si="92"/>
        <v>-10.0092</v>
      </c>
      <c r="E1012" s="70">
        <f t="shared" si="93"/>
        <v>-25.0092</v>
      </c>
      <c r="F1012" s="71">
        <f t="shared" si="94"/>
        <v>-4.9908000000000001</v>
      </c>
      <c r="G1012" s="72">
        <f t="shared" si="95"/>
        <v>10.0092</v>
      </c>
      <c r="H1012" s="73">
        <f t="shared" si="96"/>
        <v>25.0092</v>
      </c>
    </row>
    <row r="1013" spans="1:8" x14ac:dyDescent="0.25">
      <c r="A1013" s="26">
        <v>273</v>
      </c>
      <c r="B1013" s="25">
        <v>0.83455000000000001</v>
      </c>
      <c r="C1013" s="68">
        <f t="shared" si="91"/>
        <v>4.9634999999999998</v>
      </c>
      <c r="D1013" s="69">
        <f t="shared" si="92"/>
        <v>-10.0365</v>
      </c>
      <c r="E1013" s="70">
        <f t="shared" si="93"/>
        <v>-25.0365</v>
      </c>
      <c r="F1013" s="71">
        <f t="shared" si="94"/>
        <v>-4.9634999999999998</v>
      </c>
      <c r="G1013" s="72">
        <f t="shared" si="95"/>
        <v>10.0365</v>
      </c>
      <c r="H1013" s="73">
        <f t="shared" si="96"/>
        <v>25.0365</v>
      </c>
    </row>
    <row r="1014" spans="1:8" x14ac:dyDescent="0.25">
      <c r="A1014" s="26">
        <v>274</v>
      </c>
      <c r="B1014" s="25">
        <v>0.83545000000000003</v>
      </c>
      <c r="C1014" s="68">
        <f t="shared" si="91"/>
        <v>4.9364999999999988</v>
      </c>
      <c r="D1014" s="69">
        <f t="shared" si="92"/>
        <v>-10.063500000000001</v>
      </c>
      <c r="E1014" s="70">
        <f t="shared" si="93"/>
        <v>-25.063500000000001</v>
      </c>
      <c r="F1014" s="71">
        <f t="shared" si="94"/>
        <v>-4.9364999999999988</v>
      </c>
      <c r="G1014" s="72">
        <f t="shared" si="95"/>
        <v>10.063500000000001</v>
      </c>
      <c r="H1014" s="73">
        <f t="shared" si="96"/>
        <v>25.063500000000001</v>
      </c>
    </row>
    <row r="1015" spans="1:8" x14ac:dyDescent="0.25">
      <c r="A1015" s="26">
        <v>275</v>
      </c>
      <c r="B1015" s="25">
        <v>0.83635999999999999</v>
      </c>
      <c r="C1015" s="68">
        <f t="shared" si="91"/>
        <v>4.9091999999999985</v>
      </c>
      <c r="D1015" s="69">
        <f t="shared" si="92"/>
        <v>-10.090800000000002</v>
      </c>
      <c r="E1015" s="70">
        <f t="shared" si="93"/>
        <v>-25.090800000000002</v>
      </c>
      <c r="F1015" s="71">
        <f t="shared" si="94"/>
        <v>-4.9091999999999985</v>
      </c>
      <c r="G1015" s="72">
        <f t="shared" si="95"/>
        <v>10.090800000000002</v>
      </c>
      <c r="H1015" s="73">
        <f t="shared" si="96"/>
        <v>25.090800000000002</v>
      </c>
    </row>
    <row r="1016" spans="1:8" x14ac:dyDescent="0.25">
      <c r="A1016" s="26">
        <v>276</v>
      </c>
      <c r="B1016" s="25">
        <v>0.83726999999999996</v>
      </c>
      <c r="C1016" s="68">
        <f t="shared" si="91"/>
        <v>4.8819000000000017</v>
      </c>
      <c r="D1016" s="69">
        <f t="shared" si="92"/>
        <v>-10.118099999999998</v>
      </c>
      <c r="E1016" s="70">
        <f t="shared" si="93"/>
        <v>-25.118099999999998</v>
      </c>
      <c r="F1016" s="71">
        <f t="shared" si="94"/>
        <v>-4.8819000000000017</v>
      </c>
      <c r="G1016" s="72">
        <f t="shared" si="95"/>
        <v>10.118099999999998</v>
      </c>
      <c r="H1016" s="73">
        <f t="shared" si="96"/>
        <v>25.118099999999998</v>
      </c>
    </row>
    <row r="1017" spans="1:8" x14ac:dyDescent="0.25">
      <c r="A1017" s="26">
        <v>277</v>
      </c>
      <c r="B1017" s="25">
        <v>0.83818000000000004</v>
      </c>
      <c r="C1017" s="68">
        <f t="shared" si="91"/>
        <v>4.8545999999999978</v>
      </c>
      <c r="D1017" s="69">
        <f t="shared" si="92"/>
        <v>-10.145400000000002</v>
      </c>
      <c r="E1017" s="70">
        <f t="shared" si="93"/>
        <v>-25.145400000000002</v>
      </c>
      <c r="F1017" s="71">
        <f t="shared" si="94"/>
        <v>-4.8545999999999978</v>
      </c>
      <c r="G1017" s="72">
        <f t="shared" si="95"/>
        <v>10.145400000000002</v>
      </c>
      <c r="H1017" s="73">
        <f t="shared" si="96"/>
        <v>25.145400000000002</v>
      </c>
    </row>
    <row r="1018" spans="1:8" x14ac:dyDescent="0.25">
      <c r="A1018" s="26">
        <v>278</v>
      </c>
      <c r="B1018" s="25">
        <v>0.83909</v>
      </c>
      <c r="C1018" s="68">
        <f t="shared" si="91"/>
        <v>4.827300000000001</v>
      </c>
      <c r="D1018" s="69">
        <f t="shared" si="92"/>
        <v>-10.172699999999999</v>
      </c>
      <c r="E1018" s="70">
        <f t="shared" si="93"/>
        <v>-25.172699999999999</v>
      </c>
      <c r="F1018" s="71">
        <f t="shared" si="94"/>
        <v>-4.827300000000001</v>
      </c>
      <c r="G1018" s="72">
        <f t="shared" si="95"/>
        <v>10.172699999999999</v>
      </c>
      <c r="H1018" s="73">
        <f t="shared" si="96"/>
        <v>25.172699999999999</v>
      </c>
    </row>
    <row r="1019" spans="1:8" x14ac:dyDescent="0.25">
      <c r="A1019" s="26">
        <v>279</v>
      </c>
      <c r="B1019" s="25">
        <v>0.84</v>
      </c>
      <c r="C1019" s="68">
        <f t="shared" si="91"/>
        <v>4.8000000000000007</v>
      </c>
      <c r="D1019" s="69">
        <f t="shared" si="92"/>
        <v>-10.199999999999999</v>
      </c>
      <c r="E1019" s="70">
        <f t="shared" si="93"/>
        <v>-25.2</v>
      </c>
      <c r="F1019" s="71">
        <f t="shared" si="94"/>
        <v>-4.8000000000000007</v>
      </c>
      <c r="G1019" s="72">
        <f t="shared" si="95"/>
        <v>10.199999999999999</v>
      </c>
      <c r="H1019" s="73">
        <f t="shared" si="96"/>
        <v>25.2</v>
      </c>
    </row>
    <row r="1020" spans="1:8" x14ac:dyDescent="0.25">
      <c r="A1020" s="26">
        <v>280</v>
      </c>
      <c r="B1020" s="25">
        <v>0.84082999999999997</v>
      </c>
      <c r="C1020" s="68">
        <f t="shared" si="91"/>
        <v>4.7751000000000019</v>
      </c>
      <c r="D1020" s="69">
        <f t="shared" si="92"/>
        <v>-10.224899999999998</v>
      </c>
      <c r="E1020" s="70">
        <f t="shared" si="93"/>
        <v>-25.224899999999998</v>
      </c>
      <c r="F1020" s="71">
        <f t="shared" si="94"/>
        <v>-4.7751000000000019</v>
      </c>
      <c r="G1020" s="72">
        <f t="shared" si="95"/>
        <v>10.224899999999998</v>
      </c>
      <c r="H1020" s="73">
        <f t="shared" si="96"/>
        <v>25.224899999999998</v>
      </c>
    </row>
    <row r="1021" spans="1:8" x14ac:dyDescent="0.25">
      <c r="A1021" s="26">
        <v>281</v>
      </c>
      <c r="B1021" s="25">
        <v>0.84167000000000003</v>
      </c>
      <c r="C1021" s="68">
        <f t="shared" si="91"/>
        <v>4.7499000000000002</v>
      </c>
      <c r="D1021" s="69">
        <f t="shared" si="92"/>
        <v>-10.2501</v>
      </c>
      <c r="E1021" s="70">
        <f t="shared" si="93"/>
        <v>-25.2501</v>
      </c>
      <c r="F1021" s="71">
        <f t="shared" si="94"/>
        <v>-4.7499000000000002</v>
      </c>
      <c r="G1021" s="72">
        <f t="shared" si="95"/>
        <v>10.2501</v>
      </c>
      <c r="H1021" s="73">
        <f t="shared" si="96"/>
        <v>25.2501</v>
      </c>
    </row>
    <row r="1022" spans="1:8" x14ac:dyDescent="0.25">
      <c r="A1022" s="26">
        <v>282</v>
      </c>
      <c r="B1022" s="25">
        <v>0.84250000000000003</v>
      </c>
      <c r="C1022" s="68">
        <f t="shared" si="91"/>
        <v>4.7249999999999979</v>
      </c>
      <c r="D1022" s="69">
        <f t="shared" si="92"/>
        <v>-10.275000000000002</v>
      </c>
      <c r="E1022" s="70">
        <f t="shared" si="93"/>
        <v>-25.275000000000002</v>
      </c>
      <c r="F1022" s="71">
        <f t="shared" si="94"/>
        <v>-4.7249999999999979</v>
      </c>
      <c r="G1022" s="72">
        <f t="shared" si="95"/>
        <v>10.275000000000002</v>
      </c>
      <c r="H1022" s="73">
        <f t="shared" si="96"/>
        <v>25.275000000000002</v>
      </c>
    </row>
    <row r="1023" spans="1:8" x14ac:dyDescent="0.25">
      <c r="A1023" s="26">
        <v>283</v>
      </c>
      <c r="B1023" s="25">
        <v>0.84333000000000002</v>
      </c>
      <c r="C1023" s="68">
        <f t="shared" si="91"/>
        <v>4.7000999999999991</v>
      </c>
      <c r="D1023" s="69">
        <f t="shared" si="92"/>
        <v>-10.299900000000001</v>
      </c>
      <c r="E1023" s="70">
        <f t="shared" si="93"/>
        <v>-25.299900000000001</v>
      </c>
      <c r="F1023" s="71">
        <f t="shared" si="94"/>
        <v>-4.7000999999999991</v>
      </c>
      <c r="G1023" s="72">
        <f t="shared" si="95"/>
        <v>10.299900000000001</v>
      </c>
      <c r="H1023" s="73">
        <f t="shared" si="96"/>
        <v>25.299900000000001</v>
      </c>
    </row>
    <row r="1024" spans="1:8" x14ac:dyDescent="0.25">
      <c r="A1024" s="26">
        <v>284</v>
      </c>
      <c r="B1024" s="25">
        <v>0.84416999999999998</v>
      </c>
      <c r="C1024" s="68">
        <f t="shared" si="91"/>
        <v>4.6749000000000009</v>
      </c>
      <c r="D1024" s="69">
        <f t="shared" si="92"/>
        <v>-10.325099999999999</v>
      </c>
      <c r="E1024" s="70">
        <f t="shared" si="93"/>
        <v>-25.325099999999999</v>
      </c>
      <c r="F1024" s="71">
        <f t="shared" si="94"/>
        <v>-4.6749000000000009</v>
      </c>
      <c r="G1024" s="72">
        <f t="shared" si="95"/>
        <v>10.325099999999999</v>
      </c>
      <c r="H1024" s="73">
        <f t="shared" si="96"/>
        <v>25.325099999999999</v>
      </c>
    </row>
    <row r="1025" spans="1:8" x14ac:dyDescent="0.25">
      <c r="A1025" s="26">
        <v>285</v>
      </c>
      <c r="B1025" s="25">
        <v>0.84499999999999997</v>
      </c>
      <c r="C1025" s="68">
        <f t="shared" si="91"/>
        <v>4.6500000000000021</v>
      </c>
      <c r="D1025" s="69">
        <f t="shared" si="92"/>
        <v>-10.349999999999998</v>
      </c>
      <c r="E1025" s="70">
        <f t="shared" si="93"/>
        <v>-25.349999999999998</v>
      </c>
      <c r="F1025" s="71">
        <f t="shared" si="94"/>
        <v>-4.6500000000000021</v>
      </c>
      <c r="G1025" s="72">
        <f t="shared" si="95"/>
        <v>10.349999999999998</v>
      </c>
      <c r="H1025" s="73">
        <f t="shared" si="96"/>
        <v>25.349999999999998</v>
      </c>
    </row>
    <row r="1026" spans="1:8" x14ac:dyDescent="0.25">
      <c r="A1026" s="26">
        <v>286</v>
      </c>
      <c r="B1026" s="25">
        <v>0.84582999999999997</v>
      </c>
      <c r="C1026" s="68">
        <f t="shared" si="91"/>
        <v>4.6250999999999998</v>
      </c>
      <c r="D1026" s="69">
        <f t="shared" si="92"/>
        <v>-10.3749</v>
      </c>
      <c r="E1026" s="70">
        <f t="shared" si="93"/>
        <v>-25.3749</v>
      </c>
      <c r="F1026" s="71">
        <f t="shared" si="94"/>
        <v>-4.6250999999999998</v>
      </c>
      <c r="G1026" s="72">
        <f t="shared" si="95"/>
        <v>10.3749</v>
      </c>
      <c r="H1026" s="73">
        <f t="shared" si="96"/>
        <v>25.3749</v>
      </c>
    </row>
    <row r="1027" spans="1:8" x14ac:dyDescent="0.25">
      <c r="A1027" s="26">
        <v>287</v>
      </c>
      <c r="B1027" s="25">
        <v>0.84667000000000003</v>
      </c>
      <c r="C1027" s="68">
        <f t="shared" si="91"/>
        <v>4.5998999999999981</v>
      </c>
      <c r="D1027" s="69">
        <f t="shared" si="92"/>
        <v>-10.400100000000002</v>
      </c>
      <c r="E1027" s="70">
        <f t="shared" si="93"/>
        <v>-25.400100000000002</v>
      </c>
      <c r="F1027" s="71">
        <f t="shared" si="94"/>
        <v>-4.5998999999999981</v>
      </c>
      <c r="G1027" s="72">
        <f t="shared" si="95"/>
        <v>10.400100000000002</v>
      </c>
      <c r="H1027" s="73">
        <f t="shared" si="96"/>
        <v>25.400100000000002</v>
      </c>
    </row>
    <row r="1028" spans="1:8" x14ac:dyDescent="0.25">
      <c r="A1028" s="26">
        <v>288</v>
      </c>
      <c r="B1028" s="25">
        <v>0.84750000000000003</v>
      </c>
      <c r="C1028" s="68">
        <f t="shared" si="91"/>
        <v>4.5749999999999993</v>
      </c>
      <c r="D1028" s="69">
        <f t="shared" si="92"/>
        <v>-10.425000000000001</v>
      </c>
      <c r="E1028" s="70">
        <f t="shared" si="93"/>
        <v>-25.425000000000001</v>
      </c>
      <c r="F1028" s="71">
        <f t="shared" si="94"/>
        <v>-4.5749999999999993</v>
      </c>
      <c r="G1028" s="72">
        <f t="shared" si="95"/>
        <v>10.425000000000001</v>
      </c>
      <c r="H1028" s="73">
        <f t="shared" si="96"/>
        <v>25.425000000000001</v>
      </c>
    </row>
    <row r="1029" spans="1:8" x14ac:dyDescent="0.25">
      <c r="A1029" s="26">
        <v>289</v>
      </c>
      <c r="B1029" s="25">
        <v>0.84833000000000003</v>
      </c>
      <c r="C1029" s="68">
        <f t="shared" si="91"/>
        <v>4.5501000000000005</v>
      </c>
      <c r="D1029" s="69">
        <f t="shared" si="92"/>
        <v>-10.4499</v>
      </c>
      <c r="E1029" s="70">
        <f t="shared" si="93"/>
        <v>-25.4499</v>
      </c>
      <c r="F1029" s="71">
        <f t="shared" si="94"/>
        <v>-4.5501000000000005</v>
      </c>
      <c r="G1029" s="72">
        <f t="shared" si="95"/>
        <v>10.4499</v>
      </c>
      <c r="H1029" s="73">
        <f t="shared" si="96"/>
        <v>25.4499</v>
      </c>
    </row>
    <row r="1030" spans="1:8" x14ac:dyDescent="0.25">
      <c r="A1030" s="26">
        <v>290</v>
      </c>
      <c r="B1030" s="25">
        <v>0.84916999999999998</v>
      </c>
      <c r="C1030" s="68">
        <f t="shared" si="91"/>
        <v>4.5249000000000024</v>
      </c>
      <c r="D1030" s="69">
        <f t="shared" si="92"/>
        <v>-10.475099999999998</v>
      </c>
      <c r="E1030" s="70">
        <f t="shared" si="93"/>
        <v>-25.475099999999998</v>
      </c>
      <c r="F1030" s="71">
        <f t="shared" si="94"/>
        <v>-4.5249000000000024</v>
      </c>
      <c r="G1030" s="72">
        <f t="shared" si="95"/>
        <v>10.475099999999998</v>
      </c>
      <c r="H1030" s="73">
        <f t="shared" si="96"/>
        <v>25.475099999999998</v>
      </c>
    </row>
    <row r="1031" spans="1:8" x14ac:dyDescent="0.25">
      <c r="A1031" s="26">
        <v>291</v>
      </c>
      <c r="B1031" s="25">
        <v>0.85</v>
      </c>
      <c r="C1031" s="68">
        <f t="shared" ref="C1031:C1094" si="97">KFactor-KFactor*B1031</f>
        <v>4.5</v>
      </c>
      <c r="D1031" s="69">
        <f t="shared" ref="D1031:D1094" si="98">KFactor/2-KFactor*B1031</f>
        <v>-10.5</v>
      </c>
      <c r="E1031" s="70">
        <f t="shared" ref="E1031:E1094" si="99">0-KFactor*B1031</f>
        <v>-25.5</v>
      </c>
      <c r="F1031" s="71">
        <f t="shared" ref="F1031:F1094" si="100">-C1031</f>
        <v>-4.5</v>
      </c>
      <c r="G1031" s="72">
        <f t="shared" ref="G1031:G1094" si="101">-D1031</f>
        <v>10.5</v>
      </c>
      <c r="H1031" s="73">
        <f t="shared" ref="H1031:H1094" si="102">-E1031</f>
        <v>25.5</v>
      </c>
    </row>
    <row r="1032" spans="1:8" x14ac:dyDescent="0.25">
      <c r="A1032" s="26">
        <v>292</v>
      </c>
      <c r="B1032" s="25">
        <v>0.85082999999999998</v>
      </c>
      <c r="C1032" s="68">
        <f t="shared" si="97"/>
        <v>4.4751000000000012</v>
      </c>
      <c r="D1032" s="69">
        <f t="shared" si="98"/>
        <v>-10.524899999999999</v>
      </c>
      <c r="E1032" s="70">
        <f t="shared" si="99"/>
        <v>-25.524899999999999</v>
      </c>
      <c r="F1032" s="71">
        <f t="shared" si="100"/>
        <v>-4.4751000000000012</v>
      </c>
      <c r="G1032" s="72">
        <f t="shared" si="101"/>
        <v>10.524899999999999</v>
      </c>
      <c r="H1032" s="73">
        <f t="shared" si="102"/>
        <v>25.524899999999999</v>
      </c>
    </row>
    <row r="1033" spans="1:8" x14ac:dyDescent="0.25">
      <c r="A1033" s="26">
        <v>293</v>
      </c>
      <c r="B1033" s="25">
        <v>0.85167000000000004</v>
      </c>
      <c r="C1033" s="68">
        <f t="shared" si="97"/>
        <v>4.4498999999999995</v>
      </c>
      <c r="D1033" s="69">
        <f t="shared" si="98"/>
        <v>-10.5501</v>
      </c>
      <c r="E1033" s="70">
        <f t="shared" si="99"/>
        <v>-25.5501</v>
      </c>
      <c r="F1033" s="71">
        <f t="shared" si="100"/>
        <v>-4.4498999999999995</v>
      </c>
      <c r="G1033" s="72">
        <f t="shared" si="101"/>
        <v>10.5501</v>
      </c>
      <c r="H1033" s="73">
        <f t="shared" si="102"/>
        <v>25.5501</v>
      </c>
    </row>
    <row r="1034" spans="1:8" x14ac:dyDescent="0.25">
      <c r="A1034" s="26">
        <v>294</v>
      </c>
      <c r="B1034" s="25">
        <v>0.85250000000000004</v>
      </c>
      <c r="C1034" s="68">
        <f t="shared" si="97"/>
        <v>4.4249999999999972</v>
      </c>
      <c r="D1034" s="69">
        <f t="shared" si="98"/>
        <v>-10.575000000000003</v>
      </c>
      <c r="E1034" s="70">
        <f t="shared" si="99"/>
        <v>-25.575000000000003</v>
      </c>
      <c r="F1034" s="71">
        <f t="shared" si="100"/>
        <v>-4.4249999999999972</v>
      </c>
      <c r="G1034" s="72">
        <f t="shared" si="101"/>
        <v>10.575000000000003</v>
      </c>
      <c r="H1034" s="73">
        <f t="shared" si="102"/>
        <v>25.575000000000003</v>
      </c>
    </row>
    <row r="1035" spans="1:8" x14ac:dyDescent="0.25">
      <c r="A1035" s="26">
        <v>295</v>
      </c>
      <c r="B1035" s="25">
        <v>0.85333000000000003</v>
      </c>
      <c r="C1035" s="68">
        <f t="shared" si="97"/>
        <v>4.4000999999999983</v>
      </c>
      <c r="D1035" s="69">
        <f t="shared" si="98"/>
        <v>-10.599900000000002</v>
      </c>
      <c r="E1035" s="70">
        <f t="shared" si="99"/>
        <v>-25.599900000000002</v>
      </c>
      <c r="F1035" s="71">
        <f t="shared" si="100"/>
        <v>-4.4000999999999983</v>
      </c>
      <c r="G1035" s="72">
        <f t="shared" si="101"/>
        <v>10.599900000000002</v>
      </c>
      <c r="H1035" s="73">
        <f t="shared" si="102"/>
        <v>25.599900000000002</v>
      </c>
    </row>
    <row r="1036" spans="1:8" x14ac:dyDescent="0.25">
      <c r="A1036" s="26">
        <v>296</v>
      </c>
      <c r="B1036" s="25">
        <v>0.85416999999999998</v>
      </c>
      <c r="C1036" s="68">
        <f t="shared" si="97"/>
        <v>4.3749000000000002</v>
      </c>
      <c r="D1036" s="69">
        <f t="shared" si="98"/>
        <v>-10.6251</v>
      </c>
      <c r="E1036" s="70">
        <f t="shared" si="99"/>
        <v>-25.6251</v>
      </c>
      <c r="F1036" s="71">
        <f t="shared" si="100"/>
        <v>-4.3749000000000002</v>
      </c>
      <c r="G1036" s="72">
        <f t="shared" si="101"/>
        <v>10.6251</v>
      </c>
      <c r="H1036" s="73">
        <f t="shared" si="102"/>
        <v>25.6251</v>
      </c>
    </row>
    <row r="1037" spans="1:8" x14ac:dyDescent="0.25">
      <c r="A1037" s="26">
        <v>297</v>
      </c>
      <c r="B1037" s="25">
        <v>0.85499999999999998</v>
      </c>
      <c r="C1037" s="68">
        <f t="shared" si="97"/>
        <v>4.3500000000000014</v>
      </c>
      <c r="D1037" s="69">
        <f t="shared" si="98"/>
        <v>-10.649999999999999</v>
      </c>
      <c r="E1037" s="70">
        <f t="shared" si="99"/>
        <v>-25.65</v>
      </c>
      <c r="F1037" s="71">
        <f t="shared" si="100"/>
        <v>-4.3500000000000014</v>
      </c>
      <c r="G1037" s="72">
        <f t="shared" si="101"/>
        <v>10.649999999999999</v>
      </c>
      <c r="H1037" s="73">
        <f t="shared" si="102"/>
        <v>25.65</v>
      </c>
    </row>
    <row r="1038" spans="1:8" x14ac:dyDescent="0.25">
      <c r="A1038" s="26">
        <v>298</v>
      </c>
      <c r="B1038" s="25">
        <v>0.85582999999999998</v>
      </c>
      <c r="C1038" s="68">
        <f t="shared" si="97"/>
        <v>4.3250999999999991</v>
      </c>
      <c r="D1038" s="69">
        <f t="shared" si="98"/>
        <v>-10.674900000000001</v>
      </c>
      <c r="E1038" s="70">
        <f t="shared" si="99"/>
        <v>-25.674900000000001</v>
      </c>
      <c r="F1038" s="71">
        <f t="shared" si="100"/>
        <v>-4.3250999999999991</v>
      </c>
      <c r="G1038" s="72">
        <f t="shared" si="101"/>
        <v>10.674900000000001</v>
      </c>
      <c r="H1038" s="73">
        <f t="shared" si="102"/>
        <v>25.674900000000001</v>
      </c>
    </row>
    <row r="1039" spans="1:8" x14ac:dyDescent="0.25">
      <c r="A1039" s="26">
        <v>299</v>
      </c>
      <c r="B1039" s="25">
        <v>0.85667000000000004</v>
      </c>
      <c r="C1039" s="68">
        <f t="shared" si="97"/>
        <v>4.2998999999999974</v>
      </c>
      <c r="D1039" s="69">
        <f t="shared" si="98"/>
        <v>-10.700100000000003</v>
      </c>
      <c r="E1039" s="70">
        <f t="shared" si="99"/>
        <v>-25.700100000000003</v>
      </c>
      <c r="F1039" s="71">
        <f t="shared" si="100"/>
        <v>-4.2998999999999974</v>
      </c>
      <c r="G1039" s="72">
        <f t="shared" si="101"/>
        <v>10.700100000000003</v>
      </c>
      <c r="H1039" s="73">
        <f t="shared" si="102"/>
        <v>25.700100000000003</v>
      </c>
    </row>
    <row r="1040" spans="1:8" x14ac:dyDescent="0.25">
      <c r="A1040" s="26">
        <v>300</v>
      </c>
      <c r="B1040" s="25">
        <v>0.85750000000000004</v>
      </c>
      <c r="C1040" s="68">
        <f t="shared" si="97"/>
        <v>4.2749999999999986</v>
      </c>
      <c r="D1040" s="69">
        <f t="shared" si="98"/>
        <v>-10.725000000000001</v>
      </c>
      <c r="E1040" s="70">
        <f t="shared" si="99"/>
        <v>-25.725000000000001</v>
      </c>
      <c r="F1040" s="71">
        <f t="shared" si="100"/>
        <v>-4.2749999999999986</v>
      </c>
      <c r="G1040" s="72">
        <f t="shared" si="101"/>
        <v>10.725000000000001</v>
      </c>
      <c r="H1040" s="73">
        <f t="shared" si="102"/>
        <v>25.725000000000001</v>
      </c>
    </row>
    <row r="1041" spans="1:8" x14ac:dyDescent="0.25">
      <c r="A1041" s="26">
        <v>301</v>
      </c>
      <c r="B1041" s="25">
        <v>0.85833000000000004</v>
      </c>
      <c r="C1041" s="68">
        <f t="shared" si="97"/>
        <v>4.2500999999999998</v>
      </c>
      <c r="D1041" s="69">
        <f t="shared" si="98"/>
        <v>-10.7499</v>
      </c>
      <c r="E1041" s="70">
        <f t="shared" si="99"/>
        <v>-25.7499</v>
      </c>
      <c r="F1041" s="71">
        <f t="shared" si="100"/>
        <v>-4.2500999999999998</v>
      </c>
      <c r="G1041" s="72">
        <f t="shared" si="101"/>
        <v>10.7499</v>
      </c>
      <c r="H1041" s="73">
        <f t="shared" si="102"/>
        <v>25.7499</v>
      </c>
    </row>
    <row r="1042" spans="1:8" x14ac:dyDescent="0.25">
      <c r="A1042" s="26">
        <v>302</v>
      </c>
      <c r="B1042" s="25">
        <v>0.85916999999999999</v>
      </c>
      <c r="C1042" s="68">
        <f t="shared" si="97"/>
        <v>4.2249000000000017</v>
      </c>
      <c r="D1042" s="69">
        <f t="shared" si="98"/>
        <v>-10.775099999999998</v>
      </c>
      <c r="E1042" s="70">
        <f t="shared" si="99"/>
        <v>-25.775099999999998</v>
      </c>
      <c r="F1042" s="71">
        <f t="shared" si="100"/>
        <v>-4.2249000000000017</v>
      </c>
      <c r="G1042" s="72">
        <f t="shared" si="101"/>
        <v>10.775099999999998</v>
      </c>
      <c r="H1042" s="73">
        <f t="shared" si="102"/>
        <v>25.775099999999998</v>
      </c>
    </row>
    <row r="1043" spans="1:8" x14ac:dyDescent="0.25">
      <c r="A1043" s="26">
        <v>303</v>
      </c>
      <c r="B1043" s="25">
        <v>0.86</v>
      </c>
      <c r="C1043" s="68">
        <f t="shared" si="97"/>
        <v>4.1999999999999993</v>
      </c>
      <c r="D1043" s="69">
        <f t="shared" si="98"/>
        <v>-10.8</v>
      </c>
      <c r="E1043" s="70">
        <f t="shared" si="99"/>
        <v>-25.8</v>
      </c>
      <c r="F1043" s="71">
        <f t="shared" si="100"/>
        <v>-4.1999999999999993</v>
      </c>
      <c r="G1043" s="72">
        <f t="shared" si="101"/>
        <v>10.8</v>
      </c>
      <c r="H1043" s="73">
        <f t="shared" si="102"/>
        <v>25.8</v>
      </c>
    </row>
    <row r="1044" spans="1:8" x14ac:dyDescent="0.25">
      <c r="A1044" s="26">
        <v>304</v>
      </c>
      <c r="B1044" s="25">
        <v>0.86077000000000004</v>
      </c>
      <c r="C1044" s="68">
        <f t="shared" si="97"/>
        <v>4.1768999999999998</v>
      </c>
      <c r="D1044" s="69">
        <f t="shared" si="98"/>
        <v>-10.8231</v>
      </c>
      <c r="E1044" s="70">
        <f t="shared" si="99"/>
        <v>-25.8231</v>
      </c>
      <c r="F1044" s="71">
        <f t="shared" si="100"/>
        <v>-4.1768999999999998</v>
      </c>
      <c r="G1044" s="72">
        <f t="shared" si="101"/>
        <v>10.8231</v>
      </c>
      <c r="H1044" s="73">
        <f t="shared" si="102"/>
        <v>25.8231</v>
      </c>
    </row>
    <row r="1045" spans="1:8" x14ac:dyDescent="0.25">
      <c r="A1045" s="26">
        <v>305</v>
      </c>
      <c r="B1045" s="25">
        <v>0.86153999999999997</v>
      </c>
      <c r="C1045" s="68">
        <f t="shared" si="97"/>
        <v>4.1538000000000004</v>
      </c>
      <c r="D1045" s="69">
        <f t="shared" si="98"/>
        <v>-10.8462</v>
      </c>
      <c r="E1045" s="70">
        <f t="shared" si="99"/>
        <v>-25.8462</v>
      </c>
      <c r="F1045" s="71">
        <f t="shared" si="100"/>
        <v>-4.1538000000000004</v>
      </c>
      <c r="G1045" s="72">
        <f t="shared" si="101"/>
        <v>10.8462</v>
      </c>
      <c r="H1045" s="73">
        <f t="shared" si="102"/>
        <v>25.8462</v>
      </c>
    </row>
    <row r="1046" spans="1:8" x14ac:dyDescent="0.25">
      <c r="A1046" s="26">
        <v>306</v>
      </c>
      <c r="B1046" s="25">
        <v>0.86231000000000002</v>
      </c>
      <c r="C1046" s="68">
        <f t="shared" si="97"/>
        <v>4.1307000000000009</v>
      </c>
      <c r="D1046" s="69">
        <f t="shared" si="98"/>
        <v>-10.869299999999999</v>
      </c>
      <c r="E1046" s="70">
        <f t="shared" si="99"/>
        <v>-25.869299999999999</v>
      </c>
      <c r="F1046" s="71">
        <f t="shared" si="100"/>
        <v>-4.1307000000000009</v>
      </c>
      <c r="G1046" s="72">
        <f t="shared" si="101"/>
        <v>10.869299999999999</v>
      </c>
      <c r="H1046" s="73">
        <f t="shared" si="102"/>
        <v>25.869299999999999</v>
      </c>
    </row>
    <row r="1047" spans="1:8" x14ac:dyDescent="0.25">
      <c r="A1047" s="26">
        <v>307</v>
      </c>
      <c r="B1047" s="25">
        <v>0.86307999999999996</v>
      </c>
      <c r="C1047" s="68">
        <f t="shared" si="97"/>
        <v>4.1076000000000015</v>
      </c>
      <c r="D1047" s="69">
        <f t="shared" si="98"/>
        <v>-10.892399999999999</v>
      </c>
      <c r="E1047" s="70">
        <f t="shared" si="99"/>
        <v>-25.892399999999999</v>
      </c>
      <c r="F1047" s="71">
        <f t="shared" si="100"/>
        <v>-4.1076000000000015</v>
      </c>
      <c r="G1047" s="72">
        <f t="shared" si="101"/>
        <v>10.892399999999999</v>
      </c>
      <c r="H1047" s="73">
        <f t="shared" si="102"/>
        <v>25.892399999999999</v>
      </c>
    </row>
    <row r="1048" spans="1:8" x14ac:dyDescent="0.25">
      <c r="A1048" s="26">
        <v>308</v>
      </c>
      <c r="B1048" s="25">
        <v>0.86385000000000001</v>
      </c>
      <c r="C1048" s="68">
        <f t="shared" si="97"/>
        <v>4.0844999999999985</v>
      </c>
      <c r="D1048" s="69">
        <f t="shared" si="98"/>
        <v>-10.915500000000002</v>
      </c>
      <c r="E1048" s="70">
        <f t="shared" si="99"/>
        <v>-25.915500000000002</v>
      </c>
      <c r="F1048" s="71">
        <f t="shared" si="100"/>
        <v>-4.0844999999999985</v>
      </c>
      <c r="G1048" s="72">
        <f t="shared" si="101"/>
        <v>10.915500000000002</v>
      </c>
      <c r="H1048" s="73">
        <f t="shared" si="102"/>
        <v>25.915500000000002</v>
      </c>
    </row>
    <row r="1049" spans="1:8" x14ac:dyDescent="0.25">
      <c r="A1049" s="26">
        <v>309</v>
      </c>
      <c r="B1049" s="25">
        <v>0.86462000000000006</v>
      </c>
      <c r="C1049" s="68">
        <f t="shared" si="97"/>
        <v>4.061399999999999</v>
      </c>
      <c r="D1049" s="69">
        <f t="shared" si="98"/>
        <v>-10.938600000000001</v>
      </c>
      <c r="E1049" s="70">
        <f t="shared" si="99"/>
        <v>-25.938600000000001</v>
      </c>
      <c r="F1049" s="71">
        <f t="shared" si="100"/>
        <v>-4.061399999999999</v>
      </c>
      <c r="G1049" s="72">
        <f t="shared" si="101"/>
        <v>10.938600000000001</v>
      </c>
      <c r="H1049" s="73">
        <f t="shared" si="102"/>
        <v>25.938600000000001</v>
      </c>
    </row>
    <row r="1050" spans="1:8" x14ac:dyDescent="0.25">
      <c r="A1050" s="26">
        <v>310</v>
      </c>
      <c r="B1050" s="25">
        <v>0.86538000000000004</v>
      </c>
      <c r="C1050" s="68">
        <f t="shared" si="97"/>
        <v>4.0385999999999989</v>
      </c>
      <c r="D1050" s="69">
        <f t="shared" si="98"/>
        <v>-10.961400000000001</v>
      </c>
      <c r="E1050" s="70">
        <f t="shared" si="99"/>
        <v>-25.961400000000001</v>
      </c>
      <c r="F1050" s="71">
        <f t="shared" si="100"/>
        <v>-4.0385999999999989</v>
      </c>
      <c r="G1050" s="72">
        <f t="shared" si="101"/>
        <v>10.961400000000001</v>
      </c>
      <c r="H1050" s="73">
        <f t="shared" si="102"/>
        <v>25.961400000000001</v>
      </c>
    </row>
    <row r="1051" spans="1:8" x14ac:dyDescent="0.25">
      <c r="A1051" s="26">
        <v>311</v>
      </c>
      <c r="B1051" s="25">
        <v>0.86614999999999998</v>
      </c>
      <c r="C1051" s="68">
        <f t="shared" si="97"/>
        <v>4.0154999999999994</v>
      </c>
      <c r="D1051" s="69">
        <f t="shared" si="98"/>
        <v>-10.984500000000001</v>
      </c>
      <c r="E1051" s="70">
        <f t="shared" si="99"/>
        <v>-25.984500000000001</v>
      </c>
      <c r="F1051" s="71">
        <f t="shared" si="100"/>
        <v>-4.0154999999999994</v>
      </c>
      <c r="G1051" s="72">
        <f t="shared" si="101"/>
        <v>10.984500000000001</v>
      </c>
      <c r="H1051" s="73">
        <f t="shared" si="102"/>
        <v>25.984500000000001</v>
      </c>
    </row>
    <row r="1052" spans="1:8" x14ac:dyDescent="0.25">
      <c r="A1052" s="26">
        <v>312</v>
      </c>
      <c r="B1052" s="25">
        <v>0.86692000000000002</v>
      </c>
      <c r="C1052" s="68">
        <f t="shared" si="97"/>
        <v>3.9923999999999999</v>
      </c>
      <c r="D1052" s="69">
        <f t="shared" si="98"/>
        <v>-11.0076</v>
      </c>
      <c r="E1052" s="70">
        <f t="shared" si="99"/>
        <v>-26.0076</v>
      </c>
      <c r="F1052" s="71">
        <f t="shared" si="100"/>
        <v>-3.9923999999999999</v>
      </c>
      <c r="G1052" s="72">
        <f t="shared" si="101"/>
        <v>11.0076</v>
      </c>
      <c r="H1052" s="73">
        <f t="shared" si="102"/>
        <v>26.0076</v>
      </c>
    </row>
    <row r="1053" spans="1:8" x14ac:dyDescent="0.25">
      <c r="A1053" s="26">
        <v>313</v>
      </c>
      <c r="B1053" s="25">
        <v>0.86768999999999996</v>
      </c>
      <c r="C1053" s="68">
        <f t="shared" si="97"/>
        <v>3.9693000000000005</v>
      </c>
      <c r="D1053" s="69">
        <f t="shared" si="98"/>
        <v>-11.0307</v>
      </c>
      <c r="E1053" s="70">
        <f t="shared" si="99"/>
        <v>-26.0307</v>
      </c>
      <c r="F1053" s="71">
        <f t="shared" si="100"/>
        <v>-3.9693000000000005</v>
      </c>
      <c r="G1053" s="72">
        <f t="shared" si="101"/>
        <v>11.0307</v>
      </c>
      <c r="H1053" s="73">
        <f t="shared" si="102"/>
        <v>26.0307</v>
      </c>
    </row>
    <row r="1054" spans="1:8" x14ac:dyDescent="0.25">
      <c r="A1054" s="26">
        <v>314</v>
      </c>
      <c r="B1054" s="25">
        <v>0.86846000000000001</v>
      </c>
      <c r="C1054" s="68">
        <f t="shared" si="97"/>
        <v>3.946200000000001</v>
      </c>
      <c r="D1054" s="69">
        <f t="shared" si="98"/>
        <v>-11.053799999999999</v>
      </c>
      <c r="E1054" s="70">
        <f t="shared" si="99"/>
        <v>-26.053799999999999</v>
      </c>
      <c r="F1054" s="71">
        <f t="shared" si="100"/>
        <v>-3.946200000000001</v>
      </c>
      <c r="G1054" s="72">
        <f t="shared" si="101"/>
        <v>11.053799999999999</v>
      </c>
      <c r="H1054" s="73">
        <f t="shared" si="102"/>
        <v>26.053799999999999</v>
      </c>
    </row>
    <row r="1055" spans="1:8" x14ac:dyDescent="0.25">
      <c r="A1055" s="26">
        <v>315</v>
      </c>
      <c r="B1055" s="25">
        <v>0.86922999999999995</v>
      </c>
      <c r="C1055" s="68">
        <f t="shared" si="97"/>
        <v>3.9231000000000016</v>
      </c>
      <c r="D1055" s="69">
        <f t="shared" si="98"/>
        <v>-11.076899999999998</v>
      </c>
      <c r="E1055" s="70">
        <f t="shared" si="99"/>
        <v>-26.076899999999998</v>
      </c>
      <c r="F1055" s="71">
        <f t="shared" si="100"/>
        <v>-3.9231000000000016</v>
      </c>
      <c r="G1055" s="72">
        <f t="shared" si="101"/>
        <v>11.076899999999998</v>
      </c>
      <c r="H1055" s="73">
        <f t="shared" si="102"/>
        <v>26.076899999999998</v>
      </c>
    </row>
    <row r="1056" spans="1:8" x14ac:dyDescent="0.25">
      <c r="A1056" s="26">
        <v>316</v>
      </c>
      <c r="B1056" s="25">
        <v>0.87</v>
      </c>
      <c r="C1056" s="68">
        <f t="shared" si="97"/>
        <v>3.8999999999999986</v>
      </c>
      <c r="D1056" s="69">
        <f t="shared" si="98"/>
        <v>-11.100000000000001</v>
      </c>
      <c r="E1056" s="70">
        <f t="shared" si="99"/>
        <v>-26.1</v>
      </c>
      <c r="F1056" s="71">
        <f t="shared" si="100"/>
        <v>-3.8999999999999986</v>
      </c>
      <c r="G1056" s="72">
        <f t="shared" si="101"/>
        <v>11.100000000000001</v>
      </c>
      <c r="H1056" s="73">
        <f t="shared" si="102"/>
        <v>26.1</v>
      </c>
    </row>
    <row r="1057" spans="1:8" x14ac:dyDescent="0.25">
      <c r="A1057" s="26">
        <v>317</v>
      </c>
      <c r="B1057" s="25">
        <v>0.87077000000000004</v>
      </c>
      <c r="C1057" s="68">
        <f t="shared" si="97"/>
        <v>3.8768999999999991</v>
      </c>
      <c r="D1057" s="69">
        <f t="shared" si="98"/>
        <v>-11.123100000000001</v>
      </c>
      <c r="E1057" s="70">
        <f t="shared" si="99"/>
        <v>-26.123100000000001</v>
      </c>
      <c r="F1057" s="71">
        <f t="shared" si="100"/>
        <v>-3.8768999999999991</v>
      </c>
      <c r="G1057" s="72">
        <f t="shared" si="101"/>
        <v>11.123100000000001</v>
      </c>
      <c r="H1057" s="73">
        <f t="shared" si="102"/>
        <v>26.123100000000001</v>
      </c>
    </row>
    <row r="1058" spans="1:8" x14ac:dyDescent="0.25">
      <c r="A1058" s="26">
        <v>318</v>
      </c>
      <c r="B1058" s="25">
        <v>0.87153999999999998</v>
      </c>
      <c r="C1058" s="68">
        <f t="shared" si="97"/>
        <v>3.8537999999999997</v>
      </c>
      <c r="D1058" s="69">
        <f t="shared" si="98"/>
        <v>-11.1462</v>
      </c>
      <c r="E1058" s="70">
        <f t="shared" si="99"/>
        <v>-26.1462</v>
      </c>
      <c r="F1058" s="71">
        <f t="shared" si="100"/>
        <v>-3.8537999999999997</v>
      </c>
      <c r="G1058" s="72">
        <f t="shared" si="101"/>
        <v>11.1462</v>
      </c>
      <c r="H1058" s="73">
        <f t="shared" si="102"/>
        <v>26.1462</v>
      </c>
    </row>
    <row r="1059" spans="1:8" x14ac:dyDescent="0.25">
      <c r="A1059" s="26">
        <v>319</v>
      </c>
      <c r="B1059" s="25">
        <v>0.87231000000000003</v>
      </c>
      <c r="C1059" s="68">
        <f t="shared" si="97"/>
        <v>3.8307000000000002</v>
      </c>
      <c r="D1059" s="69">
        <f t="shared" si="98"/>
        <v>-11.1693</v>
      </c>
      <c r="E1059" s="70">
        <f t="shared" si="99"/>
        <v>-26.1693</v>
      </c>
      <c r="F1059" s="71">
        <f t="shared" si="100"/>
        <v>-3.8307000000000002</v>
      </c>
      <c r="G1059" s="72">
        <f t="shared" si="101"/>
        <v>11.1693</v>
      </c>
      <c r="H1059" s="73">
        <f t="shared" si="102"/>
        <v>26.1693</v>
      </c>
    </row>
    <row r="1060" spans="1:8" x14ac:dyDescent="0.25">
      <c r="A1060" s="26">
        <v>320</v>
      </c>
      <c r="B1060" s="25">
        <v>0.87307999999999997</v>
      </c>
      <c r="C1060" s="68">
        <f t="shared" si="97"/>
        <v>3.8076000000000008</v>
      </c>
      <c r="D1060" s="69">
        <f t="shared" si="98"/>
        <v>-11.192399999999999</v>
      </c>
      <c r="E1060" s="70">
        <f t="shared" si="99"/>
        <v>-26.192399999999999</v>
      </c>
      <c r="F1060" s="71">
        <f t="shared" si="100"/>
        <v>-3.8076000000000008</v>
      </c>
      <c r="G1060" s="72">
        <f t="shared" si="101"/>
        <v>11.192399999999999</v>
      </c>
      <c r="H1060" s="73">
        <f t="shared" si="102"/>
        <v>26.192399999999999</v>
      </c>
    </row>
    <row r="1061" spans="1:8" x14ac:dyDescent="0.25">
      <c r="A1061" s="26">
        <v>321</v>
      </c>
      <c r="B1061" s="25">
        <v>0.87385000000000002</v>
      </c>
      <c r="C1061" s="68">
        <f t="shared" si="97"/>
        <v>3.7845000000000013</v>
      </c>
      <c r="D1061" s="69">
        <f t="shared" si="98"/>
        <v>-11.215499999999999</v>
      </c>
      <c r="E1061" s="70">
        <f t="shared" si="99"/>
        <v>-26.215499999999999</v>
      </c>
      <c r="F1061" s="71">
        <f t="shared" si="100"/>
        <v>-3.7845000000000013</v>
      </c>
      <c r="G1061" s="72">
        <f t="shared" si="101"/>
        <v>11.215499999999999</v>
      </c>
      <c r="H1061" s="73">
        <f t="shared" si="102"/>
        <v>26.215499999999999</v>
      </c>
    </row>
    <row r="1062" spans="1:8" x14ac:dyDescent="0.25">
      <c r="A1062" s="26">
        <v>322</v>
      </c>
      <c r="B1062" s="25">
        <v>0.87461999999999995</v>
      </c>
      <c r="C1062" s="68">
        <f t="shared" si="97"/>
        <v>3.7614000000000019</v>
      </c>
      <c r="D1062" s="69">
        <f t="shared" si="98"/>
        <v>-11.238599999999998</v>
      </c>
      <c r="E1062" s="70">
        <f t="shared" si="99"/>
        <v>-26.238599999999998</v>
      </c>
      <c r="F1062" s="71">
        <f t="shared" si="100"/>
        <v>-3.7614000000000019</v>
      </c>
      <c r="G1062" s="72">
        <f t="shared" si="101"/>
        <v>11.238599999999998</v>
      </c>
      <c r="H1062" s="73">
        <f t="shared" si="102"/>
        <v>26.238599999999998</v>
      </c>
    </row>
    <row r="1063" spans="1:8" x14ac:dyDescent="0.25">
      <c r="A1063" s="26">
        <v>323</v>
      </c>
      <c r="B1063" s="25">
        <v>0.87538000000000005</v>
      </c>
      <c r="C1063" s="68">
        <f t="shared" si="97"/>
        <v>3.7385999999999981</v>
      </c>
      <c r="D1063" s="69">
        <f t="shared" si="98"/>
        <v>-11.261400000000002</v>
      </c>
      <c r="E1063" s="70">
        <f t="shared" si="99"/>
        <v>-26.261400000000002</v>
      </c>
      <c r="F1063" s="71">
        <f t="shared" si="100"/>
        <v>-3.7385999999999981</v>
      </c>
      <c r="G1063" s="72">
        <f t="shared" si="101"/>
        <v>11.261400000000002</v>
      </c>
      <c r="H1063" s="73">
        <f t="shared" si="102"/>
        <v>26.261400000000002</v>
      </c>
    </row>
    <row r="1064" spans="1:8" x14ac:dyDescent="0.25">
      <c r="A1064" s="26">
        <v>324</v>
      </c>
      <c r="B1064" s="25">
        <v>0.87614999999999998</v>
      </c>
      <c r="C1064" s="68">
        <f t="shared" si="97"/>
        <v>3.7154999999999987</v>
      </c>
      <c r="D1064" s="69">
        <f t="shared" si="98"/>
        <v>-11.284500000000001</v>
      </c>
      <c r="E1064" s="70">
        <f t="shared" si="99"/>
        <v>-26.284500000000001</v>
      </c>
      <c r="F1064" s="71">
        <f t="shared" si="100"/>
        <v>-3.7154999999999987</v>
      </c>
      <c r="G1064" s="72">
        <f t="shared" si="101"/>
        <v>11.284500000000001</v>
      </c>
      <c r="H1064" s="73">
        <f t="shared" si="102"/>
        <v>26.284500000000001</v>
      </c>
    </row>
    <row r="1065" spans="1:8" x14ac:dyDescent="0.25">
      <c r="A1065" s="26">
        <v>325</v>
      </c>
      <c r="B1065" s="25">
        <v>0.87692000000000003</v>
      </c>
      <c r="C1065" s="68">
        <f t="shared" si="97"/>
        <v>3.6923999999999992</v>
      </c>
      <c r="D1065" s="69">
        <f t="shared" si="98"/>
        <v>-11.307600000000001</v>
      </c>
      <c r="E1065" s="70">
        <f t="shared" si="99"/>
        <v>-26.307600000000001</v>
      </c>
      <c r="F1065" s="71">
        <f t="shared" si="100"/>
        <v>-3.6923999999999992</v>
      </c>
      <c r="G1065" s="72">
        <f t="shared" si="101"/>
        <v>11.307600000000001</v>
      </c>
      <c r="H1065" s="73">
        <f t="shared" si="102"/>
        <v>26.307600000000001</v>
      </c>
    </row>
    <row r="1066" spans="1:8" x14ac:dyDescent="0.25">
      <c r="A1066" s="26">
        <v>326</v>
      </c>
      <c r="B1066" s="25">
        <v>0.87768999999999997</v>
      </c>
      <c r="C1066" s="68">
        <f t="shared" si="97"/>
        <v>3.6692999999999998</v>
      </c>
      <c r="D1066" s="69">
        <f t="shared" si="98"/>
        <v>-11.3307</v>
      </c>
      <c r="E1066" s="70">
        <f t="shared" si="99"/>
        <v>-26.3307</v>
      </c>
      <c r="F1066" s="71">
        <f t="shared" si="100"/>
        <v>-3.6692999999999998</v>
      </c>
      <c r="G1066" s="72">
        <f t="shared" si="101"/>
        <v>11.3307</v>
      </c>
      <c r="H1066" s="73">
        <f t="shared" si="102"/>
        <v>26.3307</v>
      </c>
    </row>
    <row r="1067" spans="1:8" x14ac:dyDescent="0.25">
      <c r="A1067" s="26">
        <v>327</v>
      </c>
      <c r="B1067" s="25">
        <v>0.87846000000000002</v>
      </c>
      <c r="C1067" s="68">
        <f t="shared" si="97"/>
        <v>3.6462000000000003</v>
      </c>
      <c r="D1067" s="69">
        <f t="shared" si="98"/>
        <v>-11.3538</v>
      </c>
      <c r="E1067" s="70">
        <f t="shared" si="99"/>
        <v>-26.3538</v>
      </c>
      <c r="F1067" s="71">
        <f t="shared" si="100"/>
        <v>-3.6462000000000003</v>
      </c>
      <c r="G1067" s="72">
        <f t="shared" si="101"/>
        <v>11.3538</v>
      </c>
      <c r="H1067" s="73">
        <f t="shared" si="102"/>
        <v>26.3538</v>
      </c>
    </row>
    <row r="1068" spans="1:8" x14ac:dyDescent="0.25">
      <c r="A1068" s="26">
        <v>328</v>
      </c>
      <c r="B1068" s="25">
        <v>0.87922999999999996</v>
      </c>
      <c r="C1068" s="68">
        <f t="shared" si="97"/>
        <v>3.6231000000000009</v>
      </c>
      <c r="D1068" s="69">
        <f t="shared" si="98"/>
        <v>-11.376899999999999</v>
      </c>
      <c r="E1068" s="70">
        <f t="shared" si="99"/>
        <v>-26.376899999999999</v>
      </c>
      <c r="F1068" s="71">
        <f t="shared" si="100"/>
        <v>-3.6231000000000009</v>
      </c>
      <c r="G1068" s="72">
        <f t="shared" si="101"/>
        <v>11.376899999999999</v>
      </c>
      <c r="H1068" s="73">
        <f t="shared" si="102"/>
        <v>26.376899999999999</v>
      </c>
    </row>
    <row r="1069" spans="1:8" x14ac:dyDescent="0.25">
      <c r="A1069" s="26">
        <v>329</v>
      </c>
      <c r="B1069" s="25">
        <v>0.88</v>
      </c>
      <c r="C1069" s="68">
        <f t="shared" si="97"/>
        <v>3.6000000000000014</v>
      </c>
      <c r="D1069" s="69">
        <f t="shared" si="98"/>
        <v>-11.399999999999999</v>
      </c>
      <c r="E1069" s="70">
        <f t="shared" si="99"/>
        <v>-26.4</v>
      </c>
      <c r="F1069" s="71">
        <f t="shared" si="100"/>
        <v>-3.6000000000000014</v>
      </c>
      <c r="G1069" s="72">
        <f t="shared" si="101"/>
        <v>11.399999999999999</v>
      </c>
      <c r="H1069" s="73">
        <f t="shared" si="102"/>
        <v>26.4</v>
      </c>
    </row>
    <row r="1070" spans="1:8" x14ac:dyDescent="0.25">
      <c r="A1070" s="26">
        <v>330</v>
      </c>
      <c r="B1070" s="25">
        <v>0.88063000000000002</v>
      </c>
      <c r="C1070" s="68">
        <f t="shared" si="97"/>
        <v>3.5810999999999993</v>
      </c>
      <c r="D1070" s="69">
        <f t="shared" si="98"/>
        <v>-11.418900000000001</v>
      </c>
      <c r="E1070" s="70">
        <f t="shared" si="99"/>
        <v>-26.418900000000001</v>
      </c>
      <c r="F1070" s="71">
        <f t="shared" si="100"/>
        <v>-3.5810999999999993</v>
      </c>
      <c r="G1070" s="72">
        <f t="shared" si="101"/>
        <v>11.418900000000001</v>
      </c>
      <c r="H1070" s="73">
        <f t="shared" si="102"/>
        <v>26.418900000000001</v>
      </c>
    </row>
    <row r="1071" spans="1:8" x14ac:dyDescent="0.25">
      <c r="A1071" s="26">
        <v>331</v>
      </c>
      <c r="B1071" s="25">
        <v>0.88124999999999998</v>
      </c>
      <c r="C1071" s="68">
        <f t="shared" si="97"/>
        <v>3.5625</v>
      </c>
      <c r="D1071" s="69">
        <f t="shared" si="98"/>
        <v>-11.4375</v>
      </c>
      <c r="E1071" s="70">
        <f t="shared" si="99"/>
        <v>-26.4375</v>
      </c>
      <c r="F1071" s="71">
        <f t="shared" si="100"/>
        <v>-3.5625</v>
      </c>
      <c r="G1071" s="72">
        <f t="shared" si="101"/>
        <v>11.4375</v>
      </c>
      <c r="H1071" s="73">
        <f t="shared" si="102"/>
        <v>26.4375</v>
      </c>
    </row>
    <row r="1072" spans="1:8" x14ac:dyDescent="0.25">
      <c r="A1072" s="26">
        <v>332</v>
      </c>
      <c r="B1072" s="25">
        <v>0.88188</v>
      </c>
      <c r="C1072" s="68">
        <f t="shared" si="97"/>
        <v>3.5436000000000014</v>
      </c>
      <c r="D1072" s="69">
        <f t="shared" si="98"/>
        <v>-11.456399999999999</v>
      </c>
      <c r="E1072" s="70">
        <f t="shared" si="99"/>
        <v>-26.456399999999999</v>
      </c>
      <c r="F1072" s="71">
        <f t="shared" si="100"/>
        <v>-3.5436000000000014</v>
      </c>
      <c r="G1072" s="72">
        <f t="shared" si="101"/>
        <v>11.456399999999999</v>
      </c>
      <c r="H1072" s="73">
        <f t="shared" si="102"/>
        <v>26.456399999999999</v>
      </c>
    </row>
    <row r="1073" spans="1:8" x14ac:dyDescent="0.25">
      <c r="A1073" s="26">
        <v>333</v>
      </c>
      <c r="B1073" s="25">
        <v>0.88249999999999995</v>
      </c>
      <c r="C1073" s="68">
        <f t="shared" si="97"/>
        <v>3.5250000000000021</v>
      </c>
      <c r="D1073" s="69">
        <f t="shared" si="98"/>
        <v>-11.474999999999998</v>
      </c>
      <c r="E1073" s="70">
        <f t="shared" si="99"/>
        <v>-26.474999999999998</v>
      </c>
      <c r="F1073" s="71">
        <f t="shared" si="100"/>
        <v>-3.5250000000000021</v>
      </c>
      <c r="G1073" s="72">
        <f t="shared" si="101"/>
        <v>11.474999999999998</v>
      </c>
      <c r="H1073" s="73">
        <f t="shared" si="102"/>
        <v>26.474999999999998</v>
      </c>
    </row>
    <row r="1074" spans="1:8" x14ac:dyDescent="0.25">
      <c r="A1074" s="26">
        <v>334</v>
      </c>
      <c r="B1074" s="25">
        <v>0.88312999999999997</v>
      </c>
      <c r="C1074" s="68">
        <f t="shared" si="97"/>
        <v>3.5061</v>
      </c>
      <c r="D1074" s="69">
        <f t="shared" si="98"/>
        <v>-11.4939</v>
      </c>
      <c r="E1074" s="70">
        <f t="shared" si="99"/>
        <v>-26.4939</v>
      </c>
      <c r="F1074" s="71">
        <f t="shared" si="100"/>
        <v>-3.5061</v>
      </c>
      <c r="G1074" s="72">
        <f t="shared" si="101"/>
        <v>11.4939</v>
      </c>
      <c r="H1074" s="73">
        <f t="shared" si="102"/>
        <v>26.4939</v>
      </c>
    </row>
    <row r="1075" spans="1:8" x14ac:dyDescent="0.25">
      <c r="A1075" s="26">
        <v>335</v>
      </c>
      <c r="B1075" s="25">
        <v>0.88375000000000004</v>
      </c>
      <c r="C1075" s="68">
        <f t="shared" si="97"/>
        <v>3.4874999999999972</v>
      </c>
      <c r="D1075" s="69">
        <f t="shared" si="98"/>
        <v>-11.512500000000003</v>
      </c>
      <c r="E1075" s="70">
        <f t="shared" si="99"/>
        <v>-26.512500000000003</v>
      </c>
      <c r="F1075" s="71">
        <f t="shared" si="100"/>
        <v>-3.4874999999999972</v>
      </c>
      <c r="G1075" s="72">
        <f t="shared" si="101"/>
        <v>11.512500000000003</v>
      </c>
      <c r="H1075" s="73">
        <f t="shared" si="102"/>
        <v>26.512500000000003</v>
      </c>
    </row>
    <row r="1076" spans="1:8" x14ac:dyDescent="0.25">
      <c r="A1076" s="26">
        <v>336</v>
      </c>
      <c r="B1076" s="25">
        <v>0.88438000000000005</v>
      </c>
      <c r="C1076" s="68">
        <f t="shared" si="97"/>
        <v>3.4685999999999986</v>
      </c>
      <c r="D1076" s="69">
        <f t="shared" si="98"/>
        <v>-11.531400000000001</v>
      </c>
      <c r="E1076" s="70">
        <f t="shared" si="99"/>
        <v>-26.531400000000001</v>
      </c>
      <c r="F1076" s="71">
        <f t="shared" si="100"/>
        <v>-3.4685999999999986</v>
      </c>
      <c r="G1076" s="72">
        <f t="shared" si="101"/>
        <v>11.531400000000001</v>
      </c>
      <c r="H1076" s="73">
        <f t="shared" si="102"/>
        <v>26.531400000000001</v>
      </c>
    </row>
    <row r="1077" spans="1:8" x14ac:dyDescent="0.25">
      <c r="A1077" s="26">
        <v>337</v>
      </c>
      <c r="B1077" s="25">
        <v>0.88500000000000001</v>
      </c>
      <c r="C1077" s="68">
        <f t="shared" si="97"/>
        <v>3.4499999999999993</v>
      </c>
      <c r="D1077" s="69">
        <f t="shared" si="98"/>
        <v>-11.55</v>
      </c>
      <c r="E1077" s="70">
        <f t="shared" si="99"/>
        <v>-26.55</v>
      </c>
      <c r="F1077" s="71">
        <f t="shared" si="100"/>
        <v>-3.4499999999999993</v>
      </c>
      <c r="G1077" s="72">
        <f t="shared" si="101"/>
        <v>11.55</v>
      </c>
      <c r="H1077" s="73">
        <f t="shared" si="102"/>
        <v>26.55</v>
      </c>
    </row>
    <row r="1078" spans="1:8" x14ac:dyDescent="0.25">
      <c r="A1078" s="26">
        <v>338</v>
      </c>
      <c r="B1078" s="25">
        <v>0.88563000000000003</v>
      </c>
      <c r="C1078" s="68">
        <f t="shared" si="97"/>
        <v>3.4311000000000007</v>
      </c>
      <c r="D1078" s="69">
        <f t="shared" si="98"/>
        <v>-11.568899999999999</v>
      </c>
      <c r="E1078" s="70">
        <f t="shared" si="99"/>
        <v>-26.568899999999999</v>
      </c>
      <c r="F1078" s="71">
        <f t="shared" si="100"/>
        <v>-3.4311000000000007</v>
      </c>
      <c r="G1078" s="72">
        <f t="shared" si="101"/>
        <v>11.568899999999999</v>
      </c>
      <c r="H1078" s="73">
        <f t="shared" si="102"/>
        <v>26.568899999999999</v>
      </c>
    </row>
    <row r="1079" spans="1:8" x14ac:dyDescent="0.25">
      <c r="A1079" s="26">
        <v>339</v>
      </c>
      <c r="B1079" s="25">
        <v>0.88624999999999998</v>
      </c>
      <c r="C1079" s="68">
        <f t="shared" si="97"/>
        <v>3.4125000000000014</v>
      </c>
      <c r="D1079" s="69">
        <f t="shared" si="98"/>
        <v>-11.587499999999999</v>
      </c>
      <c r="E1079" s="70">
        <f t="shared" si="99"/>
        <v>-26.587499999999999</v>
      </c>
      <c r="F1079" s="71">
        <f t="shared" si="100"/>
        <v>-3.4125000000000014</v>
      </c>
      <c r="G1079" s="72">
        <f t="shared" si="101"/>
        <v>11.587499999999999</v>
      </c>
      <c r="H1079" s="73">
        <f t="shared" si="102"/>
        <v>26.587499999999999</v>
      </c>
    </row>
    <row r="1080" spans="1:8" x14ac:dyDescent="0.25">
      <c r="A1080" s="26">
        <v>340</v>
      </c>
      <c r="B1080" s="25">
        <v>0.88688</v>
      </c>
      <c r="C1080" s="68">
        <f t="shared" si="97"/>
        <v>3.3935999999999993</v>
      </c>
      <c r="D1080" s="69">
        <f t="shared" si="98"/>
        <v>-11.606400000000001</v>
      </c>
      <c r="E1080" s="70">
        <f t="shared" si="99"/>
        <v>-26.606400000000001</v>
      </c>
      <c r="F1080" s="71">
        <f t="shared" si="100"/>
        <v>-3.3935999999999993</v>
      </c>
      <c r="G1080" s="72">
        <f t="shared" si="101"/>
        <v>11.606400000000001</v>
      </c>
      <c r="H1080" s="73">
        <f t="shared" si="102"/>
        <v>26.606400000000001</v>
      </c>
    </row>
    <row r="1081" spans="1:8" x14ac:dyDescent="0.25">
      <c r="A1081" s="26">
        <v>341</v>
      </c>
      <c r="B1081" s="25">
        <v>0.88749999999999996</v>
      </c>
      <c r="C1081" s="68">
        <f t="shared" si="97"/>
        <v>3.375</v>
      </c>
      <c r="D1081" s="69">
        <f t="shared" si="98"/>
        <v>-11.625</v>
      </c>
      <c r="E1081" s="70">
        <f t="shared" si="99"/>
        <v>-26.625</v>
      </c>
      <c r="F1081" s="71">
        <f t="shared" si="100"/>
        <v>-3.375</v>
      </c>
      <c r="G1081" s="72">
        <f t="shared" si="101"/>
        <v>11.625</v>
      </c>
      <c r="H1081" s="73">
        <f t="shared" si="102"/>
        <v>26.625</v>
      </c>
    </row>
    <row r="1082" spans="1:8" x14ac:dyDescent="0.25">
      <c r="A1082" s="26">
        <v>342</v>
      </c>
      <c r="B1082" s="25">
        <v>0.88812999999999998</v>
      </c>
      <c r="C1082" s="68">
        <f t="shared" si="97"/>
        <v>3.3561000000000014</v>
      </c>
      <c r="D1082" s="69">
        <f t="shared" si="98"/>
        <v>-11.643899999999999</v>
      </c>
      <c r="E1082" s="70">
        <f t="shared" si="99"/>
        <v>-26.643899999999999</v>
      </c>
      <c r="F1082" s="71">
        <f t="shared" si="100"/>
        <v>-3.3561000000000014</v>
      </c>
      <c r="G1082" s="72">
        <f t="shared" si="101"/>
        <v>11.643899999999999</v>
      </c>
      <c r="H1082" s="73">
        <f t="shared" si="102"/>
        <v>26.643899999999999</v>
      </c>
    </row>
    <row r="1083" spans="1:8" x14ac:dyDescent="0.25">
      <c r="A1083" s="26">
        <v>343</v>
      </c>
      <c r="B1083" s="25">
        <v>0.88875000000000004</v>
      </c>
      <c r="C1083" s="68">
        <f t="shared" si="97"/>
        <v>3.3374999999999986</v>
      </c>
      <c r="D1083" s="69">
        <f t="shared" si="98"/>
        <v>-11.662500000000001</v>
      </c>
      <c r="E1083" s="70">
        <f t="shared" si="99"/>
        <v>-26.662500000000001</v>
      </c>
      <c r="F1083" s="71">
        <f t="shared" si="100"/>
        <v>-3.3374999999999986</v>
      </c>
      <c r="G1083" s="72">
        <f t="shared" si="101"/>
        <v>11.662500000000001</v>
      </c>
      <c r="H1083" s="73">
        <f t="shared" si="102"/>
        <v>26.662500000000001</v>
      </c>
    </row>
    <row r="1084" spans="1:8" x14ac:dyDescent="0.25">
      <c r="A1084" s="26">
        <v>344</v>
      </c>
      <c r="B1084" s="25">
        <v>0.88937999999999995</v>
      </c>
      <c r="C1084" s="68">
        <f t="shared" si="97"/>
        <v>3.3186</v>
      </c>
      <c r="D1084" s="69">
        <f t="shared" si="98"/>
        <v>-11.6814</v>
      </c>
      <c r="E1084" s="70">
        <f t="shared" si="99"/>
        <v>-26.6814</v>
      </c>
      <c r="F1084" s="71">
        <f t="shared" si="100"/>
        <v>-3.3186</v>
      </c>
      <c r="G1084" s="72">
        <f t="shared" si="101"/>
        <v>11.6814</v>
      </c>
      <c r="H1084" s="73">
        <f t="shared" si="102"/>
        <v>26.6814</v>
      </c>
    </row>
    <row r="1085" spans="1:8" x14ac:dyDescent="0.25">
      <c r="A1085" s="26">
        <v>345</v>
      </c>
      <c r="B1085" s="25">
        <v>0.89</v>
      </c>
      <c r="C1085" s="68">
        <f t="shared" si="97"/>
        <v>3.3000000000000007</v>
      </c>
      <c r="D1085" s="69">
        <f t="shared" si="98"/>
        <v>-11.7</v>
      </c>
      <c r="E1085" s="70">
        <f t="shared" si="99"/>
        <v>-26.7</v>
      </c>
      <c r="F1085" s="71">
        <f t="shared" si="100"/>
        <v>-3.3000000000000007</v>
      </c>
      <c r="G1085" s="72">
        <f t="shared" si="101"/>
        <v>11.7</v>
      </c>
      <c r="H1085" s="73">
        <f t="shared" si="102"/>
        <v>26.7</v>
      </c>
    </row>
    <row r="1086" spans="1:8" x14ac:dyDescent="0.25">
      <c r="A1086" s="26">
        <v>346</v>
      </c>
      <c r="B1086" s="25">
        <v>0.89058999999999999</v>
      </c>
      <c r="C1086" s="68">
        <f t="shared" si="97"/>
        <v>3.2822999999999993</v>
      </c>
      <c r="D1086" s="69">
        <f t="shared" si="98"/>
        <v>-11.717700000000001</v>
      </c>
      <c r="E1086" s="70">
        <f t="shared" si="99"/>
        <v>-26.717700000000001</v>
      </c>
      <c r="F1086" s="71">
        <f t="shared" si="100"/>
        <v>-3.2822999999999993</v>
      </c>
      <c r="G1086" s="72">
        <f t="shared" si="101"/>
        <v>11.717700000000001</v>
      </c>
      <c r="H1086" s="73">
        <f t="shared" si="102"/>
        <v>26.717700000000001</v>
      </c>
    </row>
    <row r="1087" spans="1:8" x14ac:dyDescent="0.25">
      <c r="A1087" s="26">
        <v>347</v>
      </c>
      <c r="B1087" s="25">
        <v>0.89117999999999997</v>
      </c>
      <c r="C1087" s="68">
        <f t="shared" si="97"/>
        <v>3.2646000000000015</v>
      </c>
      <c r="D1087" s="69">
        <f t="shared" si="98"/>
        <v>-11.735399999999998</v>
      </c>
      <c r="E1087" s="70">
        <f t="shared" si="99"/>
        <v>-26.735399999999998</v>
      </c>
      <c r="F1087" s="71">
        <f t="shared" si="100"/>
        <v>-3.2646000000000015</v>
      </c>
      <c r="G1087" s="72">
        <f t="shared" si="101"/>
        <v>11.735399999999998</v>
      </c>
      <c r="H1087" s="73">
        <f t="shared" si="102"/>
        <v>26.735399999999998</v>
      </c>
    </row>
    <row r="1088" spans="1:8" x14ac:dyDescent="0.25">
      <c r="A1088" s="26">
        <v>348</v>
      </c>
      <c r="B1088" s="25">
        <v>0.89176</v>
      </c>
      <c r="C1088" s="68">
        <f t="shared" si="97"/>
        <v>3.2471999999999994</v>
      </c>
      <c r="D1088" s="69">
        <f t="shared" si="98"/>
        <v>-11.752800000000001</v>
      </c>
      <c r="E1088" s="70">
        <f t="shared" si="99"/>
        <v>-26.752800000000001</v>
      </c>
      <c r="F1088" s="71">
        <f t="shared" si="100"/>
        <v>-3.2471999999999994</v>
      </c>
      <c r="G1088" s="72">
        <f t="shared" si="101"/>
        <v>11.752800000000001</v>
      </c>
      <c r="H1088" s="73">
        <f t="shared" si="102"/>
        <v>26.752800000000001</v>
      </c>
    </row>
    <row r="1089" spans="1:8" x14ac:dyDescent="0.25">
      <c r="A1089" s="26">
        <v>349</v>
      </c>
      <c r="B1089" s="25">
        <v>0.89234999999999998</v>
      </c>
      <c r="C1089" s="68">
        <f t="shared" si="97"/>
        <v>3.2295000000000016</v>
      </c>
      <c r="D1089" s="69">
        <f t="shared" si="98"/>
        <v>-11.770499999999998</v>
      </c>
      <c r="E1089" s="70">
        <f t="shared" si="99"/>
        <v>-26.770499999999998</v>
      </c>
      <c r="F1089" s="71">
        <f t="shared" si="100"/>
        <v>-3.2295000000000016</v>
      </c>
      <c r="G1089" s="72">
        <f t="shared" si="101"/>
        <v>11.770499999999998</v>
      </c>
      <c r="H1089" s="73">
        <f t="shared" si="102"/>
        <v>26.770499999999998</v>
      </c>
    </row>
    <row r="1090" spans="1:8" x14ac:dyDescent="0.25">
      <c r="A1090" s="26">
        <v>350</v>
      </c>
      <c r="B1090" s="25">
        <v>0.89293999999999996</v>
      </c>
      <c r="C1090" s="68">
        <f t="shared" si="97"/>
        <v>3.2118000000000002</v>
      </c>
      <c r="D1090" s="69">
        <f t="shared" si="98"/>
        <v>-11.7882</v>
      </c>
      <c r="E1090" s="70">
        <f t="shared" si="99"/>
        <v>-26.7882</v>
      </c>
      <c r="F1090" s="71">
        <f t="shared" si="100"/>
        <v>-3.2118000000000002</v>
      </c>
      <c r="G1090" s="72">
        <f t="shared" si="101"/>
        <v>11.7882</v>
      </c>
      <c r="H1090" s="73">
        <f t="shared" si="102"/>
        <v>26.7882</v>
      </c>
    </row>
    <row r="1091" spans="1:8" x14ac:dyDescent="0.25">
      <c r="A1091" s="26">
        <v>351</v>
      </c>
      <c r="B1091" s="25">
        <v>0.89353000000000005</v>
      </c>
      <c r="C1091" s="68">
        <f t="shared" si="97"/>
        <v>3.1940999999999988</v>
      </c>
      <c r="D1091" s="69">
        <f t="shared" si="98"/>
        <v>-11.805900000000001</v>
      </c>
      <c r="E1091" s="70">
        <f t="shared" si="99"/>
        <v>-26.805900000000001</v>
      </c>
      <c r="F1091" s="71">
        <f t="shared" si="100"/>
        <v>-3.1940999999999988</v>
      </c>
      <c r="G1091" s="72">
        <f t="shared" si="101"/>
        <v>11.805900000000001</v>
      </c>
      <c r="H1091" s="73">
        <f t="shared" si="102"/>
        <v>26.805900000000001</v>
      </c>
    </row>
    <row r="1092" spans="1:8" x14ac:dyDescent="0.25">
      <c r="A1092" s="26">
        <v>352</v>
      </c>
      <c r="B1092" s="25">
        <v>0.89412000000000003</v>
      </c>
      <c r="C1092" s="68">
        <f t="shared" si="97"/>
        <v>3.176400000000001</v>
      </c>
      <c r="D1092" s="69">
        <f t="shared" si="98"/>
        <v>-11.823599999999999</v>
      </c>
      <c r="E1092" s="70">
        <f t="shared" si="99"/>
        <v>-26.823599999999999</v>
      </c>
      <c r="F1092" s="71">
        <f t="shared" si="100"/>
        <v>-3.176400000000001</v>
      </c>
      <c r="G1092" s="72">
        <f t="shared" si="101"/>
        <v>11.823599999999999</v>
      </c>
      <c r="H1092" s="73">
        <f t="shared" si="102"/>
        <v>26.823599999999999</v>
      </c>
    </row>
    <row r="1093" spans="1:8" x14ac:dyDescent="0.25">
      <c r="A1093" s="26">
        <v>353</v>
      </c>
      <c r="B1093" s="25">
        <v>0.89471000000000001</v>
      </c>
      <c r="C1093" s="68">
        <f t="shared" si="97"/>
        <v>3.1586999999999996</v>
      </c>
      <c r="D1093" s="69">
        <f t="shared" si="98"/>
        <v>-11.8413</v>
      </c>
      <c r="E1093" s="70">
        <f t="shared" si="99"/>
        <v>-26.8413</v>
      </c>
      <c r="F1093" s="71">
        <f t="shared" si="100"/>
        <v>-3.1586999999999996</v>
      </c>
      <c r="G1093" s="72">
        <f t="shared" si="101"/>
        <v>11.8413</v>
      </c>
      <c r="H1093" s="73">
        <f t="shared" si="102"/>
        <v>26.8413</v>
      </c>
    </row>
    <row r="1094" spans="1:8" x14ac:dyDescent="0.25">
      <c r="A1094" s="26">
        <v>354</v>
      </c>
      <c r="B1094" s="25">
        <v>0.89529000000000003</v>
      </c>
      <c r="C1094" s="68">
        <f t="shared" si="97"/>
        <v>3.1412999999999975</v>
      </c>
      <c r="D1094" s="69">
        <f t="shared" si="98"/>
        <v>-11.858700000000002</v>
      </c>
      <c r="E1094" s="70">
        <f t="shared" si="99"/>
        <v>-26.858700000000002</v>
      </c>
      <c r="F1094" s="71">
        <f t="shared" si="100"/>
        <v>-3.1412999999999975</v>
      </c>
      <c r="G1094" s="72">
        <f t="shared" si="101"/>
        <v>11.858700000000002</v>
      </c>
      <c r="H1094" s="73">
        <f t="shared" si="102"/>
        <v>26.858700000000002</v>
      </c>
    </row>
    <row r="1095" spans="1:8" x14ac:dyDescent="0.25">
      <c r="A1095" s="26">
        <v>355</v>
      </c>
      <c r="B1095" s="25">
        <v>0.89588000000000001</v>
      </c>
      <c r="C1095" s="68">
        <f t="shared" ref="C1095:C1158" si="103">KFactor-KFactor*B1095</f>
        <v>3.1235999999999997</v>
      </c>
      <c r="D1095" s="69">
        <f t="shared" ref="D1095:D1158" si="104">KFactor/2-KFactor*B1095</f>
        <v>-11.8764</v>
      </c>
      <c r="E1095" s="70">
        <f t="shared" ref="E1095:E1158" si="105">0-KFactor*B1095</f>
        <v>-26.8764</v>
      </c>
      <c r="F1095" s="71">
        <f t="shared" ref="F1095:F1158" si="106">-C1095</f>
        <v>-3.1235999999999997</v>
      </c>
      <c r="G1095" s="72">
        <f t="shared" ref="G1095:G1158" si="107">-D1095</f>
        <v>11.8764</v>
      </c>
      <c r="H1095" s="73">
        <f t="shared" ref="H1095:H1158" si="108">-E1095</f>
        <v>26.8764</v>
      </c>
    </row>
    <row r="1096" spans="1:8" x14ac:dyDescent="0.25">
      <c r="A1096" s="26">
        <v>356</v>
      </c>
      <c r="B1096" s="25">
        <v>0.89646999999999999</v>
      </c>
      <c r="C1096" s="68">
        <f t="shared" si="103"/>
        <v>3.1059000000000019</v>
      </c>
      <c r="D1096" s="69">
        <f t="shared" si="104"/>
        <v>-11.894099999999998</v>
      </c>
      <c r="E1096" s="70">
        <f t="shared" si="105"/>
        <v>-26.894099999999998</v>
      </c>
      <c r="F1096" s="71">
        <f t="shared" si="106"/>
        <v>-3.1059000000000019</v>
      </c>
      <c r="G1096" s="72">
        <f t="shared" si="107"/>
        <v>11.894099999999998</v>
      </c>
      <c r="H1096" s="73">
        <f t="shared" si="108"/>
        <v>26.894099999999998</v>
      </c>
    </row>
    <row r="1097" spans="1:8" x14ac:dyDescent="0.25">
      <c r="A1097" s="26">
        <v>357</v>
      </c>
      <c r="B1097" s="25">
        <v>0.89705999999999997</v>
      </c>
      <c r="C1097" s="68">
        <f t="shared" si="103"/>
        <v>3.0882000000000005</v>
      </c>
      <c r="D1097" s="69">
        <f t="shared" si="104"/>
        <v>-11.911799999999999</v>
      </c>
      <c r="E1097" s="70">
        <f t="shared" si="105"/>
        <v>-26.911799999999999</v>
      </c>
      <c r="F1097" s="71">
        <f t="shared" si="106"/>
        <v>-3.0882000000000005</v>
      </c>
      <c r="G1097" s="72">
        <f t="shared" si="107"/>
        <v>11.911799999999999</v>
      </c>
      <c r="H1097" s="73">
        <f t="shared" si="108"/>
        <v>26.911799999999999</v>
      </c>
    </row>
    <row r="1098" spans="1:8" x14ac:dyDescent="0.25">
      <c r="A1098" s="26">
        <v>358</v>
      </c>
      <c r="B1098" s="25">
        <v>0.9</v>
      </c>
      <c r="C1098" s="68">
        <f t="shared" si="103"/>
        <v>3</v>
      </c>
      <c r="D1098" s="69">
        <f t="shared" si="104"/>
        <v>-12</v>
      </c>
      <c r="E1098" s="70">
        <f t="shared" si="105"/>
        <v>-27</v>
      </c>
      <c r="F1098" s="71">
        <f t="shared" si="106"/>
        <v>-3</v>
      </c>
      <c r="G1098" s="72">
        <f t="shared" si="107"/>
        <v>12</v>
      </c>
      <c r="H1098" s="73">
        <f t="shared" si="108"/>
        <v>27</v>
      </c>
    </row>
    <row r="1099" spans="1:8" x14ac:dyDescent="0.25">
      <c r="A1099" s="26">
        <v>359</v>
      </c>
      <c r="B1099" s="25">
        <v>0.90059</v>
      </c>
      <c r="C1099" s="68">
        <f t="shared" si="103"/>
        <v>2.9822999999999986</v>
      </c>
      <c r="D1099" s="69">
        <f t="shared" si="104"/>
        <v>-12.017700000000001</v>
      </c>
      <c r="E1099" s="70">
        <f t="shared" si="105"/>
        <v>-27.017700000000001</v>
      </c>
      <c r="F1099" s="71">
        <f t="shared" si="106"/>
        <v>-2.9822999999999986</v>
      </c>
      <c r="G1099" s="72">
        <f t="shared" si="107"/>
        <v>12.017700000000001</v>
      </c>
      <c r="H1099" s="73">
        <f t="shared" si="108"/>
        <v>27.017700000000001</v>
      </c>
    </row>
    <row r="1100" spans="1:8" x14ac:dyDescent="0.25">
      <c r="A1100" s="26">
        <v>360</v>
      </c>
      <c r="B1100" s="25">
        <v>0.90117999999999998</v>
      </c>
      <c r="C1100" s="68">
        <f t="shared" si="103"/>
        <v>2.9646000000000008</v>
      </c>
      <c r="D1100" s="69">
        <f t="shared" si="104"/>
        <v>-12.035399999999999</v>
      </c>
      <c r="E1100" s="70">
        <f t="shared" si="105"/>
        <v>-27.035399999999999</v>
      </c>
      <c r="F1100" s="71">
        <f t="shared" si="106"/>
        <v>-2.9646000000000008</v>
      </c>
      <c r="G1100" s="72">
        <f t="shared" si="107"/>
        <v>12.035399999999999</v>
      </c>
      <c r="H1100" s="73">
        <f t="shared" si="108"/>
        <v>27.035399999999999</v>
      </c>
    </row>
    <row r="1101" spans="1:8" x14ac:dyDescent="0.25">
      <c r="A1101" s="26">
        <v>361</v>
      </c>
      <c r="B1101" s="25">
        <v>0.90176000000000001</v>
      </c>
      <c r="C1101" s="68">
        <f t="shared" si="103"/>
        <v>2.9471999999999987</v>
      </c>
      <c r="D1101" s="69">
        <f t="shared" si="104"/>
        <v>-12.052800000000001</v>
      </c>
      <c r="E1101" s="70">
        <f t="shared" si="105"/>
        <v>-27.052800000000001</v>
      </c>
      <c r="F1101" s="71">
        <f t="shared" si="106"/>
        <v>-2.9471999999999987</v>
      </c>
      <c r="G1101" s="72">
        <f t="shared" si="107"/>
        <v>12.052800000000001</v>
      </c>
      <c r="H1101" s="73">
        <f t="shared" si="108"/>
        <v>27.052800000000001</v>
      </c>
    </row>
    <row r="1102" spans="1:8" x14ac:dyDescent="0.25">
      <c r="A1102" s="26">
        <v>362</v>
      </c>
      <c r="B1102" s="25">
        <v>0.90234999999999999</v>
      </c>
      <c r="C1102" s="68">
        <f t="shared" si="103"/>
        <v>2.9295000000000009</v>
      </c>
      <c r="D1102" s="69">
        <f t="shared" si="104"/>
        <v>-12.070499999999999</v>
      </c>
      <c r="E1102" s="70">
        <f t="shared" si="105"/>
        <v>-27.070499999999999</v>
      </c>
      <c r="F1102" s="71">
        <f t="shared" si="106"/>
        <v>-2.9295000000000009</v>
      </c>
      <c r="G1102" s="72">
        <f t="shared" si="107"/>
        <v>12.070499999999999</v>
      </c>
      <c r="H1102" s="73">
        <f t="shared" si="108"/>
        <v>27.070499999999999</v>
      </c>
    </row>
    <row r="1103" spans="1:8" x14ac:dyDescent="0.25">
      <c r="A1103" s="26">
        <v>363</v>
      </c>
      <c r="B1103" s="25">
        <v>0.90293999999999996</v>
      </c>
      <c r="C1103" s="68">
        <f t="shared" si="103"/>
        <v>2.9117999999999995</v>
      </c>
      <c r="D1103" s="69">
        <f t="shared" si="104"/>
        <v>-12.088200000000001</v>
      </c>
      <c r="E1103" s="70">
        <f t="shared" si="105"/>
        <v>-27.088200000000001</v>
      </c>
      <c r="F1103" s="71">
        <f t="shared" si="106"/>
        <v>-2.9117999999999995</v>
      </c>
      <c r="G1103" s="72">
        <f t="shared" si="107"/>
        <v>12.088200000000001</v>
      </c>
      <c r="H1103" s="73">
        <f t="shared" si="108"/>
        <v>27.088200000000001</v>
      </c>
    </row>
    <row r="1104" spans="1:8" x14ac:dyDescent="0.25">
      <c r="A1104" s="26">
        <v>364</v>
      </c>
      <c r="B1104" s="25">
        <v>0.90353000000000006</v>
      </c>
      <c r="C1104" s="68">
        <f t="shared" si="103"/>
        <v>2.8940999999999981</v>
      </c>
      <c r="D1104" s="69">
        <f t="shared" si="104"/>
        <v>-12.105900000000002</v>
      </c>
      <c r="E1104" s="70">
        <f t="shared" si="105"/>
        <v>-27.105900000000002</v>
      </c>
      <c r="F1104" s="71">
        <f t="shared" si="106"/>
        <v>-2.8940999999999981</v>
      </c>
      <c r="G1104" s="72">
        <f t="shared" si="107"/>
        <v>12.105900000000002</v>
      </c>
      <c r="H1104" s="73">
        <f t="shared" si="108"/>
        <v>27.105900000000002</v>
      </c>
    </row>
    <row r="1105" spans="1:8" x14ac:dyDescent="0.25">
      <c r="A1105" s="26">
        <v>365</v>
      </c>
      <c r="B1105" s="25">
        <v>0.90412000000000003</v>
      </c>
      <c r="C1105" s="68">
        <f t="shared" si="103"/>
        <v>2.8764000000000003</v>
      </c>
      <c r="D1105" s="69">
        <f t="shared" si="104"/>
        <v>-12.1236</v>
      </c>
      <c r="E1105" s="70">
        <f t="shared" si="105"/>
        <v>-27.1236</v>
      </c>
      <c r="F1105" s="71">
        <f t="shared" si="106"/>
        <v>-2.8764000000000003</v>
      </c>
      <c r="G1105" s="72">
        <f t="shared" si="107"/>
        <v>12.1236</v>
      </c>
      <c r="H1105" s="73">
        <f t="shared" si="108"/>
        <v>27.1236</v>
      </c>
    </row>
    <row r="1106" spans="1:8" x14ac:dyDescent="0.25">
      <c r="A1106" s="26">
        <v>366</v>
      </c>
      <c r="B1106" s="25">
        <v>0.90471000000000001</v>
      </c>
      <c r="C1106" s="68">
        <f t="shared" si="103"/>
        <v>2.8586999999999989</v>
      </c>
      <c r="D1106" s="69">
        <f t="shared" si="104"/>
        <v>-12.141300000000001</v>
      </c>
      <c r="E1106" s="70">
        <f t="shared" si="105"/>
        <v>-27.141300000000001</v>
      </c>
      <c r="F1106" s="71">
        <f t="shared" si="106"/>
        <v>-2.8586999999999989</v>
      </c>
      <c r="G1106" s="72">
        <f t="shared" si="107"/>
        <v>12.141300000000001</v>
      </c>
      <c r="H1106" s="73">
        <f t="shared" si="108"/>
        <v>27.141300000000001</v>
      </c>
    </row>
    <row r="1107" spans="1:8" x14ac:dyDescent="0.25">
      <c r="A1107" s="26">
        <v>367</v>
      </c>
      <c r="B1107" s="25">
        <v>0.90529000000000004</v>
      </c>
      <c r="C1107" s="68">
        <f t="shared" si="103"/>
        <v>2.8413000000000004</v>
      </c>
      <c r="D1107" s="69">
        <f t="shared" si="104"/>
        <v>-12.1587</v>
      </c>
      <c r="E1107" s="70">
        <f t="shared" si="105"/>
        <v>-27.1587</v>
      </c>
      <c r="F1107" s="71">
        <f t="shared" si="106"/>
        <v>-2.8413000000000004</v>
      </c>
      <c r="G1107" s="72">
        <f t="shared" si="107"/>
        <v>12.1587</v>
      </c>
      <c r="H1107" s="73">
        <f t="shared" si="108"/>
        <v>27.1587</v>
      </c>
    </row>
    <row r="1108" spans="1:8" x14ac:dyDescent="0.25">
      <c r="A1108" s="26">
        <v>368</v>
      </c>
      <c r="B1108" s="25">
        <v>0.90588000000000002</v>
      </c>
      <c r="C1108" s="68">
        <f t="shared" si="103"/>
        <v>2.823599999999999</v>
      </c>
      <c r="D1108" s="69">
        <f t="shared" si="104"/>
        <v>-12.176400000000001</v>
      </c>
      <c r="E1108" s="70">
        <f t="shared" si="105"/>
        <v>-27.176400000000001</v>
      </c>
      <c r="F1108" s="71">
        <f t="shared" si="106"/>
        <v>-2.823599999999999</v>
      </c>
      <c r="G1108" s="72">
        <f t="shared" si="107"/>
        <v>12.176400000000001</v>
      </c>
      <c r="H1108" s="73">
        <f t="shared" si="108"/>
        <v>27.176400000000001</v>
      </c>
    </row>
    <row r="1109" spans="1:8" x14ac:dyDescent="0.25">
      <c r="A1109" s="26">
        <v>369</v>
      </c>
      <c r="B1109" s="25">
        <v>0.90647</v>
      </c>
      <c r="C1109" s="68">
        <f t="shared" si="103"/>
        <v>2.8059000000000012</v>
      </c>
      <c r="D1109" s="69">
        <f t="shared" si="104"/>
        <v>-12.194099999999999</v>
      </c>
      <c r="E1109" s="70">
        <f t="shared" si="105"/>
        <v>-27.194099999999999</v>
      </c>
      <c r="F1109" s="71">
        <f t="shared" si="106"/>
        <v>-2.8059000000000012</v>
      </c>
      <c r="G1109" s="72">
        <f t="shared" si="107"/>
        <v>12.194099999999999</v>
      </c>
      <c r="H1109" s="73">
        <f t="shared" si="108"/>
        <v>27.194099999999999</v>
      </c>
    </row>
    <row r="1110" spans="1:8" x14ac:dyDescent="0.25">
      <c r="A1110" s="26">
        <v>370</v>
      </c>
      <c r="B1110" s="25">
        <v>0.90705999999999998</v>
      </c>
      <c r="C1110" s="68">
        <f t="shared" si="103"/>
        <v>2.7881999999999998</v>
      </c>
      <c r="D1110" s="69">
        <f t="shared" si="104"/>
        <v>-12.2118</v>
      </c>
      <c r="E1110" s="70">
        <f t="shared" si="105"/>
        <v>-27.2118</v>
      </c>
      <c r="F1110" s="71">
        <f t="shared" si="106"/>
        <v>-2.7881999999999998</v>
      </c>
      <c r="G1110" s="72">
        <f t="shared" si="107"/>
        <v>12.2118</v>
      </c>
      <c r="H1110" s="73">
        <f t="shared" si="108"/>
        <v>27.2118</v>
      </c>
    </row>
    <row r="1111" spans="1:8" x14ac:dyDescent="0.25">
      <c r="A1111" s="26">
        <v>371</v>
      </c>
      <c r="B1111" s="25">
        <v>0.90764999999999996</v>
      </c>
      <c r="C1111" s="68">
        <f t="shared" si="103"/>
        <v>2.770500000000002</v>
      </c>
      <c r="D1111" s="69">
        <f t="shared" si="104"/>
        <v>-12.229499999999998</v>
      </c>
      <c r="E1111" s="70">
        <f t="shared" si="105"/>
        <v>-27.229499999999998</v>
      </c>
      <c r="F1111" s="71">
        <f t="shared" si="106"/>
        <v>-2.770500000000002</v>
      </c>
      <c r="G1111" s="72">
        <f t="shared" si="107"/>
        <v>12.229499999999998</v>
      </c>
      <c r="H1111" s="73">
        <f t="shared" si="108"/>
        <v>27.229499999999998</v>
      </c>
    </row>
    <row r="1112" spans="1:8" x14ac:dyDescent="0.25">
      <c r="A1112" s="26">
        <v>372</v>
      </c>
      <c r="B1112" s="25">
        <v>0.90824000000000005</v>
      </c>
      <c r="C1112" s="68">
        <f t="shared" si="103"/>
        <v>2.752799999999997</v>
      </c>
      <c r="D1112" s="69">
        <f t="shared" si="104"/>
        <v>-12.247200000000003</v>
      </c>
      <c r="E1112" s="70">
        <f t="shared" si="105"/>
        <v>-27.247200000000003</v>
      </c>
      <c r="F1112" s="71">
        <f t="shared" si="106"/>
        <v>-2.752799999999997</v>
      </c>
      <c r="G1112" s="72">
        <f t="shared" si="107"/>
        <v>12.247200000000003</v>
      </c>
      <c r="H1112" s="73">
        <f t="shared" si="108"/>
        <v>27.247200000000003</v>
      </c>
    </row>
    <row r="1113" spans="1:8" x14ac:dyDescent="0.25">
      <c r="A1113" s="26">
        <v>373</v>
      </c>
      <c r="B1113" s="25">
        <v>0.90881999999999996</v>
      </c>
      <c r="C1113" s="68">
        <f t="shared" si="103"/>
        <v>2.7354000000000021</v>
      </c>
      <c r="D1113" s="69">
        <f t="shared" si="104"/>
        <v>-12.264599999999998</v>
      </c>
      <c r="E1113" s="70">
        <f t="shared" si="105"/>
        <v>-27.264599999999998</v>
      </c>
      <c r="F1113" s="71">
        <f t="shared" si="106"/>
        <v>-2.7354000000000021</v>
      </c>
      <c r="G1113" s="72">
        <f t="shared" si="107"/>
        <v>12.264599999999998</v>
      </c>
      <c r="H1113" s="73">
        <f t="shared" si="108"/>
        <v>27.264599999999998</v>
      </c>
    </row>
    <row r="1114" spans="1:8" x14ac:dyDescent="0.25">
      <c r="A1114" s="26">
        <v>374</v>
      </c>
      <c r="B1114" s="25">
        <v>0.90941000000000005</v>
      </c>
      <c r="C1114" s="68">
        <f t="shared" si="103"/>
        <v>2.7176999999999971</v>
      </c>
      <c r="D1114" s="69">
        <f t="shared" si="104"/>
        <v>-12.282300000000003</v>
      </c>
      <c r="E1114" s="70">
        <f t="shared" si="105"/>
        <v>-27.282300000000003</v>
      </c>
      <c r="F1114" s="71">
        <f t="shared" si="106"/>
        <v>-2.7176999999999971</v>
      </c>
      <c r="G1114" s="72">
        <f t="shared" si="107"/>
        <v>12.282300000000003</v>
      </c>
      <c r="H1114" s="73">
        <f t="shared" si="108"/>
        <v>27.282300000000003</v>
      </c>
    </row>
    <row r="1115" spans="1:8" x14ac:dyDescent="0.25">
      <c r="A1115" s="26">
        <v>375</v>
      </c>
      <c r="B1115" s="25">
        <v>0.91</v>
      </c>
      <c r="C1115" s="68">
        <f t="shared" si="103"/>
        <v>2.6999999999999993</v>
      </c>
      <c r="D1115" s="69">
        <f t="shared" si="104"/>
        <v>-12.3</v>
      </c>
      <c r="E1115" s="70">
        <f t="shared" si="105"/>
        <v>-27.3</v>
      </c>
      <c r="F1115" s="71">
        <f t="shared" si="106"/>
        <v>-2.6999999999999993</v>
      </c>
      <c r="G1115" s="72">
        <f t="shared" si="107"/>
        <v>12.3</v>
      </c>
      <c r="H1115" s="73">
        <f t="shared" si="108"/>
        <v>27.3</v>
      </c>
    </row>
    <row r="1116" spans="1:8" x14ac:dyDescent="0.25">
      <c r="A1116" s="26">
        <v>376</v>
      </c>
      <c r="B1116" s="25">
        <v>0.91059000000000001</v>
      </c>
      <c r="C1116" s="68">
        <f t="shared" si="103"/>
        <v>2.6822999999999979</v>
      </c>
      <c r="D1116" s="69">
        <f t="shared" si="104"/>
        <v>-12.317700000000002</v>
      </c>
      <c r="E1116" s="70">
        <f t="shared" si="105"/>
        <v>-27.317700000000002</v>
      </c>
      <c r="F1116" s="71">
        <f t="shared" si="106"/>
        <v>-2.6822999999999979</v>
      </c>
      <c r="G1116" s="72">
        <f t="shared" si="107"/>
        <v>12.317700000000002</v>
      </c>
      <c r="H1116" s="73">
        <f t="shared" si="108"/>
        <v>27.317700000000002</v>
      </c>
    </row>
    <row r="1117" spans="1:8" x14ac:dyDescent="0.25">
      <c r="A1117" s="26">
        <v>377</v>
      </c>
      <c r="B1117" s="25">
        <v>0.91117999999999999</v>
      </c>
      <c r="C1117" s="68">
        <f t="shared" si="103"/>
        <v>2.6646000000000001</v>
      </c>
      <c r="D1117" s="69">
        <f t="shared" si="104"/>
        <v>-12.3354</v>
      </c>
      <c r="E1117" s="70">
        <f t="shared" si="105"/>
        <v>-27.3354</v>
      </c>
      <c r="F1117" s="71">
        <f t="shared" si="106"/>
        <v>-2.6646000000000001</v>
      </c>
      <c r="G1117" s="72">
        <f t="shared" si="107"/>
        <v>12.3354</v>
      </c>
      <c r="H1117" s="73">
        <f t="shared" si="108"/>
        <v>27.3354</v>
      </c>
    </row>
    <row r="1118" spans="1:8" x14ac:dyDescent="0.25">
      <c r="A1118" s="26">
        <v>378</v>
      </c>
      <c r="B1118" s="25">
        <v>0.91176000000000001</v>
      </c>
      <c r="C1118" s="68">
        <f t="shared" si="103"/>
        <v>2.647199999999998</v>
      </c>
      <c r="D1118" s="69">
        <f t="shared" si="104"/>
        <v>-12.352800000000002</v>
      </c>
      <c r="E1118" s="70">
        <f t="shared" si="105"/>
        <v>-27.352800000000002</v>
      </c>
      <c r="F1118" s="71">
        <f t="shared" si="106"/>
        <v>-2.647199999999998</v>
      </c>
      <c r="G1118" s="72">
        <f t="shared" si="107"/>
        <v>12.352800000000002</v>
      </c>
      <c r="H1118" s="73">
        <f t="shared" si="108"/>
        <v>27.352800000000002</v>
      </c>
    </row>
    <row r="1119" spans="1:8" x14ac:dyDescent="0.25">
      <c r="A1119" s="26">
        <v>379</v>
      </c>
      <c r="B1119" s="25">
        <v>0.91234999999999999</v>
      </c>
      <c r="C1119" s="68">
        <f t="shared" si="103"/>
        <v>2.6295000000000002</v>
      </c>
      <c r="D1119" s="69">
        <f t="shared" si="104"/>
        <v>-12.3705</v>
      </c>
      <c r="E1119" s="70">
        <f t="shared" si="105"/>
        <v>-27.3705</v>
      </c>
      <c r="F1119" s="71">
        <f t="shared" si="106"/>
        <v>-2.6295000000000002</v>
      </c>
      <c r="G1119" s="72">
        <f t="shared" si="107"/>
        <v>12.3705</v>
      </c>
      <c r="H1119" s="73">
        <f t="shared" si="108"/>
        <v>27.3705</v>
      </c>
    </row>
    <row r="1120" spans="1:8" x14ac:dyDescent="0.25">
      <c r="A1120" s="26">
        <v>380</v>
      </c>
      <c r="B1120" s="25">
        <v>0.91293999999999997</v>
      </c>
      <c r="C1120" s="68">
        <f t="shared" si="103"/>
        <v>2.6118000000000023</v>
      </c>
      <c r="D1120" s="69">
        <f t="shared" si="104"/>
        <v>-12.388199999999998</v>
      </c>
      <c r="E1120" s="70">
        <f t="shared" si="105"/>
        <v>-27.388199999999998</v>
      </c>
      <c r="F1120" s="71">
        <f t="shared" si="106"/>
        <v>-2.6118000000000023</v>
      </c>
      <c r="G1120" s="72">
        <f t="shared" si="107"/>
        <v>12.388199999999998</v>
      </c>
      <c r="H1120" s="73">
        <f t="shared" si="108"/>
        <v>27.388199999999998</v>
      </c>
    </row>
    <row r="1121" spans="1:8" x14ac:dyDescent="0.25">
      <c r="A1121" s="26">
        <v>381</v>
      </c>
      <c r="B1121" s="25">
        <v>0.91352999999999995</v>
      </c>
      <c r="C1121" s="68">
        <f t="shared" si="103"/>
        <v>2.594100000000001</v>
      </c>
      <c r="D1121" s="69">
        <f t="shared" si="104"/>
        <v>-12.405899999999999</v>
      </c>
      <c r="E1121" s="70">
        <f t="shared" si="105"/>
        <v>-27.405899999999999</v>
      </c>
      <c r="F1121" s="71">
        <f t="shared" si="106"/>
        <v>-2.594100000000001</v>
      </c>
      <c r="G1121" s="72">
        <f t="shared" si="107"/>
        <v>12.405899999999999</v>
      </c>
      <c r="H1121" s="73">
        <f t="shared" si="108"/>
        <v>27.405899999999999</v>
      </c>
    </row>
    <row r="1122" spans="1:8" x14ac:dyDescent="0.25">
      <c r="A1122" s="26">
        <v>382</v>
      </c>
      <c r="B1122" s="25">
        <v>0.91412000000000004</v>
      </c>
      <c r="C1122" s="68">
        <f t="shared" si="103"/>
        <v>2.5763999999999996</v>
      </c>
      <c r="D1122" s="69">
        <f t="shared" si="104"/>
        <v>-12.4236</v>
      </c>
      <c r="E1122" s="70">
        <f t="shared" si="105"/>
        <v>-27.4236</v>
      </c>
      <c r="F1122" s="71">
        <f t="shared" si="106"/>
        <v>-2.5763999999999996</v>
      </c>
      <c r="G1122" s="72">
        <f t="shared" si="107"/>
        <v>12.4236</v>
      </c>
      <c r="H1122" s="73">
        <f t="shared" si="108"/>
        <v>27.4236</v>
      </c>
    </row>
    <row r="1123" spans="1:8" x14ac:dyDescent="0.25">
      <c r="A1123" s="26">
        <v>383</v>
      </c>
      <c r="B1123" s="25">
        <v>0.91471000000000002</v>
      </c>
      <c r="C1123" s="68">
        <f t="shared" si="103"/>
        <v>2.5586999999999982</v>
      </c>
      <c r="D1123" s="69">
        <f t="shared" si="104"/>
        <v>-12.441300000000002</v>
      </c>
      <c r="E1123" s="70">
        <f t="shared" si="105"/>
        <v>-27.441300000000002</v>
      </c>
      <c r="F1123" s="71">
        <f t="shared" si="106"/>
        <v>-2.5586999999999982</v>
      </c>
      <c r="G1123" s="72">
        <f t="shared" si="107"/>
        <v>12.441300000000002</v>
      </c>
      <c r="H1123" s="73">
        <f t="shared" si="108"/>
        <v>27.441300000000002</v>
      </c>
    </row>
    <row r="1124" spans="1:8" x14ac:dyDescent="0.25">
      <c r="A1124" s="26">
        <v>384</v>
      </c>
      <c r="B1124" s="25">
        <v>0.91529000000000005</v>
      </c>
      <c r="C1124" s="68">
        <f t="shared" si="103"/>
        <v>2.5412999999999997</v>
      </c>
      <c r="D1124" s="69">
        <f t="shared" si="104"/>
        <v>-12.4587</v>
      </c>
      <c r="E1124" s="70">
        <f t="shared" si="105"/>
        <v>-27.4587</v>
      </c>
      <c r="F1124" s="71">
        <f t="shared" si="106"/>
        <v>-2.5412999999999997</v>
      </c>
      <c r="G1124" s="72">
        <f t="shared" si="107"/>
        <v>12.4587</v>
      </c>
      <c r="H1124" s="73">
        <f t="shared" si="108"/>
        <v>27.4587</v>
      </c>
    </row>
    <row r="1125" spans="1:8" x14ac:dyDescent="0.25">
      <c r="A1125" s="26">
        <v>385</v>
      </c>
      <c r="B1125" s="25">
        <v>0.91588000000000003</v>
      </c>
      <c r="C1125" s="68">
        <f t="shared" si="103"/>
        <v>2.5235999999999983</v>
      </c>
      <c r="D1125" s="69">
        <f t="shared" si="104"/>
        <v>-12.476400000000002</v>
      </c>
      <c r="E1125" s="70">
        <f t="shared" si="105"/>
        <v>-27.476400000000002</v>
      </c>
      <c r="F1125" s="71">
        <f t="shared" si="106"/>
        <v>-2.5235999999999983</v>
      </c>
      <c r="G1125" s="72">
        <f t="shared" si="107"/>
        <v>12.476400000000002</v>
      </c>
      <c r="H1125" s="73">
        <f t="shared" si="108"/>
        <v>27.476400000000002</v>
      </c>
    </row>
    <row r="1126" spans="1:8" x14ac:dyDescent="0.25">
      <c r="A1126" s="26">
        <v>386</v>
      </c>
      <c r="B1126" s="25">
        <v>0.91647000000000001</v>
      </c>
      <c r="C1126" s="68">
        <f t="shared" si="103"/>
        <v>2.5059000000000005</v>
      </c>
      <c r="D1126" s="69">
        <f t="shared" si="104"/>
        <v>-12.4941</v>
      </c>
      <c r="E1126" s="70">
        <f t="shared" si="105"/>
        <v>-27.4941</v>
      </c>
      <c r="F1126" s="71">
        <f t="shared" si="106"/>
        <v>-2.5059000000000005</v>
      </c>
      <c r="G1126" s="72">
        <f t="shared" si="107"/>
        <v>12.4941</v>
      </c>
      <c r="H1126" s="73">
        <f t="shared" si="108"/>
        <v>27.4941</v>
      </c>
    </row>
    <row r="1127" spans="1:8" x14ac:dyDescent="0.25">
      <c r="A1127" s="26">
        <v>387</v>
      </c>
      <c r="B1127" s="25">
        <v>0.91705999999999999</v>
      </c>
      <c r="C1127" s="68">
        <f t="shared" si="103"/>
        <v>2.4881999999999991</v>
      </c>
      <c r="D1127" s="69">
        <f t="shared" si="104"/>
        <v>-12.511800000000001</v>
      </c>
      <c r="E1127" s="70">
        <f t="shared" si="105"/>
        <v>-27.511800000000001</v>
      </c>
      <c r="F1127" s="71">
        <f t="shared" si="106"/>
        <v>-2.4881999999999991</v>
      </c>
      <c r="G1127" s="72">
        <f t="shared" si="107"/>
        <v>12.511800000000001</v>
      </c>
      <c r="H1127" s="73">
        <f t="shared" si="108"/>
        <v>27.511800000000001</v>
      </c>
    </row>
    <row r="1128" spans="1:8" x14ac:dyDescent="0.25">
      <c r="A1128" s="26">
        <v>388</v>
      </c>
      <c r="B1128" s="25">
        <v>0.91764999999999997</v>
      </c>
      <c r="C1128" s="68">
        <f t="shared" si="103"/>
        <v>2.4705000000000013</v>
      </c>
      <c r="D1128" s="69">
        <f t="shared" si="104"/>
        <v>-12.529499999999999</v>
      </c>
      <c r="E1128" s="70">
        <f t="shared" si="105"/>
        <v>-27.529499999999999</v>
      </c>
      <c r="F1128" s="71">
        <f t="shared" si="106"/>
        <v>-2.4705000000000013</v>
      </c>
      <c r="G1128" s="72">
        <f t="shared" si="107"/>
        <v>12.529499999999999</v>
      </c>
      <c r="H1128" s="73">
        <f t="shared" si="108"/>
        <v>27.529499999999999</v>
      </c>
    </row>
    <row r="1129" spans="1:8" x14ac:dyDescent="0.25">
      <c r="A1129" s="26">
        <v>389</v>
      </c>
      <c r="B1129" s="25">
        <v>0.91823999999999995</v>
      </c>
      <c r="C1129" s="68">
        <f t="shared" si="103"/>
        <v>2.4528000000000034</v>
      </c>
      <c r="D1129" s="69">
        <f t="shared" si="104"/>
        <v>-12.547199999999997</v>
      </c>
      <c r="E1129" s="70">
        <f t="shared" si="105"/>
        <v>-27.547199999999997</v>
      </c>
      <c r="F1129" s="71">
        <f t="shared" si="106"/>
        <v>-2.4528000000000034</v>
      </c>
      <c r="G1129" s="72">
        <f t="shared" si="107"/>
        <v>12.547199999999997</v>
      </c>
      <c r="H1129" s="73">
        <f t="shared" si="108"/>
        <v>27.547199999999997</v>
      </c>
    </row>
    <row r="1130" spans="1:8" x14ac:dyDescent="0.25">
      <c r="A1130" s="26">
        <v>390</v>
      </c>
      <c r="B1130" s="25">
        <v>0.91881999999999997</v>
      </c>
      <c r="C1130" s="68">
        <f t="shared" si="103"/>
        <v>2.4354000000000013</v>
      </c>
      <c r="D1130" s="69">
        <f t="shared" si="104"/>
        <v>-12.564599999999999</v>
      </c>
      <c r="E1130" s="70">
        <f t="shared" si="105"/>
        <v>-27.564599999999999</v>
      </c>
      <c r="F1130" s="71">
        <f t="shared" si="106"/>
        <v>-2.4354000000000013</v>
      </c>
      <c r="G1130" s="72">
        <f t="shared" si="107"/>
        <v>12.564599999999999</v>
      </c>
      <c r="H1130" s="73">
        <f t="shared" si="108"/>
        <v>27.564599999999999</v>
      </c>
    </row>
    <row r="1131" spans="1:8" x14ac:dyDescent="0.25">
      <c r="A1131" s="26">
        <v>391</v>
      </c>
      <c r="B1131" s="25">
        <v>0.91940999999999995</v>
      </c>
      <c r="C1131" s="68">
        <f t="shared" si="103"/>
        <v>2.4177</v>
      </c>
      <c r="D1131" s="69">
        <f t="shared" si="104"/>
        <v>-12.5823</v>
      </c>
      <c r="E1131" s="70">
        <f t="shared" si="105"/>
        <v>-27.5823</v>
      </c>
      <c r="F1131" s="71">
        <f t="shared" si="106"/>
        <v>-2.4177</v>
      </c>
      <c r="G1131" s="72">
        <f t="shared" si="107"/>
        <v>12.5823</v>
      </c>
      <c r="H1131" s="73">
        <f t="shared" si="108"/>
        <v>27.5823</v>
      </c>
    </row>
    <row r="1132" spans="1:8" x14ac:dyDescent="0.25">
      <c r="A1132" s="26">
        <v>392</v>
      </c>
      <c r="B1132" s="25">
        <v>0.92</v>
      </c>
      <c r="C1132" s="68">
        <f t="shared" si="103"/>
        <v>2.3999999999999986</v>
      </c>
      <c r="D1132" s="69">
        <f t="shared" si="104"/>
        <v>-12.600000000000001</v>
      </c>
      <c r="E1132" s="70">
        <f t="shared" si="105"/>
        <v>-27.6</v>
      </c>
      <c r="F1132" s="71">
        <f t="shared" si="106"/>
        <v>-2.3999999999999986</v>
      </c>
      <c r="G1132" s="72">
        <f t="shared" si="107"/>
        <v>12.600000000000001</v>
      </c>
      <c r="H1132" s="73">
        <f t="shared" si="108"/>
        <v>27.6</v>
      </c>
    </row>
    <row r="1133" spans="1:8" x14ac:dyDescent="0.25">
      <c r="A1133" s="26">
        <v>393</v>
      </c>
      <c r="B1133" s="25">
        <v>0.92049999999999998</v>
      </c>
      <c r="C1133" s="68">
        <f t="shared" si="103"/>
        <v>2.3850000000000016</v>
      </c>
      <c r="D1133" s="69">
        <f t="shared" si="104"/>
        <v>-12.614999999999998</v>
      </c>
      <c r="E1133" s="70">
        <f t="shared" si="105"/>
        <v>-27.614999999999998</v>
      </c>
      <c r="F1133" s="71">
        <f t="shared" si="106"/>
        <v>-2.3850000000000016</v>
      </c>
      <c r="G1133" s="72">
        <f t="shared" si="107"/>
        <v>12.614999999999998</v>
      </c>
      <c r="H1133" s="73">
        <f t="shared" si="108"/>
        <v>27.614999999999998</v>
      </c>
    </row>
    <row r="1134" spans="1:8" x14ac:dyDescent="0.25">
      <c r="A1134" s="26">
        <v>394</v>
      </c>
      <c r="B1134" s="25">
        <v>0.92100000000000004</v>
      </c>
      <c r="C1134" s="68">
        <f t="shared" si="103"/>
        <v>2.3699999999999974</v>
      </c>
      <c r="D1134" s="69">
        <f t="shared" si="104"/>
        <v>-12.630000000000003</v>
      </c>
      <c r="E1134" s="70">
        <f t="shared" si="105"/>
        <v>-27.630000000000003</v>
      </c>
      <c r="F1134" s="71">
        <f t="shared" si="106"/>
        <v>-2.3699999999999974</v>
      </c>
      <c r="G1134" s="72">
        <f t="shared" si="107"/>
        <v>12.630000000000003</v>
      </c>
      <c r="H1134" s="73">
        <f t="shared" si="108"/>
        <v>27.630000000000003</v>
      </c>
    </row>
    <row r="1135" spans="1:8" x14ac:dyDescent="0.25">
      <c r="A1135" s="26">
        <v>395</v>
      </c>
      <c r="B1135" s="25">
        <v>0.92149999999999999</v>
      </c>
      <c r="C1135" s="68">
        <f t="shared" si="103"/>
        <v>2.3550000000000004</v>
      </c>
      <c r="D1135" s="69">
        <f t="shared" si="104"/>
        <v>-12.645</v>
      </c>
      <c r="E1135" s="70">
        <f t="shared" si="105"/>
        <v>-27.645</v>
      </c>
      <c r="F1135" s="71">
        <f t="shared" si="106"/>
        <v>-2.3550000000000004</v>
      </c>
      <c r="G1135" s="72">
        <f t="shared" si="107"/>
        <v>12.645</v>
      </c>
      <c r="H1135" s="73">
        <f t="shared" si="108"/>
        <v>27.645</v>
      </c>
    </row>
    <row r="1136" spans="1:8" x14ac:dyDescent="0.25">
      <c r="A1136" s="26">
        <v>396</v>
      </c>
      <c r="B1136" s="25">
        <v>0.92200000000000004</v>
      </c>
      <c r="C1136" s="68">
        <f t="shared" si="103"/>
        <v>2.34</v>
      </c>
      <c r="D1136" s="69">
        <f t="shared" si="104"/>
        <v>-12.66</v>
      </c>
      <c r="E1136" s="70">
        <f t="shared" si="105"/>
        <v>-27.66</v>
      </c>
      <c r="F1136" s="71">
        <f t="shared" si="106"/>
        <v>-2.34</v>
      </c>
      <c r="G1136" s="72">
        <f t="shared" si="107"/>
        <v>12.66</v>
      </c>
      <c r="H1136" s="73">
        <f t="shared" si="108"/>
        <v>27.66</v>
      </c>
    </row>
    <row r="1137" spans="1:8" x14ac:dyDescent="0.25">
      <c r="A1137" s="26">
        <v>397</v>
      </c>
      <c r="B1137" s="25">
        <v>0.92249999999999999</v>
      </c>
      <c r="C1137" s="68">
        <f t="shared" si="103"/>
        <v>2.3249999999999993</v>
      </c>
      <c r="D1137" s="69">
        <f t="shared" si="104"/>
        <v>-12.675000000000001</v>
      </c>
      <c r="E1137" s="70">
        <f t="shared" si="105"/>
        <v>-27.675000000000001</v>
      </c>
      <c r="F1137" s="71">
        <f t="shared" si="106"/>
        <v>-2.3249999999999993</v>
      </c>
      <c r="G1137" s="72">
        <f t="shared" si="107"/>
        <v>12.675000000000001</v>
      </c>
      <c r="H1137" s="73">
        <f t="shared" si="108"/>
        <v>27.675000000000001</v>
      </c>
    </row>
    <row r="1138" spans="1:8" x14ac:dyDescent="0.25">
      <c r="A1138" s="26">
        <v>398</v>
      </c>
      <c r="B1138" s="25">
        <v>0.92300000000000004</v>
      </c>
      <c r="C1138" s="68">
        <f t="shared" si="103"/>
        <v>2.3099999999999987</v>
      </c>
      <c r="D1138" s="69">
        <f t="shared" si="104"/>
        <v>-12.690000000000001</v>
      </c>
      <c r="E1138" s="70">
        <f t="shared" si="105"/>
        <v>-27.69</v>
      </c>
      <c r="F1138" s="71">
        <f t="shared" si="106"/>
        <v>-2.3099999999999987</v>
      </c>
      <c r="G1138" s="72">
        <f t="shared" si="107"/>
        <v>12.690000000000001</v>
      </c>
      <c r="H1138" s="73">
        <f t="shared" si="108"/>
        <v>27.69</v>
      </c>
    </row>
    <row r="1139" spans="1:8" x14ac:dyDescent="0.25">
      <c r="A1139" s="26">
        <v>399</v>
      </c>
      <c r="B1139" s="25">
        <v>0.92349999999999999</v>
      </c>
      <c r="C1139" s="68">
        <f t="shared" si="103"/>
        <v>2.2950000000000017</v>
      </c>
      <c r="D1139" s="69">
        <f t="shared" si="104"/>
        <v>-12.704999999999998</v>
      </c>
      <c r="E1139" s="70">
        <f t="shared" si="105"/>
        <v>-27.704999999999998</v>
      </c>
      <c r="F1139" s="71">
        <f t="shared" si="106"/>
        <v>-2.2950000000000017</v>
      </c>
      <c r="G1139" s="72">
        <f t="shared" si="107"/>
        <v>12.704999999999998</v>
      </c>
      <c r="H1139" s="73">
        <f t="shared" si="108"/>
        <v>27.704999999999998</v>
      </c>
    </row>
    <row r="1140" spans="1:8" x14ac:dyDescent="0.25">
      <c r="A1140" s="26">
        <v>400</v>
      </c>
      <c r="B1140" s="25">
        <v>0.92400000000000004</v>
      </c>
      <c r="C1140" s="68">
        <f t="shared" si="103"/>
        <v>2.2799999999999976</v>
      </c>
      <c r="D1140" s="69">
        <f t="shared" si="104"/>
        <v>-12.720000000000002</v>
      </c>
      <c r="E1140" s="70">
        <f t="shared" si="105"/>
        <v>-27.720000000000002</v>
      </c>
      <c r="F1140" s="71">
        <f t="shared" si="106"/>
        <v>-2.2799999999999976</v>
      </c>
      <c r="G1140" s="72">
        <f t="shared" si="107"/>
        <v>12.720000000000002</v>
      </c>
      <c r="H1140" s="73">
        <f t="shared" si="108"/>
        <v>27.720000000000002</v>
      </c>
    </row>
    <row r="1141" spans="1:8" x14ac:dyDescent="0.25">
      <c r="A1141" s="26">
        <v>401</v>
      </c>
      <c r="B1141" s="25">
        <v>0.92449999999999999</v>
      </c>
      <c r="C1141" s="68">
        <f t="shared" si="103"/>
        <v>2.2650000000000006</v>
      </c>
      <c r="D1141" s="69">
        <f t="shared" si="104"/>
        <v>-12.734999999999999</v>
      </c>
      <c r="E1141" s="70">
        <f t="shared" si="105"/>
        <v>-27.734999999999999</v>
      </c>
      <c r="F1141" s="71">
        <f t="shared" si="106"/>
        <v>-2.2650000000000006</v>
      </c>
      <c r="G1141" s="72">
        <f t="shared" si="107"/>
        <v>12.734999999999999</v>
      </c>
      <c r="H1141" s="73">
        <f t="shared" si="108"/>
        <v>27.734999999999999</v>
      </c>
    </row>
    <row r="1142" spans="1:8" x14ac:dyDescent="0.25">
      <c r="A1142" s="26">
        <v>402</v>
      </c>
      <c r="B1142" s="25">
        <v>0.92500000000000004</v>
      </c>
      <c r="C1142" s="68">
        <f t="shared" si="103"/>
        <v>2.25</v>
      </c>
      <c r="D1142" s="69">
        <f t="shared" si="104"/>
        <v>-12.75</v>
      </c>
      <c r="E1142" s="70">
        <f t="shared" si="105"/>
        <v>-27.75</v>
      </c>
      <c r="F1142" s="71">
        <f t="shared" si="106"/>
        <v>-2.25</v>
      </c>
      <c r="G1142" s="72">
        <f t="shared" si="107"/>
        <v>12.75</v>
      </c>
      <c r="H1142" s="73">
        <f t="shared" si="108"/>
        <v>27.75</v>
      </c>
    </row>
    <row r="1143" spans="1:8" x14ac:dyDescent="0.25">
      <c r="A1143" s="26">
        <v>403</v>
      </c>
      <c r="B1143" s="25">
        <v>0.92549999999999999</v>
      </c>
      <c r="C1143" s="68">
        <f t="shared" si="103"/>
        <v>2.2349999999999994</v>
      </c>
      <c r="D1143" s="69">
        <f t="shared" si="104"/>
        <v>-12.765000000000001</v>
      </c>
      <c r="E1143" s="70">
        <f t="shared" si="105"/>
        <v>-27.765000000000001</v>
      </c>
      <c r="F1143" s="71">
        <f t="shared" si="106"/>
        <v>-2.2349999999999994</v>
      </c>
      <c r="G1143" s="72">
        <f t="shared" si="107"/>
        <v>12.765000000000001</v>
      </c>
      <c r="H1143" s="73">
        <f t="shared" si="108"/>
        <v>27.765000000000001</v>
      </c>
    </row>
    <row r="1144" spans="1:8" x14ac:dyDescent="0.25">
      <c r="A1144" s="26">
        <v>404</v>
      </c>
      <c r="B1144" s="25">
        <v>0.92600000000000005</v>
      </c>
      <c r="C1144" s="68">
        <f t="shared" si="103"/>
        <v>2.2199999999999989</v>
      </c>
      <c r="D1144" s="69">
        <f t="shared" si="104"/>
        <v>-12.780000000000001</v>
      </c>
      <c r="E1144" s="70">
        <f t="shared" si="105"/>
        <v>-27.78</v>
      </c>
      <c r="F1144" s="71">
        <f t="shared" si="106"/>
        <v>-2.2199999999999989</v>
      </c>
      <c r="G1144" s="72">
        <f t="shared" si="107"/>
        <v>12.780000000000001</v>
      </c>
      <c r="H1144" s="73">
        <f t="shared" si="108"/>
        <v>27.78</v>
      </c>
    </row>
    <row r="1145" spans="1:8" x14ac:dyDescent="0.25">
      <c r="A1145" s="26">
        <v>405</v>
      </c>
      <c r="B1145" s="25">
        <v>0.92649999999999999</v>
      </c>
      <c r="C1145" s="68">
        <f t="shared" si="103"/>
        <v>2.2050000000000018</v>
      </c>
      <c r="D1145" s="69">
        <f t="shared" si="104"/>
        <v>-12.794999999999998</v>
      </c>
      <c r="E1145" s="70">
        <f t="shared" si="105"/>
        <v>-27.794999999999998</v>
      </c>
      <c r="F1145" s="71">
        <f t="shared" si="106"/>
        <v>-2.2050000000000018</v>
      </c>
      <c r="G1145" s="72">
        <f t="shared" si="107"/>
        <v>12.794999999999998</v>
      </c>
      <c r="H1145" s="73">
        <f t="shared" si="108"/>
        <v>27.794999999999998</v>
      </c>
    </row>
    <row r="1146" spans="1:8" x14ac:dyDescent="0.25">
      <c r="A1146" s="26">
        <v>406</v>
      </c>
      <c r="B1146" s="25">
        <v>0.92700000000000005</v>
      </c>
      <c r="C1146" s="68">
        <f t="shared" si="103"/>
        <v>2.1899999999999977</v>
      </c>
      <c r="D1146" s="69">
        <f t="shared" si="104"/>
        <v>-12.810000000000002</v>
      </c>
      <c r="E1146" s="70">
        <f t="shared" si="105"/>
        <v>-27.810000000000002</v>
      </c>
      <c r="F1146" s="71">
        <f t="shared" si="106"/>
        <v>-2.1899999999999977</v>
      </c>
      <c r="G1146" s="72">
        <f t="shared" si="107"/>
        <v>12.810000000000002</v>
      </c>
      <c r="H1146" s="73">
        <f t="shared" si="108"/>
        <v>27.810000000000002</v>
      </c>
    </row>
    <row r="1147" spans="1:8" x14ac:dyDescent="0.25">
      <c r="A1147" s="26">
        <v>407</v>
      </c>
      <c r="B1147" s="25">
        <v>0.92749999999999999</v>
      </c>
      <c r="C1147" s="68">
        <f t="shared" si="103"/>
        <v>2.1750000000000007</v>
      </c>
      <c r="D1147" s="69">
        <f t="shared" si="104"/>
        <v>-12.824999999999999</v>
      </c>
      <c r="E1147" s="70">
        <f t="shared" si="105"/>
        <v>-27.824999999999999</v>
      </c>
      <c r="F1147" s="71">
        <f t="shared" si="106"/>
        <v>-2.1750000000000007</v>
      </c>
      <c r="G1147" s="72">
        <f t="shared" si="107"/>
        <v>12.824999999999999</v>
      </c>
      <c r="H1147" s="73">
        <f t="shared" si="108"/>
        <v>27.824999999999999</v>
      </c>
    </row>
    <row r="1148" spans="1:8" x14ac:dyDescent="0.25">
      <c r="A1148" s="26">
        <v>408</v>
      </c>
      <c r="B1148" s="25">
        <v>0.92800000000000005</v>
      </c>
      <c r="C1148" s="68">
        <f t="shared" si="103"/>
        <v>2.16</v>
      </c>
      <c r="D1148" s="69">
        <f t="shared" si="104"/>
        <v>-12.84</v>
      </c>
      <c r="E1148" s="70">
        <f t="shared" si="105"/>
        <v>-27.84</v>
      </c>
      <c r="F1148" s="71">
        <f t="shared" si="106"/>
        <v>-2.16</v>
      </c>
      <c r="G1148" s="72">
        <f t="shared" si="107"/>
        <v>12.84</v>
      </c>
      <c r="H1148" s="73">
        <f t="shared" si="108"/>
        <v>27.84</v>
      </c>
    </row>
    <row r="1149" spans="1:8" x14ac:dyDescent="0.25">
      <c r="A1149" s="26">
        <v>409</v>
      </c>
      <c r="B1149" s="25">
        <v>0.92849999999999999</v>
      </c>
      <c r="C1149" s="68">
        <f t="shared" si="103"/>
        <v>2.1449999999999996</v>
      </c>
      <c r="D1149" s="69">
        <f t="shared" si="104"/>
        <v>-12.855</v>
      </c>
      <c r="E1149" s="70">
        <f t="shared" si="105"/>
        <v>-27.855</v>
      </c>
      <c r="F1149" s="71">
        <f t="shared" si="106"/>
        <v>-2.1449999999999996</v>
      </c>
      <c r="G1149" s="72">
        <f t="shared" si="107"/>
        <v>12.855</v>
      </c>
      <c r="H1149" s="73">
        <f t="shared" si="108"/>
        <v>27.855</v>
      </c>
    </row>
    <row r="1150" spans="1:8" x14ac:dyDescent="0.25">
      <c r="A1150" s="26">
        <v>410</v>
      </c>
      <c r="B1150" s="25">
        <v>0.92900000000000005</v>
      </c>
      <c r="C1150" s="68">
        <f t="shared" si="103"/>
        <v>2.129999999999999</v>
      </c>
      <c r="D1150" s="69">
        <f t="shared" si="104"/>
        <v>-12.870000000000001</v>
      </c>
      <c r="E1150" s="70">
        <f t="shared" si="105"/>
        <v>-27.87</v>
      </c>
      <c r="F1150" s="71">
        <f t="shared" si="106"/>
        <v>-2.129999999999999</v>
      </c>
      <c r="G1150" s="72">
        <f t="shared" si="107"/>
        <v>12.870000000000001</v>
      </c>
      <c r="H1150" s="73">
        <f t="shared" si="108"/>
        <v>27.87</v>
      </c>
    </row>
    <row r="1151" spans="1:8" x14ac:dyDescent="0.25">
      <c r="A1151" s="26">
        <v>411</v>
      </c>
      <c r="B1151" s="25">
        <v>0.92949999999999999</v>
      </c>
      <c r="C1151" s="68">
        <f t="shared" si="103"/>
        <v>2.115000000000002</v>
      </c>
      <c r="D1151" s="69">
        <f t="shared" si="104"/>
        <v>-12.884999999999998</v>
      </c>
      <c r="E1151" s="70">
        <f t="shared" si="105"/>
        <v>-27.884999999999998</v>
      </c>
      <c r="F1151" s="71">
        <f t="shared" si="106"/>
        <v>-2.115000000000002</v>
      </c>
      <c r="G1151" s="72">
        <f t="shared" si="107"/>
        <v>12.884999999999998</v>
      </c>
      <c r="H1151" s="73">
        <f t="shared" si="108"/>
        <v>27.884999999999998</v>
      </c>
    </row>
    <row r="1152" spans="1:8" x14ac:dyDescent="0.25">
      <c r="A1152" s="26">
        <v>412</v>
      </c>
      <c r="B1152" s="25">
        <v>0.93</v>
      </c>
      <c r="C1152" s="68">
        <f t="shared" si="103"/>
        <v>2.0999999999999979</v>
      </c>
      <c r="D1152" s="69">
        <f t="shared" si="104"/>
        <v>-12.900000000000002</v>
      </c>
      <c r="E1152" s="70">
        <f t="shared" si="105"/>
        <v>-27.900000000000002</v>
      </c>
      <c r="F1152" s="71">
        <f t="shared" si="106"/>
        <v>-2.0999999999999979</v>
      </c>
      <c r="G1152" s="72">
        <f t="shared" si="107"/>
        <v>12.900000000000002</v>
      </c>
      <c r="H1152" s="73">
        <f t="shared" si="108"/>
        <v>27.900000000000002</v>
      </c>
    </row>
    <row r="1153" spans="1:8" x14ac:dyDescent="0.25">
      <c r="A1153" s="26">
        <v>413</v>
      </c>
      <c r="B1153" s="25">
        <v>0.93047999999999997</v>
      </c>
      <c r="C1153" s="68">
        <f t="shared" si="103"/>
        <v>2.0855999999999995</v>
      </c>
      <c r="D1153" s="69">
        <f t="shared" si="104"/>
        <v>-12.914400000000001</v>
      </c>
      <c r="E1153" s="70">
        <f t="shared" si="105"/>
        <v>-27.914400000000001</v>
      </c>
      <c r="F1153" s="71">
        <f t="shared" si="106"/>
        <v>-2.0855999999999995</v>
      </c>
      <c r="G1153" s="72">
        <f t="shared" si="107"/>
        <v>12.914400000000001</v>
      </c>
      <c r="H1153" s="73">
        <f t="shared" si="108"/>
        <v>27.914400000000001</v>
      </c>
    </row>
    <row r="1154" spans="1:8" x14ac:dyDescent="0.25">
      <c r="A1154" s="26">
        <v>414</v>
      </c>
      <c r="B1154" s="25">
        <v>0.93095000000000006</v>
      </c>
      <c r="C1154" s="68">
        <f t="shared" si="103"/>
        <v>2.0714999999999968</v>
      </c>
      <c r="D1154" s="69">
        <f t="shared" si="104"/>
        <v>-12.928500000000003</v>
      </c>
      <c r="E1154" s="70">
        <f t="shared" si="105"/>
        <v>-27.928500000000003</v>
      </c>
      <c r="F1154" s="71">
        <f t="shared" si="106"/>
        <v>-2.0714999999999968</v>
      </c>
      <c r="G1154" s="72">
        <f t="shared" si="107"/>
        <v>12.928500000000003</v>
      </c>
      <c r="H1154" s="73">
        <f t="shared" si="108"/>
        <v>27.928500000000003</v>
      </c>
    </row>
    <row r="1155" spans="1:8" x14ac:dyDescent="0.25">
      <c r="A1155" s="26">
        <v>415</v>
      </c>
      <c r="B1155" s="25">
        <v>0.93142999999999998</v>
      </c>
      <c r="C1155" s="68">
        <f t="shared" si="103"/>
        <v>2.0571000000000019</v>
      </c>
      <c r="D1155" s="69">
        <f t="shared" si="104"/>
        <v>-12.942899999999998</v>
      </c>
      <c r="E1155" s="70">
        <f t="shared" si="105"/>
        <v>-27.942899999999998</v>
      </c>
      <c r="F1155" s="71">
        <f t="shared" si="106"/>
        <v>-2.0571000000000019</v>
      </c>
      <c r="G1155" s="72">
        <f t="shared" si="107"/>
        <v>12.942899999999998</v>
      </c>
      <c r="H1155" s="73">
        <f t="shared" si="108"/>
        <v>27.942899999999998</v>
      </c>
    </row>
    <row r="1156" spans="1:8" x14ac:dyDescent="0.25">
      <c r="A1156" s="26">
        <v>416</v>
      </c>
      <c r="B1156" s="25">
        <v>0.93189999999999995</v>
      </c>
      <c r="C1156" s="68">
        <f t="shared" si="103"/>
        <v>2.0430000000000028</v>
      </c>
      <c r="D1156" s="69">
        <f t="shared" si="104"/>
        <v>-12.956999999999997</v>
      </c>
      <c r="E1156" s="70">
        <f t="shared" si="105"/>
        <v>-27.956999999999997</v>
      </c>
      <c r="F1156" s="71">
        <f t="shared" si="106"/>
        <v>-2.0430000000000028</v>
      </c>
      <c r="G1156" s="72">
        <f t="shared" si="107"/>
        <v>12.956999999999997</v>
      </c>
      <c r="H1156" s="73">
        <f t="shared" si="108"/>
        <v>27.956999999999997</v>
      </c>
    </row>
    <row r="1157" spans="1:8" x14ac:dyDescent="0.25">
      <c r="A1157" s="26">
        <v>417</v>
      </c>
      <c r="B1157" s="25">
        <v>0.93237999999999999</v>
      </c>
      <c r="C1157" s="68">
        <f t="shared" si="103"/>
        <v>2.0286000000000008</v>
      </c>
      <c r="D1157" s="69">
        <f t="shared" si="104"/>
        <v>-12.971399999999999</v>
      </c>
      <c r="E1157" s="70">
        <f t="shared" si="105"/>
        <v>-27.971399999999999</v>
      </c>
      <c r="F1157" s="71">
        <f t="shared" si="106"/>
        <v>-2.0286000000000008</v>
      </c>
      <c r="G1157" s="72">
        <f t="shared" si="107"/>
        <v>12.971399999999999</v>
      </c>
      <c r="H1157" s="73">
        <f t="shared" si="108"/>
        <v>27.971399999999999</v>
      </c>
    </row>
    <row r="1158" spans="1:8" x14ac:dyDescent="0.25">
      <c r="A1158" s="26">
        <v>418</v>
      </c>
      <c r="B1158" s="25">
        <v>0.93286000000000002</v>
      </c>
      <c r="C1158" s="68">
        <f t="shared" si="103"/>
        <v>2.0141999999999989</v>
      </c>
      <c r="D1158" s="69">
        <f t="shared" si="104"/>
        <v>-12.985800000000001</v>
      </c>
      <c r="E1158" s="70">
        <f t="shared" si="105"/>
        <v>-27.985800000000001</v>
      </c>
      <c r="F1158" s="71">
        <f t="shared" si="106"/>
        <v>-2.0141999999999989</v>
      </c>
      <c r="G1158" s="72">
        <f t="shared" si="107"/>
        <v>12.985800000000001</v>
      </c>
      <c r="H1158" s="73">
        <f t="shared" si="108"/>
        <v>27.985800000000001</v>
      </c>
    </row>
    <row r="1159" spans="1:8" x14ac:dyDescent="0.25">
      <c r="A1159" s="26">
        <v>419</v>
      </c>
      <c r="B1159" s="25">
        <v>0.93332999999999999</v>
      </c>
      <c r="C1159" s="68">
        <f t="shared" ref="C1159:C1222" si="109">KFactor-KFactor*B1159</f>
        <v>2.0000999999999998</v>
      </c>
      <c r="D1159" s="69">
        <f t="shared" ref="D1159:D1222" si="110">KFactor/2-KFactor*B1159</f>
        <v>-12.9999</v>
      </c>
      <c r="E1159" s="70">
        <f t="shared" ref="E1159:E1222" si="111">0-KFactor*B1159</f>
        <v>-27.9999</v>
      </c>
      <c r="F1159" s="71">
        <f t="shared" ref="F1159:F1222" si="112">-C1159</f>
        <v>-2.0000999999999998</v>
      </c>
      <c r="G1159" s="72">
        <f t="shared" ref="G1159:G1222" si="113">-D1159</f>
        <v>12.9999</v>
      </c>
      <c r="H1159" s="73">
        <f t="shared" ref="H1159:H1222" si="114">-E1159</f>
        <v>27.9999</v>
      </c>
    </row>
    <row r="1160" spans="1:8" x14ac:dyDescent="0.25">
      <c r="A1160" s="26">
        <v>420</v>
      </c>
      <c r="B1160" s="25">
        <v>0.93381000000000003</v>
      </c>
      <c r="C1160" s="68">
        <f t="shared" si="109"/>
        <v>1.9856999999999978</v>
      </c>
      <c r="D1160" s="69">
        <f t="shared" si="110"/>
        <v>-13.014300000000002</v>
      </c>
      <c r="E1160" s="70">
        <f t="shared" si="111"/>
        <v>-28.014300000000002</v>
      </c>
      <c r="F1160" s="71">
        <f t="shared" si="112"/>
        <v>-1.9856999999999978</v>
      </c>
      <c r="G1160" s="72">
        <f t="shared" si="113"/>
        <v>13.014300000000002</v>
      </c>
      <c r="H1160" s="73">
        <f t="shared" si="114"/>
        <v>28.014300000000002</v>
      </c>
    </row>
    <row r="1161" spans="1:8" x14ac:dyDescent="0.25">
      <c r="A1161" s="26">
        <v>421</v>
      </c>
      <c r="B1161" s="25">
        <v>0.93428999999999995</v>
      </c>
      <c r="C1161" s="68">
        <f t="shared" si="109"/>
        <v>1.9713000000000029</v>
      </c>
      <c r="D1161" s="69">
        <f t="shared" si="110"/>
        <v>-13.028699999999997</v>
      </c>
      <c r="E1161" s="70">
        <f t="shared" si="111"/>
        <v>-28.028699999999997</v>
      </c>
      <c r="F1161" s="71">
        <f t="shared" si="112"/>
        <v>-1.9713000000000029</v>
      </c>
      <c r="G1161" s="72">
        <f t="shared" si="113"/>
        <v>13.028699999999997</v>
      </c>
      <c r="H1161" s="73">
        <f t="shared" si="114"/>
        <v>28.028699999999997</v>
      </c>
    </row>
    <row r="1162" spans="1:8" x14ac:dyDescent="0.25">
      <c r="A1162" s="26">
        <v>422</v>
      </c>
      <c r="B1162" s="25">
        <v>0.93476000000000004</v>
      </c>
      <c r="C1162" s="68">
        <f t="shared" si="109"/>
        <v>1.9572000000000003</v>
      </c>
      <c r="D1162" s="69">
        <f t="shared" si="110"/>
        <v>-13.0428</v>
      </c>
      <c r="E1162" s="70">
        <f t="shared" si="111"/>
        <v>-28.0428</v>
      </c>
      <c r="F1162" s="71">
        <f t="shared" si="112"/>
        <v>-1.9572000000000003</v>
      </c>
      <c r="G1162" s="72">
        <f t="shared" si="113"/>
        <v>13.0428</v>
      </c>
      <c r="H1162" s="73">
        <f t="shared" si="114"/>
        <v>28.0428</v>
      </c>
    </row>
    <row r="1163" spans="1:8" x14ac:dyDescent="0.25">
      <c r="A1163" s="26">
        <v>423</v>
      </c>
      <c r="B1163" s="25">
        <v>0.93523999999999996</v>
      </c>
      <c r="C1163" s="68">
        <f t="shared" si="109"/>
        <v>1.9428000000000019</v>
      </c>
      <c r="D1163" s="69">
        <f t="shared" si="110"/>
        <v>-13.057199999999998</v>
      </c>
      <c r="E1163" s="70">
        <f t="shared" si="111"/>
        <v>-28.057199999999998</v>
      </c>
      <c r="F1163" s="71">
        <f t="shared" si="112"/>
        <v>-1.9428000000000019</v>
      </c>
      <c r="G1163" s="72">
        <f t="shared" si="113"/>
        <v>13.057199999999998</v>
      </c>
      <c r="H1163" s="73">
        <f t="shared" si="114"/>
        <v>28.057199999999998</v>
      </c>
    </row>
    <row r="1164" spans="1:8" x14ac:dyDescent="0.25">
      <c r="A1164" s="26">
        <v>424</v>
      </c>
      <c r="B1164" s="25">
        <v>0.93571000000000004</v>
      </c>
      <c r="C1164" s="68">
        <f t="shared" si="109"/>
        <v>1.9286999999999992</v>
      </c>
      <c r="D1164" s="69">
        <f t="shared" si="110"/>
        <v>-13.071300000000001</v>
      </c>
      <c r="E1164" s="70">
        <f t="shared" si="111"/>
        <v>-28.071300000000001</v>
      </c>
      <c r="F1164" s="71">
        <f t="shared" si="112"/>
        <v>-1.9286999999999992</v>
      </c>
      <c r="G1164" s="72">
        <f t="shared" si="113"/>
        <v>13.071300000000001</v>
      </c>
      <c r="H1164" s="73">
        <f t="shared" si="114"/>
        <v>28.071300000000001</v>
      </c>
    </row>
    <row r="1165" spans="1:8" x14ac:dyDescent="0.25">
      <c r="A1165" s="26">
        <v>425</v>
      </c>
      <c r="B1165" s="25">
        <v>0.93618999999999997</v>
      </c>
      <c r="C1165" s="68">
        <f t="shared" si="109"/>
        <v>1.9143000000000008</v>
      </c>
      <c r="D1165" s="69">
        <f t="shared" si="110"/>
        <v>-13.085699999999999</v>
      </c>
      <c r="E1165" s="70">
        <f t="shared" si="111"/>
        <v>-28.085699999999999</v>
      </c>
      <c r="F1165" s="71">
        <f t="shared" si="112"/>
        <v>-1.9143000000000008</v>
      </c>
      <c r="G1165" s="72">
        <f t="shared" si="113"/>
        <v>13.085699999999999</v>
      </c>
      <c r="H1165" s="73">
        <f t="shared" si="114"/>
        <v>28.085699999999999</v>
      </c>
    </row>
    <row r="1166" spans="1:8" x14ac:dyDescent="0.25">
      <c r="A1166" s="26">
        <v>426</v>
      </c>
      <c r="B1166" s="25">
        <v>0.93667</v>
      </c>
      <c r="C1166" s="68">
        <f t="shared" si="109"/>
        <v>1.8998999999999988</v>
      </c>
      <c r="D1166" s="69">
        <f t="shared" si="110"/>
        <v>-13.100100000000001</v>
      </c>
      <c r="E1166" s="70">
        <f t="shared" si="111"/>
        <v>-28.100100000000001</v>
      </c>
      <c r="F1166" s="71">
        <f t="shared" si="112"/>
        <v>-1.8998999999999988</v>
      </c>
      <c r="G1166" s="72">
        <f t="shared" si="113"/>
        <v>13.100100000000001</v>
      </c>
      <c r="H1166" s="73">
        <f t="shared" si="114"/>
        <v>28.100100000000001</v>
      </c>
    </row>
    <row r="1167" spans="1:8" x14ac:dyDescent="0.25">
      <c r="A1167" s="26">
        <v>427</v>
      </c>
      <c r="B1167" s="25">
        <v>0.93713999999999997</v>
      </c>
      <c r="C1167" s="68">
        <f t="shared" si="109"/>
        <v>1.8857999999999997</v>
      </c>
      <c r="D1167" s="69">
        <f t="shared" si="110"/>
        <v>-13.1142</v>
      </c>
      <c r="E1167" s="70">
        <f t="shared" si="111"/>
        <v>-28.1142</v>
      </c>
      <c r="F1167" s="71">
        <f t="shared" si="112"/>
        <v>-1.8857999999999997</v>
      </c>
      <c r="G1167" s="72">
        <f t="shared" si="113"/>
        <v>13.1142</v>
      </c>
      <c r="H1167" s="73">
        <f t="shared" si="114"/>
        <v>28.1142</v>
      </c>
    </row>
    <row r="1168" spans="1:8" x14ac:dyDescent="0.25">
      <c r="A1168" s="26">
        <v>428</v>
      </c>
      <c r="B1168" s="25">
        <v>0.93762000000000001</v>
      </c>
      <c r="C1168" s="68">
        <f t="shared" si="109"/>
        <v>1.8714000000000013</v>
      </c>
      <c r="D1168" s="69">
        <f t="shared" si="110"/>
        <v>-13.128599999999999</v>
      </c>
      <c r="E1168" s="70">
        <f t="shared" si="111"/>
        <v>-28.128599999999999</v>
      </c>
      <c r="F1168" s="71">
        <f t="shared" si="112"/>
        <v>-1.8714000000000013</v>
      </c>
      <c r="G1168" s="72">
        <f t="shared" si="113"/>
        <v>13.128599999999999</v>
      </c>
      <c r="H1168" s="73">
        <f t="shared" si="114"/>
        <v>28.128599999999999</v>
      </c>
    </row>
    <row r="1169" spans="1:8" x14ac:dyDescent="0.25">
      <c r="A1169" s="26">
        <v>429</v>
      </c>
      <c r="B1169" s="25">
        <v>0.93810000000000004</v>
      </c>
      <c r="C1169" s="68">
        <f t="shared" si="109"/>
        <v>1.8569999999999993</v>
      </c>
      <c r="D1169" s="69">
        <f t="shared" si="110"/>
        <v>-13.143000000000001</v>
      </c>
      <c r="E1169" s="70">
        <f t="shared" si="111"/>
        <v>-28.143000000000001</v>
      </c>
      <c r="F1169" s="71">
        <f t="shared" si="112"/>
        <v>-1.8569999999999993</v>
      </c>
      <c r="G1169" s="72">
        <f t="shared" si="113"/>
        <v>13.143000000000001</v>
      </c>
      <c r="H1169" s="73">
        <f t="shared" si="114"/>
        <v>28.143000000000001</v>
      </c>
    </row>
    <row r="1170" spans="1:8" x14ac:dyDescent="0.25">
      <c r="A1170" s="26">
        <v>430</v>
      </c>
      <c r="B1170" s="25">
        <v>0.93857000000000002</v>
      </c>
      <c r="C1170" s="68">
        <f t="shared" si="109"/>
        <v>1.8429000000000002</v>
      </c>
      <c r="D1170" s="69">
        <f t="shared" si="110"/>
        <v>-13.1571</v>
      </c>
      <c r="E1170" s="70">
        <f t="shared" si="111"/>
        <v>-28.1571</v>
      </c>
      <c r="F1170" s="71">
        <f t="shared" si="112"/>
        <v>-1.8429000000000002</v>
      </c>
      <c r="G1170" s="72">
        <f t="shared" si="113"/>
        <v>13.1571</v>
      </c>
      <c r="H1170" s="73">
        <f t="shared" si="114"/>
        <v>28.1571</v>
      </c>
    </row>
    <row r="1171" spans="1:8" x14ac:dyDescent="0.25">
      <c r="A1171" s="26">
        <v>431</v>
      </c>
      <c r="B1171" s="25">
        <v>0.93905000000000005</v>
      </c>
      <c r="C1171" s="68">
        <f t="shared" si="109"/>
        <v>1.8284999999999982</v>
      </c>
      <c r="D1171" s="69">
        <f t="shared" si="110"/>
        <v>-13.171500000000002</v>
      </c>
      <c r="E1171" s="70">
        <f t="shared" si="111"/>
        <v>-28.171500000000002</v>
      </c>
      <c r="F1171" s="71">
        <f t="shared" si="112"/>
        <v>-1.8284999999999982</v>
      </c>
      <c r="G1171" s="72">
        <f t="shared" si="113"/>
        <v>13.171500000000002</v>
      </c>
      <c r="H1171" s="73">
        <f t="shared" si="114"/>
        <v>28.171500000000002</v>
      </c>
    </row>
    <row r="1172" spans="1:8" x14ac:dyDescent="0.25">
      <c r="A1172" s="26">
        <v>432</v>
      </c>
      <c r="B1172" s="25">
        <v>0.93952000000000002</v>
      </c>
      <c r="C1172" s="68">
        <f t="shared" si="109"/>
        <v>1.8143999999999991</v>
      </c>
      <c r="D1172" s="69">
        <f t="shared" si="110"/>
        <v>-13.185600000000001</v>
      </c>
      <c r="E1172" s="70">
        <f t="shared" si="111"/>
        <v>-28.185600000000001</v>
      </c>
      <c r="F1172" s="71">
        <f t="shared" si="112"/>
        <v>-1.8143999999999991</v>
      </c>
      <c r="G1172" s="72">
        <f t="shared" si="113"/>
        <v>13.185600000000001</v>
      </c>
      <c r="H1172" s="73">
        <f t="shared" si="114"/>
        <v>28.185600000000001</v>
      </c>
    </row>
    <row r="1173" spans="1:8" x14ac:dyDescent="0.25">
      <c r="A1173" s="26">
        <v>433</v>
      </c>
      <c r="B1173" s="25">
        <v>0.94</v>
      </c>
      <c r="C1173" s="68">
        <f t="shared" si="109"/>
        <v>1.8000000000000007</v>
      </c>
      <c r="D1173" s="69">
        <f t="shared" si="110"/>
        <v>-13.2</v>
      </c>
      <c r="E1173" s="70">
        <f t="shared" si="111"/>
        <v>-28.2</v>
      </c>
      <c r="F1173" s="71">
        <f t="shared" si="112"/>
        <v>-1.8000000000000007</v>
      </c>
      <c r="G1173" s="72">
        <f t="shared" si="113"/>
        <v>13.2</v>
      </c>
      <c r="H1173" s="73">
        <f t="shared" si="114"/>
        <v>28.2</v>
      </c>
    </row>
    <row r="1174" spans="1:8" x14ac:dyDescent="0.25">
      <c r="A1174" s="26">
        <v>434</v>
      </c>
      <c r="B1174" s="25">
        <v>0.94042000000000003</v>
      </c>
      <c r="C1174" s="68">
        <f t="shared" si="109"/>
        <v>1.7873999999999981</v>
      </c>
      <c r="D1174" s="69">
        <f t="shared" si="110"/>
        <v>-13.212600000000002</v>
      </c>
      <c r="E1174" s="70">
        <f t="shared" si="111"/>
        <v>-28.212600000000002</v>
      </c>
      <c r="F1174" s="71">
        <f t="shared" si="112"/>
        <v>-1.7873999999999981</v>
      </c>
      <c r="G1174" s="72">
        <f t="shared" si="113"/>
        <v>13.212600000000002</v>
      </c>
      <c r="H1174" s="73">
        <f t="shared" si="114"/>
        <v>28.212600000000002</v>
      </c>
    </row>
    <row r="1175" spans="1:8" x14ac:dyDescent="0.25">
      <c r="A1175" s="26">
        <v>435</v>
      </c>
      <c r="B1175" s="25">
        <v>0.94083000000000006</v>
      </c>
      <c r="C1175" s="68">
        <f t="shared" si="109"/>
        <v>1.7750999999999983</v>
      </c>
      <c r="D1175" s="69">
        <f t="shared" si="110"/>
        <v>-13.224900000000002</v>
      </c>
      <c r="E1175" s="70">
        <f t="shared" si="111"/>
        <v>-28.224900000000002</v>
      </c>
      <c r="F1175" s="71">
        <f t="shared" si="112"/>
        <v>-1.7750999999999983</v>
      </c>
      <c r="G1175" s="72">
        <f t="shared" si="113"/>
        <v>13.224900000000002</v>
      </c>
      <c r="H1175" s="73">
        <f t="shared" si="114"/>
        <v>28.224900000000002</v>
      </c>
    </row>
    <row r="1176" spans="1:8" x14ac:dyDescent="0.25">
      <c r="A1176" s="26">
        <v>436</v>
      </c>
      <c r="B1176" s="25">
        <v>0.94125000000000003</v>
      </c>
      <c r="C1176" s="68">
        <f t="shared" si="109"/>
        <v>1.7624999999999993</v>
      </c>
      <c r="D1176" s="69">
        <f t="shared" si="110"/>
        <v>-13.237500000000001</v>
      </c>
      <c r="E1176" s="70">
        <f t="shared" si="111"/>
        <v>-28.237500000000001</v>
      </c>
      <c r="F1176" s="71">
        <f t="shared" si="112"/>
        <v>-1.7624999999999993</v>
      </c>
      <c r="G1176" s="72">
        <f t="shared" si="113"/>
        <v>13.237500000000001</v>
      </c>
      <c r="H1176" s="73">
        <f t="shared" si="114"/>
        <v>28.237500000000001</v>
      </c>
    </row>
    <row r="1177" spans="1:8" x14ac:dyDescent="0.25">
      <c r="A1177" s="26">
        <v>437</v>
      </c>
      <c r="B1177" s="25">
        <v>0.94167000000000001</v>
      </c>
      <c r="C1177" s="68">
        <f t="shared" si="109"/>
        <v>1.7499000000000002</v>
      </c>
      <c r="D1177" s="69">
        <f t="shared" si="110"/>
        <v>-13.2501</v>
      </c>
      <c r="E1177" s="70">
        <f t="shared" si="111"/>
        <v>-28.2501</v>
      </c>
      <c r="F1177" s="71">
        <f t="shared" si="112"/>
        <v>-1.7499000000000002</v>
      </c>
      <c r="G1177" s="72">
        <f t="shared" si="113"/>
        <v>13.2501</v>
      </c>
      <c r="H1177" s="73">
        <f t="shared" si="114"/>
        <v>28.2501</v>
      </c>
    </row>
    <row r="1178" spans="1:8" x14ac:dyDescent="0.25">
      <c r="A1178" s="26">
        <v>438</v>
      </c>
      <c r="B1178" s="25">
        <v>0.94208000000000003</v>
      </c>
      <c r="C1178" s="68">
        <f t="shared" si="109"/>
        <v>1.7376000000000005</v>
      </c>
      <c r="D1178" s="69">
        <f t="shared" si="110"/>
        <v>-13.2624</v>
      </c>
      <c r="E1178" s="70">
        <f t="shared" si="111"/>
        <v>-28.2624</v>
      </c>
      <c r="F1178" s="71">
        <f t="shared" si="112"/>
        <v>-1.7376000000000005</v>
      </c>
      <c r="G1178" s="72">
        <f t="shared" si="113"/>
        <v>13.2624</v>
      </c>
      <c r="H1178" s="73">
        <f t="shared" si="114"/>
        <v>28.2624</v>
      </c>
    </row>
    <row r="1179" spans="1:8" x14ac:dyDescent="0.25">
      <c r="A1179" s="26">
        <v>439</v>
      </c>
      <c r="B1179" s="25">
        <v>0.9425</v>
      </c>
      <c r="C1179" s="68">
        <f t="shared" si="109"/>
        <v>1.7250000000000014</v>
      </c>
      <c r="D1179" s="69">
        <f t="shared" si="110"/>
        <v>-13.274999999999999</v>
      </c>
      <c r="E1179" s="70">
        <f t="shared" si="111"/>
        <v>-28.274999999999999</v>
      </c>
      <c r="F1179" s="71">
        <f t="shared" si="112"/>
        <v>-1.7250000000000014</v>
      </c>
      <c r="G1179" s="72">
        <f t="shared" si="113"/>
        <v>13.274999999999999</v>
      </c>
      <c r="H1179" s="73">
        <f t="shared" si="114"/>
        <v>28.274999999999999</v>
      </c>
    </row>
    <row r="1180" spans="1:8" x14ac:dyDescent="0.25">
      <c r="A1180" s="26">
        <v>440</v>
      </c>
      <c r="B1180" s="25">
        <v>0.94291999999999998</v>
      </c>
      <c r="C1180" s="68">
        <f t="shared" si="109"/>
        <v>1.7124000000000024</v>
      </c>
      <c r="D1180" s="69">
        <f t="shared" si="110"/>
        <v>-13.287599999999998</v>
      </c>
      <c r="E1180" s="70">
        <f t="shared" si="111"/>
        <v>-28.287599999999998</v>
      </c>
      <c r="F1180" s="71">
        <f t="shared" si="112"/>
        <v>-1.7124000000000024</v>
      </c>
      <c r="G1180" s="72">
        <f t="shared" si="113"/>
        <v>13.287599999999998</v>
      </c>
      <c r="H1180" s="73">
        <f t="shared" si="114"/>
        <v>28.287599999999998</v>
      </c>
    </row>
    <row r="1181" spans="1:8" x14ac:dyDescent="0.25">
      <c r="A1181" s="26">
        <v>441</v>
      </c>
      <c r="B1181" s="25">
        <v>0.94333</v>
      </c>
      <c r="C1181" s="68">
        <f t="shared" si="109"/>
        <v>1.7000999999999991</v>
      </c>
      <c r="D1181" s="69">
        <f t="shared" si="110"/>
        <v>-13.299900000000001</v>
      </c>
      <c r="E1181" s="70">
        <f t="shared" si="111"/>
        <v>-28.299900000000001</v>
      </c>
      <c r="F1181" s="71">
        <f t="shared" si="112"/>
        <v>-1.7000999999999991</v>
      </c>
      <c r="G1181" s="72">
        <f t="shared" si="113"/>
        <v>13.299900000000001</v>
      </c>
      <c r="H1181" s="73">
        <f t="shared" si="114"/>
        <v>28.299900000000001</v>
      </c>
    </row>
    <row r="1182" spans="1:8" x14ac:dyDescent="0.25">
      <c r="A1182" s="26">
        <v>442</v>
      </c>
      <c r="B1182" s="25">
        <v>0.94374999999999998</v>
      </c>
      <c r="C1182" s="68">
        <f t="shared" si="109"/>
        <v>1.6875</v>
      </c>
      <c r="D1182" s="69">
        <f t="shared" si="110"/>
        <v>-13.3125</v>
      </c>
      <c r="E1182" s="70">
        <f t="shared" si="111"/>
        <v>-28.3125</v>
      </c>
      <c r="F1182" s="71">
        <f t="shared" si="112"/>
        <v>-1.6875</v>
      </c>
      <c r="G1182" s="72">
        <f t="shared" si="113"/>
        <v>13.3125</v>
      </c>
      <c r="H1182" s="73">
        <f t="shared" si="114"/>
        <v>28.3125</v>
      </c>
    </row>
    <row r="1183" spans="1:8" x14ac:dyDescent="0.25">
      <c r="A1183" s="26">
        <v>443</v>
      </c>
      <c r="B1183" s="25">
        <v>0.94416999999999995</v>
      </c>
      <c r="C1183" s="68">
        <f t="shared" si="109"/>
        <v>1.6749000000000009</v>
      </c>
      <c r="D1183" s="69">
        <f t="shared" si="110"/>
        <v>-13.325099999999999</v>
      </c>
      <c r="E1183" s="70">
        <f t="shared" si="111"/>
        <v>-28.325099999999999</v>
      </c>
      <c r="F1183" s="71">
        <f t="shared" si="112"/>
        <v>-1.6749000000000009</v>
      </c>
      <c r="G1183" s="72">
        <f t="shared" si="113"/>
        <v>13.325099999999999</v>
      </c>
      <c r="H1183" s="73">
        <f t="shared" si="114"/>
        <v>28.325099999999999</v>
      </c>
    </row>
    <row r="1184" spans="1:8" x14ac:dyDescent="0.25">
      <c r="A1184" s="26">
        <v>444</v>
      </c>
      <c r="B1184" s="25">
        <v>0.94457999999999998</v>
      </c>
      <c r="C1184" s="68">
        <f t="shared" si="109"/>
        <v>1.6626000000000012</v>
      </c>
      <c r="D1184" s="69">
        <f t="shared" si="110"/>
        <v>-13.337399999999999</v>
      </c>
      <c r="E1184" s="70">
        <f t="shared" si="111"/>
        <v>-28.337399999999999</v>
      </c>
      <c r="F1184" s="71">
        <f t="shared" si="112"/>
        <v>-1.6626000000000012</v>
      </c>
      <c r="G1184" s="72">
        <f t="shared" si="113"/>
        <v>13.337399999999999</v>
      </c>
      <c r="H1184" s="73">
        <f t="shared" si="114"/>
        <v>28.337399999999999</v>
      </c>
    </row>
    <row r="1185" spans="1:8" x14ac:dyDescent="0.25">
      <c r="A1185" s="26">
        <v>445</v>
      </c>
      <c r="B1185" s="25">
        <v>0.94499999999999995</v>
      </c>
      <c r="C1185" s="68">
        <f t="shared" si="109"/>
        <v>1.6500000000000021</v>
      </c>
      <c r="D1185" s="69">
        <f t="shared" si="110"/>
        <v>-13.349999999999998</v>
      </c>
      <c r="E1185" s="70">
        <f t="shared" si="111"/>
        <v>-28.349999999999998</v>
      </c>
      <c r="F1185" s="71">
        <f t="shared" si="112"/>
        <v>-1.6500000000000021</v>
      </c>
      <c r="G1185" s="72">
        <f t="shared" si="113"/>
        <v>13.349999999999998</v>
      </c>
      <c r="H1185" s="73">
        <f t="shared" si="114"/>
        <v>28.349999999999998</v>
      </c>
    </row>
    <row r="1186" spans="1:8" x14ac:dyDescent="0.25">
      <c r="A1186" s="26">
        <v>446</v>
      </c>
      <c r="B1186" s="25">
        <v>0.94542000000000004</v>
      </c>
      <c r="C1186" s="68">
        <f t="shared" si="109"/>
        <v>1.6373999999999995</v>
      </c>
      <c r="D1186" s="69">
        <f t="shared" si="110"/>
        <v>-13.3626</v>
      </c>
      <c r="E1186" s="70">
        <f t="shared" si="111"/>
        <v>-28.3626</v>
      </c>
      <c r="F1186" s="71">
        <f t="shared" si="112"/>
        <v>-1.6373999999999995</v>
      </c>
      <c r="G1186" s="72">
        <f t="shared" si="113"/>
        <v>13.3626</v>
      </c>
      <c r="H1186" s="73">
        <f t="shared" si="114"/>
        <v>28.3626</v>
      </c>
    </row>
    <row r="1187" spans="1:8" x14ac:dyDescent="0.25">
      <c r="A1187" s="26">
        <v>447</v>
      </c>
      <c r="B1187" s="25">
        <v>0.94582999999999995</v>
      </c>
      <c r="C1187" s="68">
        <f t="shared" si="109"/>
        <v>1.6251000000000033</v>
      </c>
      <c r="D1187" s="69">
        <f t="shared" si="110"/>
        <v>-13.374899999999997</v>
      </c>
      <c r="E1187" s="70">
        <f t="shared" si="111"/>
        <v>-28.374899999999997</v>
      </c>
      <c r="F1187" s="71">
        <f t="shared" si="112"/>
        <v>-1.6251000000000033</v>
      </c>
      <c r="G1187" s="72">
        <f t="shared" si="113"/>
        <v>13.374899999999997</v>
      </c>
      <c r="H1187" s="73">
        <f t="shared" si="114"/>
        <v>28.374899999999997</v>
      </c>
    </row>
    <row r="1188" spans="1:8" x14ac:dyDescent="0.25">
      <c r="A1188" s="26">
        <v>448</v>
      </c>
      <c r="B1188" s="25">
        <v>0.94625000000000004</v>
      </c>
      <c r="C1188" s="68">
        <f t="shared" si="109"/>
        <v>1.6124999999999972</v>
      </c>
      <c r="D1188" s="69">
        <f t="shared" si="110"/>
        <v>-13.387500000000003</v>
      </c>
      <c r="E1188" s="70">
        <f t="shared" si="111"/>
        <v>-28.387500000000003</v>
      </c>
      <c r="F1188" s="71">
        <f t="shared" si="112"/>
        <v>-1.6124999999999972</v>
      </c>
      <c r="G1188" s="72">
        <f t="shared" si="113"/>
        <v>13.387500000000003</v>
      </c>
      <c r="H1188" s="73">
        <f t="shared" si="114"/>
        <v>28.387500000000003</v>
      </c>
    </row>
    <row r="1189" spans="1:8" x14ac:dyDescent="0.25">
      <c r="A1189" s="26">
        <v>449</v>
      </c>
      <c r="B1189" s="25">
        <v>0.94667000000000001</v>
      </c>
      <c r="C1189" s="68">
        <f t="shared" si="109"/>
        <v>1.5998999999999981</v>
      </c>
      <c r="D1189" s="69">
        <f t="shared" si="110"/>
        <v>-13.400100000000002</v>
      </c>
      <c r="E1189" s="70">
        <f t="shared" si="111"/>
        <v>-28.400100000000002</v>
      </c>
      <c r="F1189" s="71">
        <f t="shared" si="112"/>
        <v>-1.5998999999999981</v>
      </c>
      <c r="G1189" s="72">
        <f t="shared" si="113"/>
        <v>13.400100000000002</v>
      </c>
      <c r="H1189" s="73">
        <f t="shared" si="114"/>
        <v>28.400100000000002</v>
      </c>
    </row>
    <row r="1190" spans="1:8" x14ac:dyDescent="0.25">
      <c r="A1190" s="26">
        <v>450</v>
      </c>
      <c r="B1190" s="25">
        <v>0.94708000000000003</v>
      </c>
      <c r="C1190" s="68">
        <f t="shared" si="109"/>
        <v>1.5875999999999983</v>
      </c>
      <c r="D1190" s="69">
        <f t="shared" si="110"/>
        <v>-13.412400000000002</v>
      </c>
      <c r="E1190" s="70">
        <f t="shared" si="111"/>
        <v>-28.412400000000002</v>
      </c>
      <c r="F1190" s="71">
        <f t="shared" si="112"/>
        <v>-1.5875999999999983</v>
      </c>
      <c r="G1190" s="72">
        <f t="shared" si="113"/>
        <v>13.412400000000002</v>
      </c>
      <c r="H1190" s="73">
        <f t="shared" si="114"/>
        <v>28.412400000000002</v>
      </c>
    </row>
    <row r="1191" spans="1:8" x14ac:dyDescent="0.25">
      <c r="A1191" s="26">
        <v>451</v>
      </c>
      <c r="B1191" s="25">
        <v>0.94750000000000001</v>
      </c>
      <c r="C1191" s="68">
        <f t="shared" si="109"/>
        <v>1.5749999999999993</v>
      </c>
      <c r="D1191" s="69">
        <f t="shared" si="110"/>
        <v>-13.425000000000001</v>
      </c>
      <c r="E1191" s="70">
        <f t="shared" si="111"/>
        <v>-28.425000000000001</v>
      </c>
      <c r="F1191" s="71">
        <f t="shared" si="112"/>
        <v>-1.5749999999999993</v>
      </c>
      <c r="G1191" s="72">
        <f t="shared" si="113"/>
        <v>13.425000000000001</v>
      </c>
      <c r="H1191" s="73">
        <f t="shared" si="114"/>
        <v>28.425000000000001</v>
      </c>
    </row>
    <row r="1192" spans="1:8" x14ac:dyDescent="0.25">
      <c r="A1192" s="26">
        <v>452</v>
      </c>
      <c r="B1192" s="25">
        <v>0.94791999999999998</v>
      </c>
      <c r="C1192" s="68">
        <f t="shared" si="109"/>
        <v>1.5624000000000002</v>
      </c>
      <c r="D1192" s="69">
        <f t="shared" si="110"/>
        <v>-13.4376</v>
      </c>
      <c r="E1192" s="70">
        <f t="shared" si="111"/>
        <v>-28.4376</v>
      </c>
      <c r="F1192" s="71">
        <f t="shared" si="112"/>
        <v>-1.5624000000000002</v>
      </c>
      <c r="G1192" s="72">
        <f t="shared" si="113"/>
        <v>13.4376</v>
      </c>
      <c r="H1192" s="73">
        <f t="shared" si="114"/>
        <v>28.4376</v>
      </c>
    </row>
    <row r="1193" spans="1:8" x14ac:dyDescent="0.25">
      <c r="A1193" s="26">
        <v>453</v>
      </c>
      <c r="B1193" s="25">
        <v>0.94833000000000001</v>
      </c>
      <c r="C1193" s="68">
        <f t="shared" si="109"/>
        <v>1.5501000000000005</v>
      </c>
      <c r="D1193" s="69">
        <f t="shared" si="110"/>
        <v>-13.4499</v>
      </c>
      <c r="E1193" s="70">
        <f t="shared" si="111"/>
        <v>-28.4499</v>
      </c>
      <c r="F1193" s="71">
        <f t="shared" si="112"/>
        <v>-1.5501000000000005</v>
      </c>
      <c r="G1193" s="72">
        <f t="shared" si="113"/>
        <v>13.4499</v>
      </c>
      <c r="H1193" s="73">
        <f t="shared" si="114"/>
        <v>28.4499</v>
      </c>
    </row>
    <row r="1194" spans="1:8" x14ac:dyDescent="0.25">
      <c r="A1194" s="26">
        <v>454</v>
      </c>
      <c r="B1194" s="25">
        <v>0.94874999999999998</v>
      </c>
      <c r="C1194" s="68">
        <f t="shared" si="109"/>
        <v>1.5375000000000014</v>
      </c>
      <c r="D1194" s="69">
        <f t="shared" si="110"/>
        <v>-13.462499999999999</v>
      </c>
      <c r="E1194" s="70">
        <f t="shared" si="111"/>
        <v>-28.462499999999999</v>
      </c>
      <c r="F1194" s="71">
        <f t="shared" si="112"/>
        <v>-1.5375000000000014</v>
      </c>
      <c r="G1194" s="72">
        <f t="shared" si="113"/>
        <v>13.462499999999999</v>
      </c>
      <c r="H1194" s="73">
        <f t="shared" si="114"/>
        <v>28.462499999999999</v>
      </c>
    </row>
    <row r="1195" spans="1:8" x14ac:dyDescent="0.25">
      <c r="A1195" s="26">
        <v>455</v>
      </c>
      <c r="B1195" s="25">
        <v>0.94916999999999996</v>
      </c>
      <c r="C1195" s="68">
        <f t="shared" si="109"/>
        <v>1.5249000000000024</v>
      </c>
      <c r="D1195" s="69">
        <f t="shared" si="110"/>
        <v>-13.475099999999998</v>
      </c>
      <c r="E1195" s="70">
        <f t="shared" si="111"/>
        <v>-28.475099999999998</v>
      </c>
      <c r="F1195" s="71">
        <f t="shared" si="112"/>
        <v>-1.5249000000000024</v>
      </c>
      <c r="G1195" s="72">
        <f t="shared" si="113"/>
        <v>13.475099999999998</v>
      </c>
      <c r="H1195" s="73">
        <f t="shared" si="114"/>
        <v>28.475099999999998</v>
      </c>
    </row>
    <row r="1196" spans="1:8" x14ac:dyDescent="0.25">
      <c r="A1196" s="26">
        <v>456</v>
      </c>
      <c r="B1196" s="25">
        <v>0.94957999999999998</v>
      </c>
      <c r="C1196" s="68">
        <f t="shared" si="109"/>
        <v>1.5125999999999991</v>
      </c>
      <c r="D1196" s="69">
        <f t="shared" si="110"/>
        <v>-13.487400000000001</v>
      </c>
      <c r="E1196" s="70">
        <f t="shared" si="111"/>
        <v>-28.487400000000001</v>
      </c>
      <c r="F1196" s="71">
        <f t="shared" si="112"/>
        <v>-1.5125999999999991</v>
      </c>
      <c r="G1196" s="72">
        <f t="shared" si="113"/>
        <v>13.487400000000001</v>
      </c>
      <c r="H1196" s="73">
        <f t="shared" si="114"/>
        <v>28.487400000000001</v>
      </c>
    </row>
    <row r="1197" spans="1:8" x14ac:dyDescent="0.25">
      <c r="A1197" s="26">
        <v>457</v>
      </c>
      <c r="B1197" s="25">
        <v>0.95</v>
      </c>
      <c r="C1197" s="68">
        <f t="shared" si="109"/>
        <v>1.5</v>
      </c>
      <c r="D1197" s="69">
        <f t="shared" si="110"/>
        <v>-13.5</v>
      </c>
      <c r="E1197" s="70">
        <f t="shared" si="111"/>
        <v>-28.5</v>
      </c>
      <c r="F1197" s="71">
        <f t="shared" si="112"/>
        <v>-1.5</v>
      </c>
      <c r="G1197" s="72">
        <f t="shared" si="113"/>
        <v>13.5</v>
      </c>
      <c r="H1197" s="73">
        <f t="shared" si="114"/>
        <v>28.5</v>
      </c>
    </row>
    <row r="1198" spans="1:8" x14ac:dyDescent="0.25">
      <c r="A1198" s="26">
        <v>458</v>
      </c>
      <c r="B1198" s="25">
        <v>0.95035999999999998</v>
      </c>
      <c r="C1198" s="68">
        <f t="shared" si="109"/>
        <v>1.4892000000000003</v>
      </c>
      <c r="D1198" s="69">
        <f t="shared" si="110"/>
        <v>-13.5108</v>
      </c>
      <c r="E1198" s="70">
        <f t="shared" si="111"/>
        <v>-28.5108</v>
      </c>
      <c r="F1198" s="71">
        <f t="shared" si="112"/>
        <v>-1.4892000000000003</v>
      </c>
      <c r="G1198" s="72">
        <f t="shared" si="113"/>
        <v>13.5108</v>
      </c>
      <c r="H1198" s="73">
        <f t="shared" si="114"/>
        <v>28.5108</v>
      </c>
    </row>
    <row r="1199" spans="1:8" x14ac:dyDescent="0.25">
      <c r="A1199" s="26">
        <v>459</v>
      </c>
      <c r="B1199" s="25">
        <v>0.95071000000000006</v>
      </c>
      <c r="C1199" s="68">
        <f t="shared" si="109"/>
        <v>1.4786999999999999</v>
      </c>
      <c r="D1199" s="69">
        <f t="shared" si="110"/>
        <v>-13.5213</v>
      </c>
      <c r="E1199" s="70">
        <f t="shared" si="111"/>
        <v>-28.5213</v>
      </c>
      <c r="F1199" s="71">
        <f t="shared" si="112"/>
        <v>-1.4786999999999999</v>
      </c>
      <c r="G1199" s="72">
        <f t="shared" si="113"/>
        <v>13.5213</v>
      </c>
      <c r="H1199" s="73">
        <f t="shared" si="114"/>
        <v>28.5213</v>
      </c>
    </row>
    <row r="1200" spans="1:8" x14ac:dyDescent="0.25">
      <c r="A1200" s="26">
        <v>460</v>
      </c>
      <c r="B1200" s="25">
        <v>0.95106999999999997</v>
      </c>
      <c r="C1200" s="68">
        <f t="shared" si="109"/>
        <v>1.4679000000000002</v>
      </c>
      <c r="D1200" s="69">
        <f t="shared" si="110"/>
        <v>-13.5321</v>
      </c>
      <c r="E1200" s="70">
        <f t="shared" si="111"/>
        <v>-28.5321</v>
      </c>
      <c r="F1200" s="71">
        <f t="shared" si="112"/>
        <v>-1.4679000000000002</v>
      </c>
      <c r="G1200" s="72">
        <f t="shared" si="113"/>
        <v>13.5321</v>
      </c>
      <c r="H1200" s="73">
        <f t="shared" si="114"/>
        <v>28.5321</v>
      </c>
    </row>
    <row r="1201" spans="1:8" x14ac:dyDescent="0.25">
      <c r="A1201" s="26">
        <v>461</v>
      </c>
      <c r="B1201" s="25">
        <v>0.95143</v>
      </c>
      <c r="C1201" s="68">
        <f t="shared" si="109"/>
        <v>1.4571000000000005</v>
      </c>
      <c r="D1201" s="69">
        <f t="shared" si="110"/>
        <v>-13.542899999999999</v>
      </c>
      <c r="E1201" s="70">
        <f t="shared" si="111"/>
        <v>-28.542899999999999</v>
      </c>
      <c r="F1201" s="71">
        <f t="shared" si="112"/>
        <v>-1.4571000000000005</v>
      </c>
      <c r="G1201" s="72">
        <f t="shared" si="113"/>
        <v>13.542899999999999</v>
      </c>
      <c r="H1201" s="73">
        <f t="shared" si="114"/>
        <v>28.542899999999999</v>
      </c>
    </row>
    <row r="1202" spans="1:8" x14ac:dyDescent="0.25">
      <c r="A1202" s="26">
        <v>462</v>
      </c>
      <c r="B1202" s="25">
        <v>0.95179000000000002</v>
      </c>
      <c r="C1202" s="68">
        <f t="shared" si="109"/>
        <v>1.4463000000000008</v>
      </c>
      <c r="D1202" s="69">
        <f t="shared" si="110"/>
        <v>-13.553699999999999</v>
      </c>
      <c r="E1202" s="70">
        <f t="shared" si="111"/>
        <v>-28.553699999999999</v>
      </c>
      <c r="F1202" s="71">
        <f t="shared" si="112"/>
        <v>-1.4463000000000008</v>
      </c>
      <c r="G1202" s="72">
        <f t="shared" si="113"/>
        <v>13.553699999999999</v>
      </c>
      <c r="H1202" s="73">
        <f t="shared" si="114"/>
        <v>28.553699999999999</v>
      </c>
    </row>
    <row r="1203" spans="1:8" x14ac:dyDescent="0.25">
      <c r="A1203" s="26">
        <v>463</v>
      </c>
      <c r="B1203" s="25">
        <v>0.95213999999999999</v>
      </c>
      <c r="C1203" s="68">
        <f t="shared" si="109"/>
        <v>1.4358000000000004</v>
      </c>
      <c r="D1203" s="69">
        <f t="shared" si="110"/>
        <v>-13.5642</v>
      </c>
      <c r="E1203" s="70">
        <f t="shared" si="111"/>
        <v>-28.5642</v>
      </c>
      <c r="F1203" s="71">
        <f t="shared" si="112"/>
        <v>-1.4358000000000004</v>
      </c>
      <c r="G1203" s="72">
        <f t="shared" si="113"/>
        <v>13.5642</v>
      </c>
      <c r="H1203" s="73">
        <f t="shared" si="114"/>
        <v>28.5642</v>
      </c>
    </row>
    <row r="1204" spans="1:8" x14ac:dyDescent="0.25">
      <c r="A1204" s="26">
        <v>464</v>
      </c>
      <c r="B1204" s="25">
        <v>0.95250000000000001</v>
      </c>
      <c r="C1204" s="68">
        <f t="shared" si="109"/>
        <v>1.4250000000000007</v>
      </c>
      <c r="D1204" s="69">
        <f t="shared" si="110"/>
        <v>-13.574999999999999</v>
      </c>
      <c r="E1204" s="70">
        <f t="shared" si="111"/>
        <v>-28.574999999999999</v>
      </c>
      <c r="F1204" s="71">
        <f t="shared" si="112"/>
        <v>-1.4250000000000007</v>
      </c>
      <c r="G1204" s="72">
        <f t="shared" si="113"/>
        <v>13.574999999999999</v>
      </c>
      <c r="H1204" s="73">
        <f t="shared" si="114"/>
        <v>28.574999999999999</v>
      </c>
    </row>
    <row r="1205" spans="1:8" x14ac:dyDescent="0.25">
      <c r="A1205" s="26">
        <v>465</v>
      </c>
      <c r="B1205" s="25">
        <v>0.95286000000000004</v>
      </c>
      <c r="C1205" s="68">
        <f t="shared" si="109"/>
        <v>1.4141999999999975</v>
      </c>
      <c r="D1205" s="69">
        <f t="shared" si="110"/>
        <v>-13.585800000000003</v>
      </c>
      <c r="E1205" s="70">
        <f t="shared" si="111"/>
        <v>-28.585800000000003</v>
      </c>
      <c r="F1205" s="71">
        <f t="shared" si="112"/>
        <v>-1.4141999999999975</v>
      </c>
      <c r="G1205" s="72">
        <f t="shared" si="113"/>
        <v>13.585800000000003</v>
      </c>
      <c r="H1205" s="73">
        <f t="shared" si="114"/>
        <v>28.585800000000003</v>
      </c>
    </row>
    <row r="1206" spans="1:8" x14ac:dyDescent="0.25">
      <c r="A1206" s="26">
        <v>466</v>
      </c>
      <c r="B1206" s="25">
        <v>0.95321</v>
      </c>
      <c r="C1206" s="68">
        <f t="shared" si="109"/>
        <v>1.4037000000000006</v>
      </c>
      <c r="D1206" s="69">
        <f t="shared" si="110"/>
        <v>-13.596299999999999</v>
      </c>
      <c r="E1206" s="70">
        <f t="shared" si="111"/>
        <v>-28.596299999999999</v>
      </c>
      <c r="F1206" s="71">
        <f t="shared" si="112"/>
        <v>-1.4037000000000006</v>
      </c>
      <c r="G1206" s="72">
        <f t="shared" si="113"/>
        <v>13.596299999999999</v>
      </c>
      <c r="H1206" s="73">
        <f t="shared" si="114"/>
        <v>28.596299999999999</v>
      </c>
    </row>
    <row r="1207" spans="1:8" x14ac:dyDescent="0.25">
      <c r="A1207" s="26">
        <v>467</v>
      </c>
      <c r="B1207" s="25">
        <v>0.95357000000000003</v>
      </c>
      <c r="C1207" s="68">
        <f t="shared" si="109"/>
        <v>1.3928999999999974</v>
      </c>
      <c r="D1207" s="69">
        <f t="shared" si="110"/>
        <v>-13.607100000000003</v>
      </c>
      <c r="E1207" s="70">
        <f t="shared" si="111"/>
        <v>-28.607100000000003</v>
      </c>
      <c r="F1207" s="71">
        <f t="shared" si="112"/>
        <v>-1.3928999999999974</v>
      </c>
      <c r="G1207" s="72">
        <f t="shared" si="113"/>
        <v>13.607100000000003</v>
      </c>
      <c r="H1207" s="73">
        <f t="shared" si="114"/>
        <v>28.607100000000003</v>
      </c>
    </row>
    <row r="1208" spans="1:8" x14ac:dyDescent="0.25">
      <c r="A1208" s="26">
        <v>468</v>
      </c>
      <c r="B1208" s="25">
        <v>0.95392999999999994</v>
      </c>
      <c r="C1208" s="68">
        <f t="shared" si="109"/>
        <v>1.3821000000000012</v>
      </c>
      <c r="D1208" s="69">
        <f t="shared" si="110"/>
        <v>-13.617899999999999</v>
      </c>
      <c r="E1208" s="70">
        <f t="shared" si="111"/>
        <v>-28.617899999999999</v>
      </c>
      <c r="F1208" s="71">
        <f t="shared" si="112"/>
        <v>-1.3821000000000012</v>
      </c>
      <c r="G1208" s="72">
        <f t="shared" si="113"/>
        <v>13.617899999999999</v>
      </c>
      <c r="H1208" s="73">
        <f t="shared" si="114"/>
        <v>28.617899999999999</v>
      </c>
    </row>
    <row r="1209" spans="1:8" x14ac:dyDescent="0.25">
      <c r="A1209" s="26">
        <v>469</v>
      </c>
      <c r="B1209" s="25">
        <v>0.95428999999999997</v>
      </c>
      <c r="C1209" s="68">
        <f t="shared" si="109"/>
        <v>1.3713000000000015</v>
      </c>
      <c r="D1209" s="69">
        <f t="shared" si="110"/>
        <v>-13.628699999999998</v>
      </c>
      <c r="E1209" s="70">
        <f t="shared" si="111"/>
        <v>-28.628699999999998</v>
      </c>
      <c r="F1209" s="71">
        <f t="shared" si="112"/>
        <v>-1.3713000000000015</v>
      </c>
      <c r="G1209" s="72">
        <f t="shared" si="113"/>
        <v>13.628699999999998</v>
      </c>
      <c r="H1209" s="73">
        <f t="shared" si="114"/>
        <v>28.628699999999998</v>
      </c>
    </row>
    <row r="1210" spans="1:8" x14ac:dyDescent="0.25">
      <c r="A1210" s="26">
        <v>470</v>
      </c>
      <c r="B1210" s="25">
        <v>0.95464000000000004</v>
      </c>
      <c r="C1210" s="68">
        <f t="shared" si="109"/>
        <v>1.3607999999999976</v>
      </c>
      <c r="D1210" s="69">
        <f t="shared" si="110"/>
        <v>-13.639200000000002</v>
      </c>
      <c r="E1210" s="70">
        <f t="shared" si="111"/>
        <v>-28.639200000000002</v>
      </c>
      <c r="F1210" s="71">
        <f t="shared" si="112"/>
        <v>-1.3607999999999976</v>
      </c>
      <c r="G1210" s="72">
        <f t="shared" si="113"/>
        <v>13.639200000000002</v>
      </c>
      <c r="H1210" s="73">
        <f t="shared" si="114"/>
        <v>28.639200000000002</v>
      </c>
    </row>
    <row r="1211" spans="1:8" x14ac:dyDescent="0.25">
      <c r="A1211" s="26">
        <v>471</v>
      </c>
      <c r="B1211" s="25">
        <v>0.95499999999999996</v>
      </c>
      <c r="C1211" s="68">
        <f t="shared" si="109"/>
        <v>1.3500000000000014</v>
      </c>
      <c r="D1211" s="69">
        <f t="shared" si="110"/>
        <v>-13.649999999999999</v>
      </c>
      <c r="E1211" s="70">
        <f t="shared" si="111"/>
        <v>-28.65</v>
      </c>
      <c r="F1211" s="71">
        <f t="shared" si="112"/>
        <v>-1.3500000000000014</v>
      </c>
      <c r="G1211" s="72">
        <f t="shared" si="113"/>
        <v>13.649999999999999</v>
      </c>
      <c r="H1211" s="73">
        <f t="shared" si="114"/>
        <v>28.65</v>
      </c>
    </row>
    <row r="1212" spans="1:8" x14ac:dyDescent="0.25">
      <c r="A1212" s="26">
        <v>472</v>
      </c>
      <c r="B1212" s="25">
        <v>0.95535999999999999</v>
      </c>
      <c r="C1212" s="68">
        <f t="shared" si="109"/>
        <v>1.3392000000000017</v>
      </c>
      <c r="D1212" s="69">
        <f t="shared" si="110"/>
        <v>-13.660799999999998</v>
      </c>
      <c r="E1212" s="70">
        <f t="shared" si="111"/>
        <v>-28.660799999999998</v>
      </c>
      <c r="F1212" s="71">
        <f t="shared" si="112"/>
        <v>-1.3392000000000017</v>
      </c>
      <c r="G1212" s="72">
        <f t="shared" si="113"/>
        <v>13.660799999999998</v>
      </c>
      <c r="H1212" s="73">
        <f t="shared" si="114"/>
        <v>28.660799999999998</v>
      </c>
    </row>
    <row r="1213" spans="1:8" x14ac:dyDescent="0.25">
      <c r="A1213" s="26">
        <v>473</v>
      </c>
      <c r="B1213" s="25">
        <v>0.95570999999999995</v>
      </c>
      <c r="C1213" s="68">
        <f t="shared" si="109"/>
        <v>1.3287000000000013</v>
      </c>
      <c r="D1213" s="69">
        <f t="shared" si="110"/>
        <v>-13.671299999999999</v>
      </c>
      <c r="E1213" s="70">
        <f t="shared" si="111"/>
        <v>-28.671299999999999</v>
      </c>
      <c r="F1213" s="71">
        <f t="shared" si="112"/>
        <v>-1.3287000000000013</v>
      </c>
      <c r="G1213" s="72">
        <f t="shared" si="113"/>
        <v>13.671299999999999</v>
      </c>
      <c r="H1213" s="73">
        <f t="shared" si="114"/>
        <v>28.671299999999999</v>
      </c>
    </row>
    <row r="1214" spans="1:8" x14ac:dyDescent="0.25">
      <c r="A1214" s="26">
        <v>474</v>
      </c>
      <c r="B1214" s="25">
        <v>0.95606999999999998</v>
      </c>
      <c r="C1214" s="68">
        <f t="shared" si="109"/>
        <v>1.3179000000000016</v>
      </c>
      <c r="D1214" s="69">
        <f t="shared" si="110"/>
        <v>-13.682099999999998</v>
      </c>
      <c r="E1214" s="70">
        <f t="shared" si="111"/>
        <v>-28.682099999999998</v>
      </c>
      <c r="F1214" s="71">
        <f t="shared" si="112"/>
        <v>-1.3179000000000016</v>
      </c>
      <c r="G1214" s="72">
        <f t="shared" si="113"/>
        <v>13.682099999999998</v>
      </c>
      <c r="H1214" s="73">
        <f t="shared" si="114"/>
        <v>28.682099999999998</v>
      </c>
    </row>
    <row r="1215" spans="1:8" x14ac:dyDescent="0.25">
      <c r="A1215" s="26">
        <v>475</v>
      </c>
      <c r="B1215" s="25">
        <v>0.95643</v>
      </c>
      <c r="C1215" s="68">
        <f t="shared" si="109"/>
        <v>1.3070999999999984</v>
      </c>
      <c r="D1215" s="69">
        <f t="shared" si="110"/>
        <v>-13.692900000000002</v>
      </c>
      <c r="E1215" s="70">
        <f t="shared" si="111"/>
        <v>-28.692900000000002</v>
      </c>
      <c r="F1215" s="71">
        <f t="shared" si="112"/>
        <v>-1.3070999999999984</v>
      </c>
      <c r="G1215" s="72">
        <f t="shared" si="113"/>
        <v>13.692900000000002</v>
      </c>
      <c r="H1215" s="73">
        <f t="shared" si="114"/>
        <v>28.692900000000002</v>
      </c>
    </row>
    <row r="1216" spans="1:8" x14ac:dyDescent="0.25">
      <c r="A1216" s="26">
        <v>476</v>
      </c>
      <c r="B1216" s="25">
        <v>0.95679000000000003</v>
      </c>
      <c r="C1216" s="68">
        <f t="shared" si="109"/>
        <v>1.2962999999999987</v>
      </c>
      <c r="D1216" s="69">
        <f t="shared" si="110"/>
        <v>-13.703700000000001</v>
      </c>
      <c r="E1216" s="70">
        <f t="shared" si="111"/>
        <v>-28.703700000000001</v>
      </c>
      <c r="F1216" s="71">
        <f t="shared" si="112"/>
        <v>-1.2962999999999987</v>
      </c>
      <c r="G1216" s="72">
        <f t="shared" si="113"/>
        <v>13.703700000000001</v>
      </c>
      <c r="H1216" s="73">
        <f t="shared" si="114"/>
        <v>28.703700000000001</v>
      </c>
    </row>
    <row r="1217" spans="1:8" x14ac:dyDescent="0.25">
      <c r="A1217" s="26">
        <v>477</v>
      </c>
      <c r="B1217" s="25">
        <v>0.95713999999999999</v>
      </c>
      <c r="C1217" s="68">
        <f t="shared" si="109"/>
        <v>1.2858000000000018</v>
      </c>
      <c r="D1217" s="69">
        <f t="shared" si="110"/>
        <v>-13.714199999999998</v>
      </c>
      <c r="E1217" s="70">
        <f t="shared" si="111"/>
        <v>-28.714199999999998</v>
      </c>
      <c r="F1217" s="71">
        <f t="shared" si="112"/>
        <v>-1.2858000000000018</v>
      </c>
      <c r="G1217" s="72">
        <f t="shared" si="113"/>
        <v>13.714199999999998</v>
      </c>
      <c r="H1217" s="73">
        <f t="shared" si="114"/>
        <v>28.714199999999998</v>
      </c>
    </row>
    <row r="1218" spans="1:8" x14ac:dyDescent="0.25">
      <c r="A1218" s="26">
        <v>478</v>
      </c>
      <c r="B1218" s="25">
        <v>0.95750000000000002</v>
      </c>
      <c r="C1218" s="68">
        <f t="shared" si="109"/>
        <v>1.2749999999999986</v>
      </c>
      <c r="D1218" s="69">
        <f t="shared" si="110"/>
        <v>-13.725000000000001</v>
      </c>
      <c r="E1218" s="70">
        <f t="shared" si="111"/>
        <v>-28.725000000000001</v>
      </c>
      <c r="F1218" s="71">
        <f t="shared" si="112"/>
        <v>-1.2749999999999986</v>
      </c>
      <c r="G1218" s="72">
        <f t="shared" si="113"/>
        <v>13.725000000000001</v>
      </c>
      <c r="H1218" s="73">
        <f t="shared" si="114"/>
        <v>28.725000000000001</v>
      </c>
    </row>
    <row r="1219" spans="1:8" x14ac:dyDescent="0.25">
      <c r="A1219" s="26">
        <v>479</v>
      </c>
      <c r="B1219" s="25">
        <v>0.95786000000000004</v>
      </c>
      <c r="C1219" s="68">
        <f t="shared" si="109"/>
        <v>1.2641999999999989</v>
      </c>
      <c r="D1219" s="69">
        <f t="shared" si="110"/>
        <v>-13.735800000000001</v>
      </c>
      <c r="E1219" s="70">
        <f t="shared" si="111"/>
        <v>-28.735800000000001</v>
      </c>
      <c r="F1219" s="71">
        <f t="shared" si="112"/>
        <v>-1.2641999999999989</v>
      </c>
      <c r="G1219" s="72">
        <f t="shared" si="113"/>
        <v>13.735800000000001</v>
      </c>
      <c r="H1219" s="73">
        <f t="shared" si="114"/>
        <v>28.735800000000001</v>
      </c>
    </row>
    <row r="1220" spans="1:8" x14ac:dyDescent="0.25">
      <c r="A1220" s="26">
        <v>480</v>
      </c>
      <c r="B1220" s="25">
        <v>0.95821000000000001</v>
      </c>
      <c r="C1220" s="68">
        <f t="shared" si="109"/>
        <v>1.2536999999999985</v>
      </c>
      <c r="D1220" s="69">
        <f t="shared" si="110"/>
        <v>-13.746300000000002</v>
      </c>
      <c r="E1220" s="70">
        <f t="shared" si="111"/>
        <v>-28.746300000000002</v>
      </c>
      <c r="F1220" s="71">
        <f t="shared" si="112"/>
        <v>-1.2536999999999985</v>
      </c>
      <c r="G1220" s="72">
        <f t="shared" si="113"/>
        <v>13.746300000000002</v>
      </c>
      <c r="H1220" s="73">
        <f t="shared" si="114"/>
        <v>28.746300000000002</v>
      </c>
    </row>
    <row r="1221" spans="1:8" x14ac:dyDescent="0.25">
      <c r="A1221" s="26">
        <v>481</v>
      </c>
      <c r="B1221" s="25">
        <v>0.95857000000000003</v>
      </c>
      <c r="C1221" s="68">
        <f t="shared" si="109"/>
        <v>1.2428999999999988</v>
      </c>
      <c r="D1221" s="69">
        <f t="shared" si="110"/>
        <v>-13.757100000000001</v>
      </c>
      <c r="E1221" s="70">
        <f t="shared" si="111"/>
        <v>-28.757100000000001</v>
      </c>
      <c r="F1221" s="71">
        <f t="shared" si="112"/>
        <v>-1.2428999999999988</v>
      </c>
      <c r="G1221" s="72">
        <f t="shared" si="113"/>
        <v>13.757100000000001</v>
      </c>
      <c r="H1221" s="73">
        <f t="shared" si="114"/>
        <v>28.757100000000001</v>
      </c>
    </row>
    <row r="1222" spans="1:8" x14ac:dyDescent="0.25">
      <c r="A1222" s="26">
        <v>482</v>
      </c>
      <c r="B1222" s="25">
        <v>0.95892999999999995</v>
      </c>
      <c r="C1222" s="68">
        <f t="shared" si="109"/>
        <v>1.2321000000000026</v>
      </c>
      <c r="D1222" s="69">
        <f t="shared" si="110"/>
        <v>-13.767899999999997</v>
      </c>
      <c r="E1222" s="70">
        <f t="shared" si="111"/>
        <v>-28.767899999999997</v>
      </c>
      <c r="F1222" s="71">
        <f t="shared" si="112"/>
        <v>-1.2321000000000026</v>
      </c>
      <c r="G1222" s="72">
        <f t="shared" si="113"/>
        <v>13.767899999999997</v>
      </c>
      <c r="H1222" s="73">
        <f t="shared" si="114"/>
        <v>28.767899999999997</v>
      </c>
    </row>
    <row r="1223" spans="1:8" x14ac:dyDescent="0.25">
      <c r="A1223" s="26">
        <v>483</v>
      </c>
      <c r="B1223" s="25">
        <v>0.95928999999999998</v>
      </c>
      <c r="C1223" s="68">
        <f t="shared" ref="C1223:C1286" si="115">KFactor-KFactor*B1223</f>
        <v>1.2212999999999994</v>
      </c>
      <c r="D1223" s="69">
        <f t="shared" ref="D1223:D1286" si="116">KFactor/2-KFactor*B1223</f>
        <v>-13.778700000000001</v>
      </c>
      <c r="E1223" s="70">
        <f t="shared" ref="E1223:E1286" si="117">0-KFactor*B1223</f>
        <v>-28.778700000000001</v>
      </c>
      <c r="F1223" s="71">
        <f t="shared" ref="F1223:F1286" si="118">-C1223</f>
        <v>-1.2212999999999994</v>
      </c>
      <c r="G1223" s="72">
        <f t="shared" ref="G1223:G1286" si="119">-D1223</f>
        <v>13.778700000000001</v>
      </c>
      <c r="H1223" s="73">
        <f t="shared" ref="H1223:H1286" si="120">-E1223</f>
        <v>28.778700000000001</v>
      </c>
    </row>
    <row r="1224" spans="1:8" x14ac:dyDescent="0.25">
      <c r="A1224" s="26">
        <v>484</v>
      </c>
      <c r="B1224" s="25">
        <v>0.95964000000000005</v>
      </c>
      <c r="C1224" s="68">
        <f t="shared" si="115"/>
        <v>1.210799999999999</v>
      </c>
      <c r="D1224" s="69">
        <f t="shared" si="116"/>
        <v>-13.789200000000001</v>
      </c>
      <c r="E1224" s="70">
        <f t="shared" si="117"/>
        <v>-28.789200000000001</v>
      </c>
      <c r="F1224" s="71">
        <f t="shared" si="118"/>
        <v>-1.210799999999999</v>
      </c>
      <c r="G1224" s="72">
        <f t="shared" si="119"/>
        <v>13.789200000000001</v>
      </c>
      <c r="H1224" s="73">
        <f t="shared" si="120"/>
        <v>28.789200000000001</v>
      </c>
    </row>
    <row r="1225" spans="1:8" x14ac:dyDescent="0.25">
      <c r="A1225" s="26">
        <v>485</v>
      </c>
      <c r="B1225" s="25">
        <v>0.96</v>
      </c>
      <c r="C1225" s="68">
        <f t="shared" si="115"/>
        <v>1.2000000000000028</v>
      </c>
      <c r="D1225" s="69">
        <f t="shared" si="116"/>
        <v>-13.799999999999997</v>
      </c>
      <c r="E1225" s="70">
        <f t="shared" si="117"/>
        <v>-28.799999999999997</v>
      </c>
      <c r="F1225" s="71">
        <f t="shared" si="118"/>
        <v>-1.2000000000000028</v>
      </c>
      <c r="G1225" s="72">
        <f t="shared" si="119"/>
        <v>13.799999999999997</v>
      </c>
      <c r="H1225" s="73">
        <f t="shared" si="120"/>
        <v>28.799999999999997</v>
      </c>
    </row>
    <row r="1226" spans="1:8" x14ac:dyDescent="0.25">
      <c r="A1226" s="26">
        <v>486</v>
      </c>
      <c r="B1226" s="25">
        <v>0.96030000000000004</v>
      </c>
      <c r="C1226" s="68">
        <f t="shared" si="115"/>
        <v>1.1909999999999989</v>
      </c>
      <c r="D1226" s="69">
        <f t="shared" si="116"/>
        <v>-13.809000000000001</v>
      </c>
      <c r="E1226" s="70">
        <f t="shared" si="117"/>
        <v>-28.809000000000001</v>
      </c>
      <c r="F1226" s="71">
        <f t="shared" si="118"/>
        <v>-1.1909999999999989</v>
      </c>
      <c r="G1226" s="72">
        <f t="shared" si="119"/>
        <v>13.809000000000001</v>
      </c>
      <c r="H1226" s="73">
        <f t="shared" si="120"/>
        <v>28.809000000000001</v>
      </c>
    </row>
    <row r="1227" spans="1:8" x14ac:dyDescent="0.25">
      <c r="A1227" s="26">
        <v>487</v>
      </c>
      <c r="B1227" s="25">
        <v>0.96060999999999996</v>
      </c>
      <c r="C1227" s="68">
        <f t="shared" si="115"/>
        <v>1.1816999999999993</v>
      </c>
      <c r="D1227" s="69">
        <f t="shared" si="116"/>
        <v>-13.818300000000001</v>
      </c>
      <c r="E1227" s="70">
        <f t="shared" si="117"/>
        <v>-28.818300000000001</v>
      </c>
      <c r="F1227" s="71">
        <f t="shared" si="118"/>
        <v>-1.1816999999999993</v>
      </c>
      <c r="G1227" s="72">
        <f t="shared" si="119"/>
        <v>13.818300000000001</v>
      </c>
      <c r="H1227" s="73">
        <f t="shared" si="120"/>
        <v>28.818300000000001</v>
      </c>
    </row>
    <row r="1228" spans="1:8" x14ac:dyDescent="0.25">
      <c r="A1228" s="26">
        <v>488</v>
      </c>
      <c r="B1228" s="25">
        <v>0.96091000000000004</v>
      </c>
      <c r="C1228" s="68">
        <f t="shared" si="115"/>
        <v>1.172699999999999</v>
      </c>
      <c r="D1228" s="69">
        <f t="shared" si="116"/>
        <v>-13.827300000000001</v>
      </c>
      <c r="E1228" s="70">
        <f t="shared" si="117"/>
        <v>-28.827300000000001</v>
      </c>
      <c r="F1228" s="71">
        <f t="shared" si="118"/>
        <v>-1.172699999999999</v>
      </c>
      <c r="G1228" s="72">
        <f t="shared" si="119"/>
        <v>13.827300000000001</v>
      </c>
      <c r="H1228" s="73">
        <f t="shared" si="120"/>
        <v>28.827300000000001</v>
      </c>
    </row>
    <row r="1229" spans="1:8" x14ac:dyDescent="0.25">
      <c r="A1229" s="26">
        <v>489</v>
      </c>
      <c r="B1229" s="25">
        <v>0.96121000000000001</v>
      </c>
      <c r="C1229" s="68">
        <f t="shared" si="115"/>
        <v>1.1636999999999986</v>
      </c>
      <c r="D1229" s="69">
        <f t="shared" si="116"/>
        <v>-13.836300000000001</v>
      </c>
      <c r="E1229" s="70">
        <f t="shared" si="117"/>
        <v>-28.836300000000001</v>
      </c>
      <c r="F1229" s="71">
        <f t="shared" si="118"/>
        <v>-1.1636999999999986</v>
      </c>
      <c r="G1229" s="72">
        <f t="shared" si="119"/>
        <v>13.836300000000001</v>
      </c>
      <c r="H1229" s="73">
        <f t="shared" si="120"/>
        <v>28.836300000000001</v>
      </c>
    </row>
    <row r="1230" spans="1:8" x14ac:dyDescent="0.25">
      <c r="A1230" s="26">
        <v>490</v>
      </c>
      <c r="B1230" s="25">
        <v>0.96152000000000004</v>
      </c>
      <c r="C1230" s="68">
        <f t="shared" si="115"/>
        <v>1.154399999999999</v>
      </c>
      <c r="D1230" s="69">
        <f t="shared" si="116"/>
        <v>-13.845600000000001</v>
      </c>
      <c r="E1230" s="70">
        <f t="shared" si="117"/>
        <v>-28.845600000000001</v>
      </c>
      <c r="F1230" s="71">
        <f t="shared" si="118"/>
        <v>-1.154399999999999</v>
      </c>
      <c r="G1230" s="72">
        <f t="shared" si="119"/>
        <v>13.845600000000001</v>
      </c>
      <c r="H1230" s="73">
        <f t="shared" si="120"/>
        <v>28.845600000000001</v>
      </c>
    </row>
    <row r="1231" spans="1:8" x14ac:dyDescent="0.25">
      <c r="A1231" s="26">
        <v>491</v>
      </c>
      <c r="B1231" s="25">
        <v>0.96182000000000001</v>
      </c>
      <c r="C1231" s="68">
        <f t="shared" si="115"/>
        <v>1.1453999999999986</v>
      </c>
      <c r="D1231" s="69">
        <f t="shared" si="116"/>
        <v>-13.854600000000001</v>
      </c>
      <c r="E1231" s="70">
        <f t="shared" si="117"/>
        <v>-28.854600000000001</v>
      </c>
      <c r="F1231" s="71">
        <f t="shared" si="118"/>
        <v>-1.1453999999999986</v>
      </c>
      <c r="G1231" s="72">
        <f t="shared" si="119"/>
        <v>13.854600000000001</v>
      </c>
      <c r="H1231" s="73">
        <f t="shared" si="120"/>
        <v>28.854600000000001</v>
      </c>
    </row>
    <row r="1232" spans="1:8" x14ac:dyDescent="0.25">
      <c r="A1232" s="26">
        <v>492</v>
      </c>
      <c r="B1232" s="25">
        <v>0.96211999999999998</v>
      </c>
      <c r="C1232" s="68">
        <f t="shared" si="115"/>
        <v>1.1364000000000019</v>
      </c>
      <c r="D1232" s="69">
        <f t="shared" si="116"/>
        <v>-13.863599999999998</v>
      </c>
      <c r="E1232" s="70">
        <f t="shared" si="117"/>
        <v>-28.863599999999998</v>
      </c>
      <c r="F1232" s="71">
        <f t="shared" si="118"/>
        <v>-1.1364000000000019</v>
      </c>
      <c r="G1232" s="72">
        <f t="shared" si="119"/>
        <v>13.863599999999998</v>
      </c>
      <c r="H1232" s="73">
        <f t="shared" si="120"/>
        <v>28.863599999999998</v>
      </c>
    </row>
    <row r="1233" spans="1:8" x14ac:dyDescent="0.25">
      <c r="A1233" s="26">
        <v>493</v>
      </c>
      <c r="B1233" s="25">
        <v>0.96242000000000005</v>
      </c>
      <c r="C1233" s="68">
        <f t="shared" si="115"/>
        <v>1.127399999999998</v>
      </c>
      <c r="D1233" s="69">
        <f t="shared" si="116"/>
        <v>-13.872600000000002</v>
      </c>
      <c r="E1233" s="70">
        <f t="shared" si="117"/>
        <v>-28.872600000000002</v>
      </c>
      <c r="F1233" s="71">
        <f t="shared" si="118"/>
        <v>-1.127399999999998</v>
      </c>
      <c r="G1233" s="72">
        <f t="shared" si="119"/>
        <v>13.872600000000002</v>
      </c>
      <c r="H1233" s="73">
        <f t="shared" si="120"/>
        <v>28.872600000000002</v>
      </c>
    </row>
    <row r="1234" spans="1:8" x14ac:dyDescent="0.25">
      <c r="A1234" s="26">
        <v>494</v>
      </c>
      <c r="B1234" s="25">
        <v>0.96272999999999997</v>
      </c>
      <c r="C1234" s="68">
        <f t="shared" si="115"/>
        <v>1.1181000000000019</v>
      </c>
      <c r="D1234" s="69">
        <f t="shared" si="116"/>
        <v>-13.881899999999998</v>
      </c>
      <c r="E1234" s="70">
        <f t="shared" si="117"/>
        <v>-28.881899999999998</v>
      </c>
      <c r="F1234" s="71">
        <f t="shared" si="118"/>
        <v>-1.1181000000000019</v>
      </c>
      <c r="G1234" s="72">
        <f t="shared" si="119"/>
        <v>13.881899999999998</v>
      </c>
      <c r="H1234" s="73">
        <f t="shared" si="120"/>
        <v>28.881899999999998</v>
      </c>
    </row>
    <row r="1235" spans="1:8" x14ac:dyDescent="0.25">
      <c r="A1235" s="26">
        <v>495</v>
      </c>
      <c r="B1235" s="25">
        <v>0.96303000000000005</v>
      </c>
      <c r="C1235" s="68">
        <f t="shared" si="115"/>
        <v>1.109099999999998</v>
      </c>
      <c r="D1235" s="69">
        <f t="shared" si="116"/>
        <v>-13.890900000000002</v>
      </c>
      <c r="E1235" s="70">
        <f t="shared" si="117"/>
        <v>-28.890900000000002</v>
      </c>
      <c r="F1235" s="71">
        <f t="shared" si="118"/>
        <v>-1.109099999999998</v>
      </c>
      <c r="G1235" s="72">
        <f t="shared" si="119"/>
        <v>13.890900000000002</v>
      </c>
      <c r="H1235" s="73">
        <f t="shared" si="120"/>
        <v>28.890900000000002</v>
      </c>
    </row>
    <row r="1236" spans="1:8" x14ac:dyDescent="0.25">
      <c r="A1236" s="26">
        <v>496</v>
      </c>
      <c r="B1236" s="25">
        <v>0.96333000000000002</v>
      </c>
      <c r="C1236" s="68">
        <f t="shared" si="115"/>
        <v>1.1000999999999976</v>
      </c>
      <c r="D1236" s="69">
        <f t="shared" si="116"/>
        <v>-13.899900000000002</v>
      </c>
      <c r="E1236" s="70">
        <f t="shared" si="117"/>
        <v>-28.899900000000002</v>
      </c>
      <c r="F1236" s="71">
        <f t="shared" si="118"/>
        <v>-1.1000999999999976</v>
      </c>
      <c r="G1236" s="72">
        <f t="shared" si="119"/>
        <v>13.899900000000002</v>
      </c>
      <c r="H1236" s="73">
        <f t="shared" si="120"/>
        <v>28.899900000000002</v>
      </c>
    </row>
    <row r="1237" spans="1:8" x14ac:dyDescent="0.25">
      <c r="A1237" s="26">
        <v>497</v>
      </c>
      <c r="B1237" s="25">
        <v>0.96364000000000005</v>
      </c>
      <c r="C1237" s="68">
        <f t="shared" si="115"/>
        <v>1.090799999999998</v>
      </c>
      <c r="D1237" s="69">
        <f t="shared" si="116"/>
        <v>-13.909200000000002</v>
      </c>
      <c r="E1237" s="70">
        <f t="shared" si="117"/>
        <v>-28.909200000000002</v>
      </c>
      <c r="F1237" s="71">
        <f t="shared" si="118"/>
        <v>-1.090799999999998</v>
      </c>
      <c r="G1237" s="72">
        <f t="shared" si="119"/>
        <v>13.909200000000002</v>
      </c>
      <c r="H1237" s="73">
        <f t="shared" si="120"/>
        <v>28.909200000000002</v>
      </c>
    </row>
    <row r="1238" spans="1:8" x14ac:dyDescent="0.25">
      <c r="A1238" s="26">
        <v>498</v>
      </c>
      <c r="B1238" s="25">
        <v>0.96394000000000002</v>
      </c>
      <c r="C1238" s="68">
        <f t="shared" si="115"/>
        <v>1.0818000000000012</v>
      </c>
      <c r="D1238" s="69">
        <f t="shared" si="116"/>
        <v>-13.918199999999999</v>
      </c>
      <c r="E1238" s="70">
        <f t="shared" si="117"/>
        <v>-28.918199999999999</v>
      </c>
      <c r="F1238" s="71">
        <f t="shared" si="118"/>
        <v>-1.0818000000000012</v>
      </c>
      <c r="G1238" s="72">
        <f t="shared" si="119"/>
        <v>13.918199999999999</v>
      </c>
      <c r="H1238" s="73">
        <f t="shared" si="120"/>
        <v>28.918199999999999</v>
      </c>
    </row>
    <row r="1239" spans="1:8" x14ac:dyDescent="0.25">
      <c r="A1239" s="26">
        <v>499</v>
      </c>
      <c r="B1239" s="25">
        <v>0.96423999999999999</v>
      </c>
      <c r="C1239" s="68">
        <f t="shared" si="115"/>
        <v>1.0728000000000009</v>
      </c>
      <c r="D1239" s="69">
        <f t="shared" si="116"/>
        <v>-13.927199999999999</v>
      </c>
      <c r="E1239" s="70">
        <f t="shared" si="117"/>
        <v>-28.927199999999999</v>
      </c>
      <c r="F1239" s="71">
        <f t="shared" si="118"/>
        <v>-1.0728000000000009</v>
      </c>
      <c r="G1239" s="72">
        <f t="shared" si="119"/>
        <v>13.927199999999999</v>
      </c>
      <c r="H1239" s="73">
        <f t="shared" si="120"/>
        <v>28.927199999999999</v>
      </c>
    </row>
    <row r="1240" spans="1:8" x14ac:dyDescent="0.25">
      <c r="A1240" s="26">
        <v>500</v>
      </c>
      <c r="B1240" s="25">
        <v>0.96455000000000002</v>
      </c>
      <c r="C1240" s="68">
        <f t="shared" si="115"/>
        <v>1.0634999999999977</v>
      </c>
      <c r="D1240" s="69">
        <f t="shared" si="116"/>
        <v>-13.936500000000002</v>
      </c>
      <c r="E1240" s="70">
        <f t="shared" si="117"/>
        <v>-28.936500000000002</v>
      </c>
      <c r="F1240" s="71">
        <f t="shared" si="118"/>
        <v>-1.0634999999999977</v>
      </c>
      <c r="G1240" s="72">
        <f t="shared" si="119"/>
        <v>13.936500000000002</v>
      </c>
      <c r="H1240" s="73">
        <f t="shared" si="120"/>
        <v>28.936500000000002</v>
      </c>
    </row>
    <row r="1241" spans="1:8" x14ac:dyDescent="0.25">
      <c r="A1241" s="26">
        <v>501</v>
      </c>
      <c r="B1241" s="25">
        <v>0.96484999999999999</v>
      </c>
      <c r="C1241" s="68">
        <f t="shared" si="115"/>
        <v>1.0545000000000009</v>
      </c>
      <c r="D1241" s="69">
        <f t="shared" si="116"/>
        <v>-13.945499999999999</v>
      </c>
      <c r="E1241" s="70">
        <f t="shared" si="117"/>
        <v>-28.945499999999999</v>
      </c>
      <c r="F1241" s="71">
        <f t="shared" si="118"/>
        <v>-1.0545000000000009</v>
      </c>
      <c r="G1241" s="72">
        <f t="shared" si="119"/>
        <v>13.945499999999999</v>
      </c>
      <c r="H1241" s="73">
        <f t="shared" si="120"/>
        <v>28.945499999999999</v>
      </c>
    </row>
    <row r="1242" spans="1:8" x14ac:dyDescent="0.25">
      <c r="A1242" s="26">
        <v>502</v>
      </c>
      <c r="B1242" s="25">
        <v>0.96514999999999995</v>
      </c>
      <c r="C1242" s="68">
        <f t="shared" si="115"/>
        <v>1.0455000000000005</v>
      </c>
      <c r="D1242" s="69">
        <f t="shared" si="116"/>
        <v>-13.954499999999999</v>
      </c>
      <c r="E1242" s="70">
        <f t="shared" si="117"/>
        <v>-28.954499999999999</v>
      </c>
      <c r="F1242" s="71">
        <f t="shared" si="118"/>
        <v>-1.0455000000000005</v>
      </c>
      <c r="G1242" s="72">
        <f t="shared" si="119"/>
        <v>13.954499999999999</v>
      </c>
      <c r="H1242" s="73">
        <f t="shared" si="120"/>
        <v>28.954499999999999</v>
      </c>
    </row>
    <row r="1243" spans="1:8" x14ac:dyDescent="0.25">
      <c r="A1243" s="26">
        <v>503</v>
      </c>
      <c r="B1243" s="25">
        <v>0.96545000000000003</v>
      </c>
      <c r="C1243" s="68">
        <f t="shared" si="115"/>
        <v>1.0365000000000002</v>
      </c>
      <c r="D1243" s="69">
        <f t="shared" si="116"/>
        <v>-13.9635</v>
      </c>
      <c r="E1243" s="70">
        <f t="shared" si="117"/>
        <v>-28.9635</v>
      </c>
      <c r="F1243" s="71">
        <f t="shared" si="118"/>
        <v>-1.0365000000000002</v>
      </c>
      <c r="G1243" s="72">
        <f t="shared" si="119"/>
        <v>13.9635</v>
      </c>
      <c r="H1243" s="73">
        <f t="shared" si="120"/>
        <v>28.9635</v>
      </c>
    </row>
    <row r="1244" spans="1:8" x14ac:dyDescent="0.25">
      <c r="A1244" s="26">
        <v>504</v>
      </c>
      <c r="B1244" s="25">
        <v>0.96575999999999995</v>
      </c>
      <c r="C1244" s="68">
        <f t="shared" si="115"/>
        <v>1.0272000000000006</v>
      </c>
      <c r="D1244" s="69">
        <f t="shared" si="116"/>
        <v>-13.972799999999999</v>
      </c>
      <c r="E1244" s="70">
        <f t="shared" si="117"/>
        <v>-28.972799999999999</v>
      </c>
      <c r="F1244" s="71">
        <f t="shared" si="118"/>
        <v>-1.0272000000000006</v>
      </c>
      <c r="G1244" s="72">
        <f t="shared" si="119"/>
        <v>13.972799999999999</v>
      </c>
      <c r="H1244" s="73">
        <f t="shared" si="120"/>
        <v>28.972799999999999</v>
      </c>
    </row>
    <row r="1245" spans="1:8" x14ac:dyDescent="0.25">
      <c r="A1245" s="26">
        <v>505</v>
      </c>
      <c r="B1245" s="25">
        <v>0.96606000000000003</v>
      </c>
      <c r="C1245" s="68">
        <f t="shared" si="115"/>
        <v>1.0182000000000002</v>
      </c>
      <c r="D1245" s="69">
        <f t="shared" si="116"/>
        <v>-13.9818</v>
      </c>
      <c r="E1245" s="70">
        <f t="shared" si="117"/>
        <v>-28.9818</v>
      </c>
      <c r="F1245" s="71">
        <f t="shared" si="118"/>
        <v>-1.0182000000000002</v>
      </c>
      <c r="G1245" s="72">
        <f t="shared" si="119"/>
        <v>13.9818</v>
      </c>
      <c r="H1245" s="73">
        <f t="shared" si="120"/>
        <v>28.9818</v>
      </c>
    </row>
    <row r="1246" spans="1:8" x14ac:dyDescent="0.25">
      <c r="A1246" s="26">
        <v>506</v>
      </c>
      <c r="B1246" s="25">
        <v>0.96636</v>
      </c>
      <c r="C1246" s="68">
        <f t="shared" si="115"/>
        <v>1.0091999999999999</v>
      </c>
      <c r="D1246" s="69">
        <f t="shared" si="116"/>
        <v>-13.9908</v>
      </c>
      <c r="E1246" s="70">
        <f t="shared" si="117"/>
        <v>-28.9908</v>
      </c>
      <c r="F1246" s="71">
        <f t="shared" si="118"/>
        <v>-1.0091999999999999</v>
      </c>
      <c r="G1246" s="72">
        <f t="shared" si="119"/>
        <v>13.9908</v>
      </c>
      <c r="H1246" s="73">
        <f t="shared" si="120"/>
        <v>28.9908</v>
      </c>
    </row>
    <row r="1247" spans="1:8" x14ac:dyDescent="0.25">
      <c r="A1247" s="26">
        <v>507</v>
      </c>
      <c r="B1247" s="25">
        <v>0.96667000000000003</v>
      </c>
      <c r="C1247" s="68">
        <f t="shared" si="115"/>
        <v>0.99990000000000023</v>
      </c>
      <c r="D1247" s="69">
        <f t="shared" si="116"/>
        <v>-14.0001</v>
      </c>
      <c r="E1247" s="70">
        <f t="shared" si="117"/>
        <v>-29.0001</v>
      </c>
      <c r="F1247" s="71">
        <f t="shared" si="118"/>
        <v>-0.99990000000000023</v>
      </c>
      <c r="G1247" s="72">
        <f t="shared" si="119"/>
        <v>14.0001</v>
      </c>
      <c r="H1247" s="73">
        <f t="shared" si="120"/>
        <v>29.0001</v>
      </c>
    </row>
    <row r="1248" spans="1:8" x14ac:dyDescent="0.25">
      <c r="A1248" s="26">
        <v>508</v>
      </c>
      <c r="B1248" s="25">
        <v>0.96697</v>
      </c>
      <c r="C1248" s="68">
        <f t="shared" si="115"/>
        <v>0.99089999999999989</v>
      </c>
      <c r="D1248" s="69">
        <f t="shared" si="116"/>
        <v>-14.0091</v>
      </c>
      <c r="E1248" s="70">
        <f t="shared" si="117"/>
        <v>-29.0091</v>
      </c>
      <c r="F1248" s="71">
        <f t="shared" si="118"/>
        <v>-0.99089999999999989</v>
      </c>
      <c r="G1248" s="72">
        <f t="shared" si="119"/>
        <v>14.0091</v>
      </c>
      <c r="H1248" s="73">
        <f t="shared" si="120"/>
        <v>29.0091</v>
      </c>
    </row>
    <row r="1249" spans="1:8" x14ac:dyDescent="0.25">
      <c r="A1249" s="26">
        <v>509</v>
      </c>
      <c r="B1249" s="25">
        <v>0.96726999999999996</v>
      </c>
      <c r="C1249" s="68">
        <f t="shared" si="115"/>
        <v>0.98189999999999955</v>
      </c>
      <c r="D1249" s="69">
        <f t="shared" si="116"/>
        <v>-14.0181</v>
      </c>
      <c r="E1249" s="70">
        <f t="shared" si="117"/>
        <v>-29.0181</v>
      </c>
      <c r="F1249" s="71">
        <f t="shared" si="118"/>
        <v>-0.98189999999999955</v>
      </c>
      <c r="G1249" s="72">
        <f t="shared" si="119"/>
        <v>14.0181</v>
      </c>
      <c r="H1249" s="73">
        <f t="shared" si="120"/>
        <v>29.0181</v>
      </c>
    </row>
    <row r="1250" spans="1:8" x14ac:dyDescent="0.25">
      <c r="A1250" s="26">
        <v>510</v>
      </c>
      <c r="B1250" s="25">
        <v>0.96758</v>
      </c>
      <c r="C1250" s="68">
        <f t="shared" si="115"/>
        <v>0.97259999999999991</v>
      </c>
      <c r="D1250" s="69">
        <f t="shared" si="116"/>
        <v>-14.0274</v>
      </c>
      <c r="E1250" s="70">
        <f t="shared" si="117"/>
        <v>-29.0274</v>
      </c>
      <c r="F1250" s="71">
        <f t="shared" si="118"/>
        <v>-0.97259999999999991</v>
      </c>
      <c r="G1250" s="72">
        <f t="shared" si="119"/>
        <v>14.0274</v>
      </c>
      <c r="H1250" s="73">
        <f t="shared" si="120"/>
        <v>29.0274</v>
      </c>
    </row>
    <row r="1251" spans="1:8" x14ac:dyDescent="0.25">
      <c r="A1251" s="26">
        <v>511</v>
      </c>
      <c r="B1251" s="25">
        <v>0.96787999999999996</v>
      </c>
      <c r="C1251" s="68">
        <f t="shared" si="115"/>
        <v>0.96359999999999957</v>
      </c>
      <c r="D1251" s="69">
        <f t="shared" si="116"/>
        <v>-14.0364</v>
      </c>
      <c r="E1251" s="70">
        <f t="shared" si="117"/>
        <v>-29.0364</v>
      </c>
      <c r="F1251" s="71">
        <f t="shared" si="118"/>
        <v>-0.96359999999999957</v>
      </c>
      <c r="G1251" s="72">
        <f t="shared" si="119"/>
        <v>14.0364</v>
      </c>
      <c r="H1251" s="73">
        <f t="shared" si="120"/>
        <v>29.0364</v>
      </c>
    </row>
    <row r="1252" spans="1:8" x14ac:dyDescent="0.25">
      <c r="A1252" s="26">
        <v>512</v>
      </c>
      <c r="B1252" s="25">
        <v>0.96818000000000004</v>
      </c>
      <c r="C1252" s="68">
        <f t="shared" si="115"/>
        <v>0.95459999999999923</v>
      </c>
      <c r="D1252" s="69">
        <f t="shared" si="116"/>
        <v>-14.045400000000001</v>
      </c>
      <c r="E1252" s="70">
        <f t="shared" si="117"/>
        <v>-29.045400000000001</v>
      </c>
      <c r="F1252" s="71">
        <f t="shared" si="118"/>
        <v>-0.95459999999999923</v>
      </c>
      <c r="G1252" s="72">
        <f t="shared" si="119"/>
        <v>14.045400000000001</v>
      </c>
      <c r="H1252" s="73">
        <f t="shared" si="120"/>
        <v>29.045400000000001</v>
      </c>
    </row>
    <row r="1253" spans="1:8" x14ac:dyDescent="0.25">
      <c r="A1253" s="26">
        <v>513</v>
      </c>
      <c r="B1253" s="25">
        <v>0.96848000000000001</v>
      </c>
      <c r="C1253" s="68">
        <f t="shared" si="115"/>
        <v>0.94559999999999889</v>
      </c>
      <c r="D1253" s="69">
        <f t="shared" si="116"/>
        <v>-14.054400000000001</v>
      </c>
      <c r="E1253" s="70">
        <f t="shared" si="117"/>
        <v>-29.054400000000001</v>
      </c>
      <c r="F1253" s="71">
        <f t="shared" si="118"/>
        <v>-0.94559999999999889</v>
      </c>
      <c r="G1253" s="72">
        <f t="shared" si="119"/>
        <v>14.054400000000001</v>
      </c>
      <c r="H1253" s="73">
        <f t="shared" si="120"/>
        <v>29.054400000000001</v>
      </c>
    </row>
    <row r="1254" spans="1:8" x14ac:dyDescent="0.25">
      <c r="A1254" s="26">
        <v>514</v>
      </c>
      <c r="B1254" s="25">
        <v>0.96879000000000004</v>
      </c>
      <c r="C1254" s="68">
        <f t="shared" si="115"/>
        <v>0.93629999999999924</v>
      </c>
      <c r="D1254" s="69">
        <f t="shared" si="116"/>
        <v>-14.063700000000001</v>
      </c>
      <c r="E1254" s="70">
        <f t="shared" si="117"/>
        <v>-29.063700000000001</v>
      </c>
      <c r="F1254" s="71">
        <f t="shared" si="118"/>
        <v>-0.93629999999999924</v>
      </c>
      <c r="G1254" s="72">
        <f t="shared" si="119"/>
        <v>14.063700000000001</v>
      </c>
      <c r="H1254" s="73">
        <f t="shared" si="120"/>
        <v>29.063700000000001</v>
      </c>
    </row>
    <row r="1255" spans="1:8" x14ac:dyDescent="0.25">
      <c r="A1255" s="26">
        <v>515</v>
      </c>
      <c r="B1255" s="25">
        <v>0.96909000000000001</v>
      </c>
      <c r="C1255" s="68">
        <f t="shared" si="115"/>
        <v>0.9272999999999989</v>
      </c>
      <c r="D1255" s="69">
        <f t="shared" si="116"/>
        <v>-14.072700000000001</v>
      </c>
      <c r="E1255" s="70">
        <f t="shared" si="117"/>
        <v>-29.072700000000001</v>
      </c>
      <c r="F1255" s="71">
        <f t="shared" si="118"/>
        <v>-0.9272999999999989</v>
      </c>
      <c r="G1255" s="72">
        <f t="shared" si="119"/>
        <v>14.072700000000001</v>
      </c>
      <c r="H1255" s="73">
        <f t="shared" si="120"/>
        <v>29.072700000000001</v>
      </c>
    </row>
    <row r="1256" spans="1:8" x14ac:dyDescent="0.25">
      <c r="A1256" s="26">
        <v>516</v>
      </c>
      <c r="B1256" s="25">
        <v>0.96938999999999997</v>
      </c>
      <c r="C1256" s="68">
        <f t="shared" si="115"/>
        <v>0.91830000000000211</v>
      </c>
      <c r="D1256" s="69">
        <f t="shared" si="116"/>
        <v>-14.081699999999998</v>
      </c>
      <c r="E1256" s="70">
        <f t="shared" si="117"/>
        <v>-29.081699999999998</v>
      </c>
      <c r="F1256" s="71">
        <f t="shared" si="118"/>
        <v>-0.91830000000000211</v>
      </c>
      <c r="G1256" s="72">
        <f t="shared" si="119"/>
        <v>14.081699999999998</v>
      </c>
      <c r="H1256" s="73">
        <f t="shared" si="120"/>
        <v>29.081699999999998</v>
      </c>
    </row>
    <row r="1257" spans="1:8" x14ac:dyDescent="0.25">
      <c r="A1257" s="26">
        <v>517</v>
      </c>
      <c r="B1257" s="25">
        <v>0.96970000000000001</v>
      </c>
      <c r="C1257" s="68">
        <f t="shared" si="115"/>
        <v>0.90899999999999892</v>
      </c>
      <c r="D1257" s="69">
        <f t="shared" si="116"/>
        <v>-14.091000000000001</v>
      </c>
      <c r="E1257" s="70">
        <f t="shared" si="117"/>
        <v>-29.091000000000001</v>
      </c>
      <c r="F1257" s="71">
        <f t="shared" si="118"/>
        <v>-0.90899999999999892</v>
      </c>
      <c r="G1257" s="72">
        <f t="shared" si="119"/>
        <v>14.091000000000001</v>
      </c>
      <c r="H1257" s="73">
        <f t="shared" si="120"/>
        <v>29.091000000000001</v>
      </c>
    </row>
    <row r="1258" spans="1:8" x14ac:dyDescent="0.25">
      <c r="A1258" s="26">
        <v>518</v>
      </c>
      <c r="B1258" s="25">
        <v>0.97</v>
      </c>
      <c r="C1258" s="68">
        <f t="shared" si="115"/>
        <v>0.90000000000000213</v>
      </c>
      <c r="D1258" s="69">
        <f t="shared" si="116"/>
        <v>-14.099999999999998</v>
      </c>
      <c r="E1258" s="70">
        <f t="shared" si="117"/>
        <v>-29.099999999999998</v>
      </c>
      <c r="F1258" s="71">
        <f t="shared" si="118"/>
        <v>-0.90000000000000213</v>
      </c>
      <c r="G1258" s="72">
        <f t="shared" si="119"/>
        <v>14.099999999999998</v>
      </c>
      <c r="H1258" s="73">
        <f t="shared" si="120"/>
        <v>29.099999999999998</v>
      </c>
    </row>
    <row r="1259" spans="1:8" x14ac:dyDescent="0.25">
      <c r="A1259" s="26">
        <v>519</v>
      </c>
      <c r="B1259" s="25">
        <v>0.97023999999999999</v>
      </c>
      <c r="C1259" s="68">
        <f t="shared" si="115"/>
        <v>0.89280000000000115</v>
      </c>
      <c r="D1259" s="69">
        <f t="shared" si="116"/>
        <v>-14.107199999999999</v>
      </c>
      <c r="E1259" s="70">
        <f t="shared" si="117"/>
        <v>-29.107199999999999</v>
      </c>
      <c r="F1259" s="71">
        <f t="shared" si="118"/>
        <v>-0.89280000000000115</v>
      </c>
      <c r="G1259" s="72">
        <f t="shared" si="119"/>
        <v>14.107199999999999</v>
      </c>
      <c r="H1259" s="73">
        <f t="shared" si="120"/>
        <v>29.107199999999999</v>
      </c>
    </row>
    <row r="1260" spans="1:8" x14ac:dyDescent="0.25">
      <c r="A1260" s="26">
        <v>520</v>
      </c>
      <c r="B1260" s="25">
        <v>0.97048000000000001</v>
      </c>
      <c r="C1260" s="68">
        <f t="shared" si="115"/>
        <v>0.88560000000000016</v>
      </c>
      <c r="D1260" s="69">
        <f t="shared" si="116"/>
        <v>-14.1144</v>
      </c>
      <c r="E1260" s="70">
        <f t="shared" si="117"/>
        <v>-29.1144</v>
      </c>
      <c r="F1260" s="71">
        <f t="shared" si="118"/>
        <v>-0.88560000000000016</v>
      </c>
      <c r="G1260" s="72">
        <f t="shared" si="119"/>
        <v>14.1144</v>
      </c>
      <c r="H1260" s="73">
        <f t="shared" si="120"/>
        <v>29.1144</v>
      </c>
    </row>
    <row r="1261" spans="1:8" x14ac:dyDescent="0.25">
      <c r="A1261" s="26">
        <v>521</v>
      </c>
      <c r="B1261" s="25">
        <v>0.97070999999999996</v>
      </c>
      <c r="C1261" s="68">
        <f t="shared" si="115"/>
        <v>0.87870000000000203</v>
      </c>
      <c r="D1261" s="69">
        <f t="shared" si="116"/>
        <v>-14.121299999999998</v>
      </c>
      <c r="E1261" s="70">
        <f t="shared" si="117"/>
        <v>-29.121299999999998</v>
      </c>
      <c r="F1261" s="71">
        <f t="shared" si="118"/>
        <v>-0.87870000000000203</v>
      </c>
      <c r="G1261" s="72">
        <f t="shared" si="119"/>
        <v>14.121299999999998</v>
      </c>
      <c r="H1261" s="73">
        <f t="shared" si="120"/>
        <v>29.121299999999998</v>
      </c>
    </row>
    <row r="1262" spans="1:8" x14ac:dyDescent="0.25">
      <c r="A1262" s="26">
        <v>522</v>
      </c>
      <c r="B1262" s="25">
        <v>0.97094999999999998</v>
      </c>
      <c r="C1262" s="68">
        <f t="shared" si="115"/>
        <v>0.87150000000000105</v>
      </c>
      <c r="D1262" s="69">
        <f t="shared" si="116"/>
        <v>-14.128499999999999</v>
      </c>
      <c r="E1262" s="70">
        <f t="shared" si="117"/>
        <v>-29.128499999999999</v>
      </c>
      <c r="F1262" s="71">
        <f t="shared" si="118"/>
        <v>-0.87150000000000105</v>
      </c>
      <c r="G1262" s="72">
        <f t="shared" si="119"/>
        <v>14.128499999999999</v>
      </c>
      <c r="H1262" s="73">
        <f t="shared" si="120"/>
        <v>29.128499999999999</v>
      </c>
    </row>
    <row r="1263" spans="1:8" x14ac:dyDescent="0.25">
      <c r="A1263" s="26">
        <v>523</v>
      </c>
      <c r="B1263" s="25">
        <v>0.97119</v>
      </c>
      <c r="C1263" s="68">
        <f t="shared" si="115"/>
        <v>0.86430000000000007</v>
      </c>
      <c r="D1263" s="69">
        <f t="shared" si="116"/>
        <v>-14.1357</v>
      </c>
      <c r="E1263" s="70">
        <f t="shared" si="117"/>
        <v>-29.1357</v>
      </c>
      <c r="F1263" s="71">
        <f t="shared" si="118"/>
        <v>-0.86430000000000007</v>
      </c>
      <c r="G1263" s="72">
        <f t="shared" si="119"/>
        <v>14.1357</v>
      </c>
      <c r="H1263" s="73">
        <f t="shared" si="120"/>
        <v>29.1357</v>
      </c>
    </row>
    <row r="1264" spans="1:8" x14ac:dyDescent="0.25">
      <c r="A1264" s="26">
        <v>524</v>
      </c>
      <c r="B1264" s="25">
        <v>0.97143000000000002</v>
      </c>
      <c r="C1264" s="68">
        <f t="shared" si="115"/>
        <v>0.85709999999999908</v>
      </c>
      <c r="D1264" s="69">
        <f t="shared" si="116"/>
        <v>-14.142900000000001</v>
      </c>
      <c r="E1264" s="70">
        <f t="shared" si="117"/>
        <v>-29.142900000000001</v>
      </c>
      <c r="F1264" s="71">
        <f t="shared" si="118"/>
        <v>-0.85709999999999908</v>
      </c>
      <c r="G1264" s="72">
        <f t="shared" si="119"/>
        <v>14.142900000000001</v>
      </c>
      <c r="H1264" s="73">
        <f t="shared" si="120"/>
        <v>29.142900000000001</v>
      </c>
    </row>
    <row r="1265" spans="1:8" x14ac:dyDescent="0.25">
      <c r="A1265" s="26">
        <v>525</v>
      </c>
      <c r="B1265" s="25">
        <v>0.97167000000000003</v>
      </c>
      <c r="C1265" s="68">
        <f t="shared" si="115"/>
        <v>0.8498999999999981</v>
      </c>
      <c r="D1265" s="69">
        <f t="shared" si="116"/>
        <v>-14.150100000000002</v>
      </c>
      <c r="E1265" s="70">
        <f t="shared" si="117"/>
        <v>-29.150100000000002</v>
      </c>
      <c r="F1265" s="71">
        <f t="shared" si="118"/>
        <v>-0.8498999999999981</v>
      </c>
      <c r="G1265" s="72">
        <f t="shared" si="119"/>
        <v>14.150100000000002</v>
      </c>
      <c r="H1265" s="73">
        <f t="shared" si="120"/>
        <v>29.150100000000002</v>
      </c>
    </row>
    <row r="1266" spans="1:8" x14ac:dyDescent="0.25">
      <c r="A1266" s="26">
        <v>526</v>
      </c>
      <c r="B1266" s="25">
        <v>0.97189999999999999</v>
      </c>
      <c r="C1266" s="68">
        <f t="shared" si="115"/>
        <v>0.84299999999999997</v>
      </c>
      <c r="D1266" s="69">
        <f t="shared" si="116"/>
        <v>-14.157</v>
      </c>
      <c r="E1266" s="70">
        <f t="shared" si="117"/>
        <v>-29.157</v>
      </c>
      <c r="F1266" s="71">
        <f t="shared" si="118"/>
        <v>-0.84299999999999997</v>
      </c>
      <c r="G1266" s="72">
        <f t="shared" si="119"/>
        <v>14.157</v>
      </c>
      <c r="H1266" s="73">
        <f t="shared" si="120"/>
        <v>29.157</v>
      </c>
    </row>
    <row r="1267" spans="1:8" x14ac:dyDescent="0.25">
      <c r="A1267" s="26">
        <v>527</v>
      </c>
      <c r="B1267" s="25">
        <v>0.97214</v>
      </c>
      <c r="C1267" s="68">
        <f t="shared" si="115"/>
        <v>0.83579999999999899</v>
      </c>
      <c r="D1267" s="69">
        <f t="shared" si="116"/>
        <v>-14.164200000000001</v>
      </c>
      <c r="E1267" s="70">
        <f t="shared" si="117"/>
        <v>-29.164200000000001</v>
      </c>
      <c r="F1267" s="71">
        <f t="shared" si="118"/>
        <v>-0.83579999999999899</v>
      </c>
      <c r="G1267" s="72">
        <f t="shared" si="119"/>
        <v>14.164200000000001</v>
      </c>
      <c r="H1267" s="73">
        <f t="shared" si="120"/>
        <v>29.164200000000001</v>
      </c>
    </row>
    <row r="1268" spans="1:8" x14ac:dyDescent="0.25">
      <c r="A1268" s="26">
        <v>528</v>
      </c>
      <c r="B1268" s="25">
        <v>0.97238000000000002</v>
      </c>
      <c r="C1268" s="68">
        <f t="shared" si="115"/>
        <v>0.828599999999998</v>
      </c>
      <c r="D1268" s="69">
        <f t="shared" si="116"/>
        <v>-14.171400000000002</v>
      </c>
      <c r="E1268" s="70">
        <f t="shared" si="117"/>
        <v>-29.171400000000002</v>
      </c>
      <c r="F1268" s="71">
        <f t="shared" si="118"/>
        <v>-0.828599999999998</v>
      </c>
      <c r="G1268" s="72">
        <f t="shared" si="119"/>
        <v>14.171400000000002</v>
      </c>
      <c r="H1268" s="73">
        <f t="shared" si="120"/>
        <v>29.171400000000002</v>
      </c>
    </row>
    <row r="1269" spans="1:8" x14ac:dyDescent="0.25">
      <c r="A1269" s="26">
        <v>529</v>
      </c>
      <c r="B1269" s="25">
        <v>0.97262000000000004</v>
      </c>
      <c r="C1269" s="68">
        <f t="shared" si="115"/>
        <v>0.82139999999999702</v>
      </c>
      <c r="D1269" s="69">
        <f t="shared" si="116"/>
        <v>-14.178600000000003</v>
      </c>
      <c r="E1269" s="70">
        <f t="shared" si="117"/>
        <v>-29.178600000000003</v>
      </c>
      <c r="F1269" s="71">
        <f t="shared" si="118"/>
        <v>-0.82139999999999702</v>
      </c>
      <c r="G1269" s="72">
        <f t="shared" si="119"/>
        <v>14.178600000000003</v>
      </c>
      <c r="H1269" s="73">
        <f t="shared" si="120"/>
        <v>29.178600000000003</v>
      </c>
    </row>
    <row r="1270" spans="1:8" x14ac:dyDescent="0.25">
      <c r="A1270" s="26">
        <v>530</v>
      </c>
      <c r="B1270" s="25">
        <v>0.97285999999999995</v>
      </c>
      <c r="C1270" s="68">
        <f t="shared" si="115"/>
        <v>0.81420000000000314</v>
      </c>
      <c r="D1270" s="69">
        <f t="shared" si="116"/>
        <v>-14.185799999999997</v>
      </c>
      <c r="E1270" s="70">
        <f t="shared" si="117"/>
        <v>-29.185799999999997</v>
      </c>
      <c r="F1270" s="71">
        <f t="shared" si="118"/>
        <v>-0.81420000000000314</v>
      </c>
      <c r="G1270" s="72">
        <f t="shared" si="119"/>
        <v>14.185799999999997</v>
      </c>
      <c r="H1270" s="73">
        <f t="shared" si="120"/>
        <v>29.185799999999997</v>
      </c>
    </row>
    <row r="1271" spans="1:8" x14ac:dyDescent="0.25">
      <c r="A1271" s="26">
        <v>531</v>
      </c>
      <c r="B1271" s="25">
        <v>0.97309999999999997</v>
      </c>
      <c r="C1271" s="68">
        <f t="shared" si="115"/>
        <v>0.80700000000000216</v>
      </c>
      <c r="D1271" s="69">
        <f t="shared" si="116"/>
        <v>-14.192999999999998</v>
      </c>
      <c r="E1271" s="70">
        <f t="shared" si="117"/>
        <v>-29.192999999999998</v>
      </c>
      <c r="F1271" s="71">
        <f t="shared" si="118"/>
        <v>-0.80700000000000216</v>
      </c>
      <c r="G1271" s="72">
        <f t="shared" si="119"/>
        <v>14.192999999999998</v>
      </c>
      <c r="H1271" s="73">
        <f t="shared" si="120"/>
        <v>29.192999999999998</v>
      </c>
    </row>
    <row r="1272" spans="1:8" x14ac:dyDescent="0.25">
      <c r="A1272" s="26">
        <v>532</v>
      </c>
      <c r="B1272" s="25">
        <v>0.97333000000000003</v>
      </c>
      <c r="C1272" s="68">
        <f t="shared" si="115"/>
        <v>0.80010000000000048</v>
      </c>
      <c r="D1272" s="69">
        <f t="shared" si="116"/>
        <v>-14.1999</v>
      </c>
      <c r="E1272" s="70">
        <f t="shared" si="117"/>
        <v>-29.1999</v>
      </c>
      <c r="F1272" s="71">
        <f t="shared" si="118"/>
        <v>-0.80010000000000048</v>
      </c>
      <c r="G1272" s="72">
        <f t="shared" si="119"/>
        <v>14.1999</v>
      </c>
      <c r="H1272" s="73">
        <f t="shared" si="120"/>
        <v>29.1999</v>
      </c>
    </row>
    <row r="1273" spans="1:8" x14ac:dyDescent="0.25">
      <c r="A1273" s="26">
        <v>533</v>
      </c>
      <c r="B1273" s="25">
        <v>0.97357000000000005</v>
      </c>
      <c r="C1273" s="68">
        <f t="shared" si="115"/>
        <v>0.79289999999999949</v>
      </c>
      <c r="D1273" s="69">
        <f t="shared" si="116"/>
        <v>-14.207100000000001</v>
      </c>
      <c r="E1273" s="70">
        <f t="shared" si="117"/>
        <v>-29.207100000000001</v>
      </c>
      <c r="F1273" s="71">
        <f t="shared" si="118"/>
        <v>-0.79289999999999949</v>
      </c>
      <c r="G1273" s="72">
        <f t="shared" si="119"/>
        <v>14.207100000000001</v>
      </c>
      <c r="H1273" s="73">
        <f t="shared" si="120"/>
        <v>29.207100000000001</v>
      </c>
    </row>
    <row r="1274" spans="1:8" x14ac:dyDescent="0.25">
      <c r="A1274" s="26">
        <v>534</v>
      </c>
      <c r="B1274" s="25">
        <v>0.97380999999999995</v>
      </c>
      <c r="C1274" s="68">
        <f t="shared" si="115"/>
        <v>0.78570000000000206</v>
      </c>
      <c r="D1274" s="69">
        <f t="shared" si="116"/>
        <v>-14.214299999999998</v>
      </c>
      <c r="E1274" s="70">
        <f t="shared" si="117"/>
        <v>-29.214299999999998</v>
      </c>
      <c r="F1274" s="71">
        <f t="shared" si="118"/>
        <v>-0.78570000000000206</v>
      </c>
      <c r="G1274" s="72">
        <f t="shared" si="119"/>
        <v>14.214299999999998</v>
      </c>
      <c r="H1274" s="73">
        <f t="shared" si="120"/>
        <v>29.214299999999998</v>
      </c>
    </row>
    <row r="1275" spans="1:8" x14ac:dyDescent="0.25">
      <c r="A1275" s="26">
        <v>535</v>
      </c>
      <c r="B1275" s="25">
        <v>0.97404999999999997</v>
      </c>
      <c r="C1275" s="68">
        <f t="shared" si="115"/>
        <v>0.77850000000000108</v>
      </c>
      <c r="D1275" s="69">
        <f t="shared" si="116"/>
        <v>-14.221499999999999</v>
      </c>
      <c r="E1275" s="70">
        <f t="shared" si="117"/>
        <v>-29.221499999999999</v>
      </c>
      <c r="F1275" s="71">
        <f t="shared" si="118"/>
        <v>-0.77850000000000108</v>
      </c>
      <c r="G1275" s="72">
        <f t="shared" si="119"/>
        <v>14.221499999999999</v>
      </c>
      <c r="H1275" s="73">
        <f t="shared" si="120"/>
        <v>29.221499999999999</v>
      </c>
    </row>
    <row r="1276" spans="1:8" x14ac:dyDescent="0.25">
      <c r="A1276" s="26">
        <v>536</v>
      </c>
      <c r="B1276" s="25">
        <v>0.97428999999999999</v>
      </c>
      <c r="C1276" s="68">
        <f t="shared" si="115"/>
        <v>0.7713000000000001</v>
      </c>
      <c r="D1276" s="69">
        <f t="shared" si="116"/>
        <v>-14.2287</v>
      </c>
      <c r="E1276" s="70">
        <f t="shared" si="117"/>
        <v>-29.2287</v>
      </c>
      <c r="F1276" s="71">
        <f t="shared" si="118"/>
        <v>-0.7713000000000001</v>
      </c>
      <c r="G1276" s="72">
        <f t="shared" si="119"/>
        <v>14.2287</v>
      </c>
      <c r="H1276" s="73">
        <f t="shared" si="120"/>
        <v>29.2287</v>
      </c>
    </row>
    <row r="1277" spans="1:8" x14ac:dyDescent="0.25">
      <c r="A1277" s="26">
        <v>537</v>
      </c>
      <c r="B1277" s="25">
        <v>0.97452000000000005</v>
      </c>
      <c r="C1277" s="68">
        <f t="shared" si="115"/>
        <v>0.76439999999999841</v>
      </c>
      <c r="D1277" s="69">
        <f t="shared" si="116"/>
        <v>-14.235600000000002</v>
      </c>
      <c r="E1277" s="70">
        <f t="shared" si="117"/>
        <v>-29.235600000000002</v>
      </c>
      <c r="F1277" s="71">
        <f t="shared" si="118"/>
        <v>-0.76439999999999841</v>
      </c>
      <c r="G1277" s="72">
        <f t="shared" si="119"/>
        <v>14.235600000000002</v>
      </c>
      <c r="H1277" s="73">
        <f t="shared" si="120"/>
        <v>29.235600000000002</v>
      </c>
    </row>
    <row r="1278" spans="1:8" x14ac:dyDescent="0.25">
      <c r="A1278" s="26">
        <v>538</v>
      </c>
      <c r="B1278" s="25">
        <v>0.97475999999999996</v>
      </c>
      <c r="C1278" s="68">
        <f t="shared" si="115"/>
        <v>0.75720000000000098</v>
      </c>
      <c r="D1278" s="69">
        <f t="shared" si="116"/>
        <v>-14.242799999999999</v>
      </c>
      <c r="E1278" s="70">
        <f t="shared" si="117"/>
        <v>-29.242799999999999</v>
      </c>
      <c r="F1278" s="71">
        <f t="shared" si="118"/>
        <v>-0.75720000000000098</v>
      </c>
      <c r="G1278" s="72">
        <f t="shared" si="119"/>
        <v>14.242799999999999</v>
      </c>
      <c r="H1278" s="73">
        <f t="shared" si="120"/>
        <v>29.242799999999999</v>
      </c>
    </row>
    <row r="1279" spans="1:8" x14ac:dyDescent="0.25">
      <c r="A1279" s="26">
        <v>539</v>
      </c>
      <c r="B1279" s="25">
        <v>0.97499999999999998</v>
      </c>
      <c r="C1279" s="68">
        <f t="shared" si="115"/>
        <v>0.75</v>
      </c>
      <c r="D1279" s="69">
        <f t="shared" si="116"/>
        <v>-14.25</v>
      </c>
      <c r="E1279" s="70">
        <f t="shared" si="117"/>
        <v>-29.25</v>
      </c>
      <c r="F1279" s="71">
        <f t="shared" si="118"/>
        <v>-0.75</v>
      </c>
      <c r="G1279" s="72">
        <f t="shared" si="119"/>
        <v>14.25</v>
      </c>
      <c r="H1279" s="73">
        <f t="shared" si="120"/>
        <v>29.25</v>
      </c>
    </row>
    <row r="1280" spans="1:8" x14ac:dyDescent="0.25">
      <c r="A1280" s="26">
        <v>540</v>
      </c>
      <c r="B1280" s="25">
        <v>0.97524</v>
      </c>
      <c r="C1280" s="68">
        <f t="shared" si="115"/>
        <v>0.74279999999999902</v>
      </c>
      <c r="D1280" s="69">
        <f t="shared" si="116"/>
        <v>-14.257200000000001</v>
      </c>
      <c r="E1280" s="70">
        <f t="shared" si="117"/>
        <v>-29.257200000000001</v>
      </c>
      <c r="F1280" s="71">
        <f t="shared" si="118"/>
        <v>-0.74279999999999902</v>
      </c>
      <c r="G1280" s="72">
        <f t="shared" si="119"/>
        <v>14.257200000000001</v>
      </c>
      <c r="H1280" s="73">
        <f t="shared" si="120"/>
        <v>29.257200000000001</v>
      </c>
    </row>
    <row r="1281" spans="1:8" x14ac:dyDescent="0.25">
      <c r="A1281" s="26">
        <v>541</v>
      </c>
      <c r="B1281" s="25">
        <v>0.97548000000000001</v>
      </c>
      <c r="C1281" s="68">
        <f t="shared" si="115"/>
        <v>0.73559999999999803</v>
      </c>
      <c r="D1281" s="69">
        <f t="shared" si="116"/>
        <v>-14.264400000000002</v>
      </c>
      <c r="E1281" s="70">
        <f t="shared" si="117"/>
        <v>-29.264400000000002</v>
      </c>
      <c r="F1281" s="71">
        <f t="shared" si="118"/>
        <v>-0.73559999999999803</v>
      </c>
      <c r="G1281" s="72">
        <f t="shared" si="119"/>
        <v>14.264400000000002</v>
      </c>
      <c r="H1281" s="73">
        <f t="shared" si="120"/>
        <v>29.264400000000002</v>
      </c>
    </row>
    <row r="1282" spans="1:8" x14ac:dyDescent="0.25">
      <c r="A1282" s="26">
        <v>542</v>
      </c>
      <c r="B1282" s="25">
        <v>0.97570999999999997</v>
      </c>
      <c r="C1282" s="68">
        <f t="shared" si="115"/>
        <v>0.7286999999999999</v>
      </c>
      <c r="D1282" s="69">
        <f t="shared" si="116"/>
        <v>-14.2713</v>
      </c>
      <c r="E1282" s="70">
        <f t="shared" si="117"/>
        <v>-29.2713</v>
      </c>
      <c r="F1282" s="71">
        <f t="shared" si="118"/>
        <v>-0.7286999999999999</v>
      </c>
      <c r="G1282" s="72">
        <f t="shared" si="119"/>
        <v>14.2713</v>
      </c>
      <c r="H1282" s="73">
        <f t="shared" si="120"/>
        <v>29.2713</v>
      </c>
    </row>
    <row r="1283" spans="1:8" x14ac:dyDescent="0.25">
      <c r="A1283" s="26">
        <v>543</v>
      </c>
      <c r="B1283" s="25">
        <v>0.97594999999999998</v>
      </c>
      <c r="C1283" s="68">
        <f t="shared" si="115"/>
        <v>0.72149999999999892</v>
      </c>
      <c r="D1283" s="69">
        <f t="shared" si="116"/>
        <v>-14.278500000000001</v>
      </c>
      <c r="E1283" s="70">
        <f t="shared" si="117"/>
        <v>-29.278500000000001</v>
      </c>
      <c r="F1283" s="71">
        <f t="shared" si="118"/>
        <v>-0.72149999999999892</v>
      </c>
      <c r="G1283" s="72">
        <f t="shared" si="119"/>
        <v>14.278500000000001</v>
      </c>
      <c r="H1283" s="73">
        <f t="shared" si="120"/>
        <v>29.278500000000001</v>
      </c>
    </row>
    <row r="1284" spans="1:8" x14ac:dyDescent="0.25">
      <c r="A1284" s="26">
        <v>544</v>
      </c>
      <c r="B1284" s="25">
        <v>0.97619</v>
      </c>
      <c r="C1284" s="68">
        <f t="shared" si="115"/>
        <v>0.71430000000000149</v>
      </c>
      <c r="D1284" s="69">
        <f t="shared" si="116"/>
        <v>-14.285699999999999</v>
      </c>
      <c r="E1284" s="70">
        <f t="shared" si="117"/>
        <v>-29.285699999999999</v>
      </c>
      <c r="F1284" s="71">
        <f t="shared" si="118"/>
        <v>-0.71430000000000149</v>
      </c>
      <c r="G1284" s="72">
        <f t="shared" si="119"/>
        <v>14.285699999999999</v>
      </c>
      <c r="H1284" s="73">
        <f t="shared" si="120"/>
        <v>29.285699999999999</v>
      </c>
    </row>
    <row r="1285" spans="1:8" x14ac:dyDescent="0.25">
      <c r="A1285" s="26">
        <v>545</v>
      </c>
      <c r="B1285" s="25">
        <v>0.97643000000000002</v>
      </c>
      <c r="C1285" s="68">
        <f t="shared" si="115"/>
        <v>0.70710000000000051</v>
      </c>
      <c r="D1285" s="69">
        <f t="shared" si="116"/>
        <v>-14.292899999999999</v>
      </c>
      <c r="E1285" s="70">
        <f t="shared" si="117"/>
        <v>-29.292899999999999</v>
      </c>
      <c r="F1285" s="71">
        <f t="shared" si="118"/>
        <v>-0.70710000000000051</v>
      </c>
      <c r="G1285" s="72">
        <f t="shared" si="119"/>
        <v>14.292899999999999</v>
      </c>
      <c r="H1285" s="73">
        <f t="shared" si="120"/>
        <v>29.292899999999999</v>
      </c>
    </row>
    <row r="1286" spans="1:8" x14ac:dyDescent="0.25">
      <c r="A1286" s="26">
        <v>546</v>
      </c>
      <c r="B1286" s="25">
        <v>0.97667000000000004</v>
      </c>
      <c r="C1286" s="68">
        <f t="shared" si="115"/>
        <v>0.69989999999999952</v>
      </c>
      <c r="D1286" s="69">
        <f t="shared" si="116"/>
        <v>-14.3001</v>
      </c>
      <c r="E1286" s="70">
        <f t="shared" si="117"/>
        <v>-29.3001</v>
      </c>
      <c r="F1286" s="71">
        <f t="shared" si="118"/>
        <v>-0.69989999999999952</v>
      </c>
      <c r="G1286" s="72">
        <f t="shared" si="119"/>
        <v>14.3001</v>
      </c>
      <c r="H1286" s="73">
        <f t="shared" si="120"/>
        <v>29.3001</v>
      </c>
    </row>
    <row r="1287" spans="1:8" x14ac:dyDescent="0.25">
      <c r="A1287" s="26">
        <v>547</v>
      </c>
      <c r="B1287" s="25">
        <v>0.97689999999999999</v>
      </c>
      <c r="C1287" s="68">
        <f t="shared" ref="C1287:C1350" si="121">KFactor-KFactor*B1287</f>
        <v>0.69300000000000139</v>
      </c>
      <c r="D1287" s="69">
        <f t="shared" ref="D1287:D1350" si="122">KFactor/2-KFactor*B1287</f>
        <v>-14.306999999999999</v>
      </c>
      <c r="E1287" s="70">
        <f t="shared" ref="E1287:E1350" si="123">0-KFactor*B1287</f>
        <v>-29.306999999999999</v>
      </c>
      <c r="F1287" s="71">
        <f t="shared" ref="F1287:F1350" si="124">-C1287</f>
        <v>-0.69300000000000139</v>
      </c>
      <c r="G1287" s="72">
        <f t="shared" ref="G1287:G1350" si="125">-D1287</f>
        <v>14.306999999999999</v>
      </c>
      <c r="H1287" s="73">
        <f t="shared" ref="H1287:H1350" si="126">-E1287</f>
        <v>29.306999999999999</v>
      </c>
    </row>
    <row r="1288" spans="1:8" x14ac:dyDescent="0.25">
      <c r="A1288" s="26">
        <v>548</v>
      </c>
      <c r="B1288" s="25">
        <v>0.97714000000000001</v>
      </c>
      <c r="C1288" s="68">
        <f t="shared" si="121"/>
        <v>0.68580000000000041</v>
      </c>
      <c r="D1288" s="69">
        <f t="shared" si="122"/>
        <v>-14.3142</v>
      </c>
      <c r="E1288" s="70">
        <f t="shared" si="123"/>
        <v>-29.3142</v>
      </c>
      <c r="F1288" s="71">
        <f t="shared" si="124"/>
        <v>-0.68580000000000041</v>
      </c>
      <c r="G1288" s="72">
        <f t="shared" si="125"/>
        <v>14.3142</v>
      </c>
      <c r="H1288" s="73">
        <f t="shared" si="126"/>
        <v>29.3142</v>
      </c>
    </row>
    <row r="1289" spans="1:8" x14ac:dyDescent="0.25">
      <c r="A1289" s="26">
        <v>549</v>
      </c>
      <c r="B1289" s="25">
        <v>0.97738000000000003</v>
      </c>
      <c r="C1289" s="68">
        <f t="shared" si="121"/>
        <v>0.67859999999999943</v>
      </c>
      <c r="D1289" s="69">
        <f t="shared" si="122"/>
        <v>-14.321400000000001</v>
      </c>
      <c r="E1289" s="70">
        <f t="shared" si="123"/>
        <v>-29.321400000000001</v>
      </c>
      <c r="F1289" s="71">
        <f t="shared" si="124"/>
        <v>-0.67859999999999943</v>
      </c>
      <c r="G1289" s="72">
        <f t="shared" si="125"/>
        <v>14.321400000000001</v>
      </c>
      <c r="H1289" s="73">
        <f t="shared" si="126"/>
        <v>29.321400000000001</v>
      </c>
    </row>
    <row r="1290" spans="1:8" x14ac:dyDescent="0.25">
      <c r="A1290" s="26">
        <v>550</v>
      </c>
      <c r="B1290" s="25">
        <v>0.97762000000000004</v>
      </c>
      <c r="C1290" s="68">
        <f t="shared" si="121"/>
        <v>0.67139999999999844</v>
      </c>
      <c r="D1290" s="69">
        <f t="shared" si="122"/>
        <v>-14.328600000000002</v>
      </c>
      <c r="E1290" s="70">
        <f t="shared" si="123"/>
        <v>-29.328600000000002</v>
      </c>
      <c r="F1290" s="71">
        <f t="shared" si="124"/>
        <v>-0.67139999999999844</v>
      </c>
      <c r="G1290" s="72">
        <f t="shared" si="125"/>
        <v>14.328600000000002</v>
      </c>
      <c r="H1290" s="73">
        <f t="shared" si="126"/>
        <v>29.328600000000002</v>
      </c>
    </row>
    <row r="1291" spans="1:8" x14ac:dyDescent="0.25">
      <c r="A1291" s="26">
        <v>551</v>
      </c>
      <c r="B1291" s="25">
        <v>0.97785999999999995</v>
      </c>
      <c r="C1291" s="68">
        <f t="shared" si="121"/>
        <v>0.66420000000000101</v>
      </c>
      <c r="D1291" s="69">
        <f t="shared" si="122"/>
        <v>-14.335799999999999</v>
      </c>
      <c r="E1291" s="70">
        <f t="shared" si="123"/>
        <v>-29.335799999999999</v>
      </c>
      <c r="F1291" s="71">
        <f t="shared" si="124"/>
        <v>-0.66420000000000101</v>
      </c>
      <c r="G1291" s="72">
        <f t="shared" si="125"/>
        <v>14.335799999999999</v>
      </c>
      <c r="H1291" s="73">
        <f t="shared" si="126"/>
        <v>29.335799999999999</v>
      </c>
    </row>
    <row r="1292" spans="1:8" x14ac:dyDescent="0.25">
      <c r="A1292" s="26">
        <v>552</v>
      </c>
      <c r="B1292" s="25">
        <v>0.97809999999999997</v>
      </c>
      <c r="C1292" s="68">
        <f t="shared" si="121"/>
        <v>0.65700000000000003</v>
      </c>
      <c r="D1292" s="69">
        <f t="shared" si="122"/>
        <v>-14.343</v>
      </c>
      <c r="E1292" s="70">
        <f t="shared" si="123"/>
        <v>-29.343</v>
      </c>
      <c r="F1292" s="71">
        <f t="shared" si="124"/>
        <v>-0.65700000000000003</v>
      </c>
      <c r="G1292" s="72">
        <f t="shared" si="125"/>
        <v>14.343</v>
      </c>
      <c r="H1292" s="73">
        <f t="shared" si="126"/>
        <v>29.343</v>
      </c>
    </row>
    <row r="1293" spans="1:8" x14ac:dyDescent="0.25">
      <c r="A1293" s="26">
        <v>553</v>
      </c>
      <c r="B1293" s="25">
        <v>0.97833000000000003</v>
      </c>
      <c r="C1293" s="68">
        <f t="shared" si="121"/>
        <v>0.65009999999999835</v>
      </c>
      <c r="D1293" s="69">
        <f t="shared" si="122"/>
        <v>-14.349900000000002</v>
      </c>
      <c r="E1293" s="70">
        <f t="shared" si="123"/>
        <v>-29.349900000000002</v>
      </c>
      <c r="F1293" s="71">
        <f t="shared" si="124"/>
        <v>-0.65009999999999835</v>
      </c>
      <c r="G1293" s="72">
        <f t="shared" si="125"/>
        <v>14.349900000000002</v>
      </c>
      <c r="H1293" s="73">
        <f t="shared" si="126"/>
        <v>29.349900000000002</v>
      </c>
    </row>
    <row r="1294" spans="1:8" x14ac:dyDescent="0.25">
      <c r="A1294" s="26">
        <v>554</v>
      </c>
      <c r="B1294" s="25">
        <v>0.97857000000000005</v>
      </c>
      <c r="C1294" s="68">
        <f t="shared" si="121"/>
        <v>0.64289999999999736</v>
      </c>
      <c r="D1294" s="69">
        <f t="shared" si="122"/>
        <v>-14.357100000000003</v>
      </c>
      <c r="E1294" s="70">
        <f t="shared" si="123"/>
        <v>-29.357100000000003</v>
      </c>
      <c r="F1294" s="71">
        <f t="shared" si="124"/>
        <v>-0.64289999999999736</v>
      </c>
      <c r="G1294" s="72">
        <f t="shared" si="125"/>
        <v>14.357100000000003</v>
      </c>
      <c r="H1294" s="73">
        <f t="shared" si="126"/>
        <v>29.357100000000003</v>
      </c>
    </row>
    <row r="1295" spans="1:8" x14ac:dyDescent="0.25">
      <c r="A1295" s="26">
        <v>555</v>
      </c>
      <c r="B1295" s="25">
        <v>0.97880999999999996</v>
      </c>
      <c r="C1295" s="68">
        <f t="shared" si="121"/>
        <v>0.63569999999999993</v>
      </c>
      <c r="D1295" s="69">
        <f t="shared" si="122"/>
        <v>-14.3643</v>
      </c>
      <c r="E1295" s="70">
        <f t="shared" si="123"/>
        <v>-29.3643</v>
      </c>
      <c r="F1295" s="71">
        <f t="shared" si="124"/>
        <v>-0.63569999999999993</v>
      </c>
      <c r="G1295" s="72">
        <f t="shared" si="125"/>
        <v>14.3643</v>
      </c>
      <c r="H1295" s="73">
        <f t="shared" si="126"/>
        <v>29.3643</v>
      </c>
    </row>
    <row r="1296" spans="1:8" x14ac:dyDescent="0.25">
      <c r="A1296" s="26">
        <v>556</v>
      </c>
      <c r="B1296" s="25">
        <v>0.97904999999999998</v>
      </c>
      <c r="C1296" s="68">
        <f t="shared" si="121"/>
        <v>0.6285000000000025</v>
      </c>
      <c r="D1296" s="69">
        <f t="shared" si="122"/>
        <v>-14.371499999999997</v>
      </c>
      <c r="E1296" s="70">
        <f t="shared" si="123"/>
        <v>-29.371499999999997</v>
      </c>
      <c r="F1296" s="71">
        <f t="shared" si="124"/>
        <v>-0.6285000000000025</v>
      </c>
      <c r="G1296" s="72">
        <f t="shared" si="125"/>
        <v>14.371499999999997</v>
      </c>
      <c r="H1296" s="73">
        <f t="shared" si="126"/>
        <v>29.371499999999997</v>
      </c>
    </row>
    <row r="1297" spans="1:8" x14ac:dyDescent="0.25">
      <c r="A1297" s="26">
        <v>557</v>
      </c>
      <c r="B1297" s="25">
        <v>0.97928999999999999</v>
      </c>
      <c r="C1297" s="68">
        <f t="shared" si="121"/>
        <v>0.62130000000000152</v>
      </c>
      <c r="D1297" s="69">
        <f t="shared" si="122"/>
        <v>-14.378699999999998</v>
      </c>
      <c r="E1297" s="70">
        <f t="shared" si="123"/>
        <v>-29.378699999999998</v>
      </c>
      <c r="F1297" s="71">
        <f t="shared" si="124"/>
        <v>-0.62130000000000152</v>
      </c>
      <c r="G1297" s="72">
        <f t="shared" si="125"/>
        <v>14.378699999999998</v>
      </c>
      <c r="H1297" s="73">
        <f t="shared" si="126"/>
        <v>29.378699999999998</v>
      </c>
    </row>
    <row r="1298" spans="1:8" x14ac:dyDescent="0.25">
      <c r="A1298" s="26">
        <v>558</v>
      </c>
      <c r="B1298" s="25">
        <v>0.97951999999999995</v>
      </c>
      <c r="C1298" s="68">
        <f t="shared" si="121"/>
        <v>0.61440000000000339</v>
      </c>
      <c r="D1298" s="69">
        <f t="shared" si="122"/>
        <v>-14.385599999999997</v>
      </c>
      <c r="E1298" s="70">
        <f t="shared" si="123"/>
        <v>-29.385599999999997</v>
      </c>
      <c r="F1298" s="71">
        <f t="shared" si="124"/>
        <v>-0.61440000000000339</v>
      </c>
      <c r="G1298" s="72">
        <f t="shared" si="125"/>
        <v>14.385599999999997</v>
      </c>
      <c r="H1298" s="73">
        <f t="shared" si="126"/>
        <v>29.385599999999997</v>
      </c>
    </row>
    <row r="1299" spans="1:8" x14ac:dyDescent="0.25">
      <c r="A1299" s="26">
        <v>559</v>
      </c>
      <c r="B1299" s="25">
        <v>0.97975999999999996</v>
      </c>
      <c r="C1299" s="68">
        <f t="shared" si="121"/>
        <v>0.6072000000000024</v>
      </c>
      <c r="D1299" s="69">
        <f t="shared" si="122"/>
        <v>-14.392799999999998</v>
      </c>
      <c r="E1299" s="70">
        <f t="shared" si="123"/>
        <v>-29.392799999999998</v>
      </c>
      <c r="F1299" s="71">
        <f t="shared" si="124"/>
        <v>-0.6072000000000024</v>
      </c>
      <c r="G1299" s="72">
        <f t="shared" si="125"/>
        <v>14.392799999999998</v>
      </c>
      <c r="H1299" s="73">
        <f t="shared" si="126"/>
        <v>29.392799999999998</v>
      </c>
    </row>
    <row r="1300" spans="1:8" x14ac:dyDescent="0.25">
      <c r="A1300" s="26">
        <v>560</v>
      </c>
      <c r="B1300" s="25">
        <v>0.98</v>
      </c>
      <c r="C1300" s="68">
        <f t="shared" si="121"/>
        <v>0.60000000000000142</v>
      </c>
      <c r="D1300" s="69">
        <f t="shared" si="122"/>
        <v>-14.399999999999999</v>
      </c>
      <c r="E1300" s="70">
        <f t="shared" si="123"/>
        <v>-29.4</v>
      </c>
      <c r="F1300" s="71">
        <f t="shared" si="124"/>
        <v>-0.60000000000000142</v>
      </c>
      <c r="G1300" s="72">
        <f t="shared" si="125"/>
        <v>14.399999999999999</v>
      </c>
      <c r="H1300" s="73">
        <f t="shared" si="126"/>
        <v>29.4</v>
      </c>
    </row>
    <row r="1301" spans="1:8" x14ac:dyDescent="0.25">
      <c r="A1301" s="26">
        <v>561</v>
      </c>
      <c r="B1301" s="25">
        <v>0.98014000000000001</v>
      </c>
      <c r="C1301" s="68">
        <f t="shared" si="121"/>
        <v>0.59580000000000055</v>
      </c>
      <c r="D1301" s="69">
        <f t="shared" si="122"/>
        <v>-14.404199999999999</v>
      </c>
      <c r="E1301" s="70">
        <f t="shared" si="123"/>
        <v>-29.404199999999999</v>
      </c>
      <c r="F1301" s="71">
        <f t="shared" si="124"/>
        <v>-0.59580000000000055</v>
      </c>
      <c r="G1301" s="72">
        <f t="shared" si="125"/>
        <v>14.404199999999999</v>
      </c>
      <c r="H1301" s="73">
        <f t="shared" si="126"/>
        <v>29.404199999999999</v>
      </c>
    </row>
    <row r="1302" spans="1:8" x14ac:dyDescent="0.25">
      <c r="A1302" s="26">
        <v>562</v>
      </c>
      <c r="B1302" s="25">
        <v>0.98028999999999999</v>
      </c>
      <c r="C1302" s="68">
        <f t="shared" si="121"/>
        <v>0.59130000000000038</v>
      </c>
      <c r="D1302" s="69">
        <f t="shared" si="122"/>
        <v>-14.4087</v>
      </c>
      <c r="E1302" s="70">
        <f t="shared" si="123"/>
        <v>-29.4087</v>
      </c>
      <c r="F1302" s="71">
        <f t="shared" si="124"/>
        <v>-0.59130000000000038</v>
      </c>
      <c r="G1302" s="72">
        <f t="shared" si="125"/>
        <v>14.4087</v>
      </c>
      <c r="H1302" s="73">
        <f t="shared" si="126"/>
        <v>29.4087</v>
      </c>
    </row>
    <row r="1303" spans="1:8" x14ac:dyDescent="0.25">
      <c r="A1303" s="26">
        <v>563</v>
      </c>
      <c r="B1303" s="25">
        <v>0.98043000000000002</v>
      </c>
      <c r="C1303" s="68">
        <f t="shared" si="121"/>
        <v>0.58709999999999951</v>
      </c>
      <c r="D1303" s="69">
        <f t="shared" si="122"/>
        <v>-14.4129</v>
      </c>
      <c r="E1303" s="70">
        <f t="shared" si="123"/>
        <v>-29.4129</v>
      </c>
      <c r="F1303" s="71">
        <f t="shared" si="124"/>
        <v>-0.58709999999999951</v>
      </c>
      <c r="G1303" s="72">
        <f t="shared" si="125"/>
        <v>14.4129</v>
      </c>
      <c r="H1303" s="73">
        <f t="shared" si="126"/>
        <v>29.4129</v>
      </c>
    </row>
    <row r="1304" spans="1:8" x14ac:dyDescent="0.25">
      <c r="A1304" s="26">
        <v>564</v>
      </c>
      <c r="B1304" s="25">
        <v>0.98057000000000005</v>
      </c>
      <c r="C1304" s="68">
        <f t="shared" si="121"/>
        <v>0.58289999999999864</v>
      </c>
      <c r="D1304" s="69">
        <f t="shared" si="122"/>
        <v>-14.417100000000001</v>
      </c>
      <c r="E1304" s="70">
        <f t="shared" si="123"/>
        <v>-29.417100000000001</v>
      </c>
      <c r="F1304" s="71">
        <f t="shared" si="124"/>
        <v>-0.58289999999999864</v>
      </c>
      <c r="G1304" s="72">
        <f t="shared" si="125"/>
        <v>14.417100000000001</v>
      </c>
      <c r="H1304" s="73">
        <f t="shared" si="126"/>
        <v>29.417100000000001</v>
      </c>
    </row>
    <row r="1305" spans="1:8" x14ac:dyDescent="0.25">
      <c r="A1305" s="26">
        <v>565</v>
      </c>
      <c r="B1305" s="25">
        <v>0.98070999999999997</v>
      </c>
      <c r="C1305" s="68">
        <f t="shared" si="121"/>
        <v>0.57870000000000132</v>
      </c>
      <c r="D1305" s="69">
        <f t="shared" si="122"/>
        <v>-14.421299999999999</v>
      </c>
      <c r="E1305" s="70">
        <f t="shared" si="123"/>
        <v>-29.421299999999999</v>
      </c>
      <c r="F1305" s="71">
        <f t="shared" si="124"/>
        <v>-0.57870000000000132</v>
      </c>
      <c r="G1305" s="72">
        <f t="shared" si="125"/>
        <v>14.421299999999999</v>
      </c>
      <c r="H1305" s="73">
        <f t="shared" si="126"/>
        <v>29.421299999999999</v>
      </c>
    </row>
    <row r="1306" spans="1:8" x14ac:dyDescent="0.25">
      <c r="A1306" s="26">
        <v>566</v>
      </c>
      <c r="B1306" s="25">
        <v>0.98085999999999995</v>
      </c>
      <c r="C1306" s="68">
        <f t="shared" si="121"/>
        <v>0.57420000000000115</v>
      </c>
      <c r="D1306" s="69">
        <f t="shared" si="122"/>
        <v>-14.425799999999999</v>
      </c>
      <c r="E1306" s="70">
        <f t="shared" si="123"/>
        <v>-29.425799999999999</v>
      </c>
      <c r="F1306" s="71">
        <f t="shared" si="124"/>
        <v>-0.57420000000000115</v>
      </c>
      <c r="G1306" s="72">
        <f t="shared" si="125"/>
        <v>14.425799999999999</v>
      </c>
      <c r="H1306" s="73">
        <f t="shared" si="126"/>
        <v>29.425799999999999</v>
      </c>
    </row>
    <row r="1307" spans="1:8" x14ac:dyDescent="0.25">
      <c r="A1307" s="26">
        <v>567</v>
      </c>
      <c r="B1307" s="25">
        <v>0.98099999999999998</v>
      </c>
      <c r="C1307" s="68">
        <f t="shared" si="121"/>
        <v>0.57000000000000028</v>
      </c>
      <c r="D1307" s="69">
        <f t="shared" si="122"/>
        <v>-14.43</v>
      </c>
      <c r="E1307" s="70">
        <f t="shared" si="123"/>
        <v>-29.43</v>
      </c>
      <c r="F1307" s="71">
        <f t="shared" si="124"/>
        <v>-0.57000000000000028</v>
      </c>
      <c r="G1307" s="72">
        <f t="shared" si="125"/>
        <v>14.43</v>
      </c>
      <c r="H1307" s="73">
        <f t="shared" si="126"/>
        <v>29.43</v>
      </c>
    </row>
    <row r="1308" spans="1:8" x14ac:dyDescent="0.25">
      <c r="A1308" s="26">
        <v>568</v>
      </c>
      <c r="B1308" s="25">
        <v>0.98114000000000001</v>
      </c>
      <c r="C1308" s="68">
        <f t="shared" si="121"/>
        <v>0.56579999999999941</v>
      </c>
      <c r="D1308" s="69">
        <f t="shared" si="122"/>
        <v>-14.434200000000001</v>
      </c>
      <c r="E1308" s="70">
        <f t="shared" si="123"/>
        <v>-29.434200000000001</v>
      </c>
      <c r="F1308" s="71">
        <f t="shared" si="124"/>
        <v>-0.56579999999999941</v>
      </c>
      <c r="G1308" s="72">
        <f t="shared" si="125"/>
        <v>14.434200000000001</v>
      </c>
      <c r="H1308" s="73">
        <f t="shared" si="126"/>
        <v>29.434200000000001</v>
      </c>
    </row>
    <row r="1309" spans="1:8" x14ac:dyDescent="0.25">
      <c r="A1309" s="26">
        <v>569</v>
      </c>
      <c r="B1309" s="25">
        <v>0.98129</v>
      </c>
      <c r="C1309" s="68">
        <f t="shared" si="121"/>
        <v>0.56129999999999924</v>
      </c>
      <c r="D1309" s="69">
        <f t="shared" si="122"/>
        <v>-14.438700000000001</v>
      </c>
      <c r="E1309" s="70">
        <f t="shared" si="123"/>
        <v>-29.438700000000001</v>
      </c>
      <c r="F1309" s="71">
        <f t="shared" si="124"/>
        <v>-0.56129999999999924</v>
      </c>
      <c r="G1309" s="72">
        <f t="shared" si="125"/>
        <v>14.438700000000001</v>
      </c>
      <c r="H1309" s="73">
        <f t="shared" si="126"/>
        <v>29.438700000000001</v>
      </c>
    </row>
    <row r="1310" spans="1:8" x14ac:dyDescent="0.25">
      <c r="A1310" s="26">
        <v>570</v>
      </c>
      <c r="B1310" s="25">
        <v>0.98143000000000002</v>
      </c>
      <c r="C1310" s="68">
        <f t="shared" si="121"/>
        <v>0.55709999999999837</v>
      </c>
      <c r="D1310" s="69">
        <f t="shared" si="122"/>
        <v>-14.442900000000002</v>
      </c>
      <c r="E1310" s="70">
        <f t="shared" si="123"/>
        <v>-29.442900000000002</v>
      </c>
      <c r="F1310" s="71">
        <f t="shared" si="124"/>
        <v>-0.55709999999999837</v>
      </c>
      <c r="G1310" s="72">
        <f t="shared" si="125"/>
        <v>14.442900000000002</v>
      </c>
      <c r="H1310" s="73">
        <f t="shared" si="126"/>
        <v>29.442900000000002</v>
      </c>
    </row>
    <row r="1311" spans="1:8" x14ac:dyDescent="0.25">
      <c r="A1311" s="26">
        <v>571</v>
      </c>
      <c r="B1311" s="25">
        <v>0.98157000000000005</v>
      </c>
      <c r="C1311" s="68">
        <f t="shared" si="121"/>
        <v>0.5528999999999975</v>
      </c>
      <c r="D1311" s="69">
        <f t="shared" si="122"/>
        <v>-14.447100000000002</v>
      </c>
      <c r="E1311" s="70">
        <f t="shared" si="123"/>
        <v>-29.447100000000002</v>
      </c>
      <c r="F1311" s="71">
        <f t="shared" si="124"/>
        <v>-0.5528999999999975</v>
      </c>
      <c r="G1311" s="72">
        <f t="shared" si="125"/>
        <v>14.447100000000002</v>
      </c>
      <c r="H1311" s="73">
        <f t="shared" si="126"/>
        <v>29.447100000000002</v>
      </c>
    </row>
    <row r="1312" spans="1:8" x14ac:dyDescent="0.25">
      <c r="A1312" s="26">
        <v>572</v>
      </c>
      <c r="B1312" s="25">
        <v>0.98170999999999997</v>
      </c>
      <c r="C1312" s="68">
        <f t="shared" si="121"/>
        <v>0.54870000000000019</v>
      </c>
      <c r="D1312" s="69">
        <f t="shared" si="122"/>
        <v>-14.4513</v>
      </c>
      <c r="E1312" s="70">
        <f t="shared" si="123"/>
        <v>-29.4513</v>
      </c>
      <c r="F1312" s="71">
        <f t="shared" si="124"/>
        <v>-0.54870000000000019</v>
      </c>
      <c r="G1312" s="72">
        <f t="shared" si="125"/>
        <v>14.4513</v>
      </c>
      <c r="H1312" s="73">
        <f t="shared" si="126"/>
        <v>29.4513</v>
      </c>
    </row>
    <row r="1313" spans="1:8" x14ac:dyDescent="0.25">
      <c r="A1313" s="26">
        <v>573</v>
      </c>
      <c r="B1313" s="25">
        <v>0.98185999999999996</v>
      </c>
      <c r="C1313" s="68">
        <f t="shared" si="121"/>
        <v>0.54420000000000002</v>
      </c>
      <c r="D1313" s="69">
        <f t="shared" si="122"/>
        <v>-14.4558</v>
      </c>
      <c r="E1313" s="70">
        <f t="shared" si="123"/>
        <v>-29.4558</v>
      </c>
      <c r="F1313" s="71">
        <f t="shared" si="124"/>
        <v>-0.54420000000000002</v>
      </c>
      <c r="G1313" s="72">
        <f t="shared" si="125"/>
        <v>14.4558</v>
      </c>
      <c r="H1313" s="73">
        <f t="shared" si="126"/>
        <v>29.4558</v>
      </c>
    </row>
    <row r="1314" spans="1:8" x14ac:dyDescent="0.25">
      <c r="A1314" s="26">
        <v>574</v>
      </c>
      <c r="B1314" s="25">
        <v>0.98199999999999998</v>
      </c>
      <c r="C1314" s="68">
        <f t="shared" si="121"/>
        <v>0.53999999999999915</v>
      </c>
      <c r="D1314" s="69">
        <f t="shared" si="122"/>
        <v>-14.46</v>
      </c>
      <c r="E1314" s="70">
        <f t="shared" si="123"/>
        <v>-29.46</v>
      </c>
      <c r="F1314" s="71">
        <f t="shared" si="124"/>
        <v>-0.53999999999999915</v>
      </c>
      <c r="G1314" s="72">
        <f t="shared" si="125"/>
        <v>14.46</v>
      </c>
      <c r="H1314" s="73">
        <f t="shared" si="126"/>
        <v>29.46</v>
      </c>
    </row>
    <row r="1315" spans="1:8" x14ac:dyDescent="0.25">
      <c r="A1315" s="26">
        <v>575</v>
      </c>
      <c r="B1315" s="25">
        <v>0.98214000000000001</v>
      </c>
      <c r="C1315" s="68">
        <f t="shared" si="121"/>
        <v>0.53579999999999828</v>
      </c>
      <c r="D1315" s="69">
        <f t="shared" si="122"/>
        <v>-14.464200000000002</v>
      </c>
      <c r="E1315" s="70">
        <f t="shared" si="123"/>
        <v>-29.464200000000002</v>
      </c>
      <c r="F1315" s="71">
        <f t="shared" si="124"/>
        <v>-0.53579999999999828</v>
      </c>
      <c r="G1315" s="72">
        <f t="shared" si="125"/>
        <v>14.464200000000002</v>
      </c>
      <c r="H1315" s="73">
        <f t="shared" si="126"/>
        <v>29.464200000000002</v>
      </c>
    </row>
    <row r="1316" spans="1:8" x14ac:dyDescent="0.25">
      <c r="A1316" s="26">
        <v>576</v>
      </c>
      <c r="B1316" s="25">
        <v>0.98229</v>
      </c>
      <c r="C1316" s="68">
        <f t="shared" si="121"/>
        <v>0.53130000000000166</v>
      </c>
      <c r="D1316" s="69">
        <f t="shared" si="122"/>
        <v>-14.468699999999998</v>
      </c>
      <c r="E1316" s="70">
        <f t="shared" si="123"/>
        <v>-29.468699999999998</v>
      </c>
      <c r="F1316" s="71">
        <f t="shared" si="124"/>
        <v>-0.53130000000000166</v>
      </c>
      <c r="G1316" s="72">
        <f t="shared" si="125"/>
        <v>14.468699999999998</v>
      </c>
      <c r="H1316" s="73">
        <f t="shared" si="126"/>
        <v>29.468699999999998</v>
      </c>
    </row>
    <row r="1317" spans="1:8" x14ac:dyDescent="0.25">
      <c r="A1317" s="26">
        <v>577</v>
      </c>
      <c r="B1317" s="25">
        <v>0.98243000000000003</v>
      </c>
      <c r="C1317" s="68">
        <f t="shared" si="121"/>
        <v>0.52710000000000079</v>
      </c>
      <c r="D1317" s="69">
        <f t="shared" si="122"/>
        <v>-14.472899999999999</v>
      </c>
      <c r="E1317" s="70">
        <f t="shared" si="123"/>
        <v>-29.472899999999999</v>
      </c>
      <c r="F1317" s="71">
        <f t="shared" si="124"/>
        <v>-0.52710000000000079</v>
      </c>
      <c r="G1317" s="72">
        <f t="shared" si="125"/>
        <v>14.472899999999999</v>
      </c>
      <c r="H1317" s="73">
        <f t="shared" si="126"/>
        <v>29.472899999999999</v>
      </c>
    </row>
    <row r="1318" spans="1:8" x14ac:dyDescent="0.25">
      <c r="A1318" s="26">
        <v>578</v>
      </c>
      <c r="B1318" s="25">
        <v>0.98257000000000005</v>
      </c>
      <c r="C1318" s="68">
        <f t="shared" si="121"/>
        <v>0.52289999999999992</v>
      </c>
      <c r="D1318" s="69">
        <f t="shared" si="122"/>
        <v>-14.4771</v>
      </c>
      <c r="E1318" s="70">
        <f t="shared" si="123"/>
        <v>-29.4771</v>
      </c>
      <c r="F1318" s="71">
        <f t="shared" si="124"/>
        <v>-0.52289999999999992</v>
      </c>
      <c r="G1318" s="72">
        <f t="shared" si="125"/>
        <v>14.4771</v>
      </c>
      <c r="H1318" s="73">
        <f t="shared" si="126"/>
        <v>29.4771</v>
      </c>
    </row>
    <row r="1319" spans="1:8" x14ac:dyDescent="0.25">
      <c r="A1319" s="26">
        <v>579</v>
      </c>
      <c r="B1319" s="25">
        <v>0.98270999999999997</v>
      </c>
      <c r="C1319" s="68">
        <f t="shared" si="121"/>
        <v>0.5187000000000026</v>
      </c>
      <c r="D1319" s="69">
        <f t="shared" si="122"/>
        <v>-14.481299999999997</v>
      </c>
      <c r="E1319" s="70">
        <f t="shared" si="123"/>
        <v>-29.481299999999997</v>
      </c>
      <c r="F1319" s="71">
        <f t="shared" si="124"/>
        <v>-0.5187000000000026</v>
      </c>
      <c r="G1319" s="72">
        <f t="shared" si="125"/>
        <v>14.481299999999997</v>
      </c>
      <c r="H1319" s="73">
        <f t="shared" si="126"/>
        <v>29.481299999999997</v>
      </c>
    </row>
    <row r="1320" spans="1:8" x14ac:dyDescent="0.25">
      <c r="A1320" s="26">
        <v>580</v>
      </c>
      <c r="B1320" s="25">
        <v>0.98285999999999996</v>
      </c>
      <c r="C1320" s="68">
        <f t="shared" si="121"/>
        <v>0.51420000000000243</v>
      </c>
      <c r="D1320" s="69">
        <f t="shared" si="122"/>
        <v>-14.485799999999998</v>
      </c>
      <c r="E1320" s="70">
        <f t="shared" si="123"/>
        <v>-29.485799999999998</v>
      </c>
      <c r="F1320" s="71">
        <f t="shared" si="124"/>
        <v>-0.51420000000000243</v>
      </c>
      <c r="G1320" s="72">
        <f t="shared" si="125"/>
        <v>14.485799999999998</v>
      </c>
      <c r="H1320" s="73">
        <f t="shared" si="126"/>
        <v>29.485799999999998</v>
      </c>
    </row>
    <row r="1321" spans="1:8" x14ac:dyDescent="0.25">
      <c r="A1321" s="26">
        <v>581</v>
      </c>
      <c r="B1321" s="25">
        <v>0.98299999999999998</v>
      </c>
      <c r="C1321" s="68">
        <f t="shared" si="121"/>
        <v>0.51000000000000156</v>
      </c>
      <c r="D1321" s="69">
        <f t="shared" si="122"/>
        <v>-14.489999999999998</v>
      </c>
      <c r="E1321" s="70">
        <f t="shared" si="123"/>
        <v>-29.49</v>
      </c>
      <c r="F1321" s="71">
        <f t="shared" si="124"/>
        <v>-0.51000000000000156</v>
      </c>
      <c r="G1321" s="72">
        <f t="shared" si="125"/>
        <v>14.489999999999998</v>
      </c>
      <c r="H1321" s="73">
        <f t="shared" si="126"/>
        <v>29.49</v>
      </c>
    </row>
    <row r="1322" spans="1:8" x14ac:dyDescent="0.25">
      <c r="A1322" s="26">
        <v>582</v>
      </c>
      <c r="B1322" s="25">
        <v>0.98314000000000001</v>
      </c>
      <c r="C1322" s="68">
        <f t="shared" si="121"/>
        <v>0.50580000000000069</v>
      </c>
      <c r="D1322" s="69">
        <f t="shared" si="122"/>
        <v>-14.494199999999999</v>
      </c>
      <c r="E1322" s="70">
        <f t="shared" si="123"/>
        <v>-29.494199999999999</v>
      </c>
      <c r="F1322" s="71">
        <f t="shared" si="124"/>
        <v>-0.50580000000000069</v>
      </c>
      <c r="G1322" s="72">
        <f t="shared" si="125"/>
        <v>14.494199999999999</v>
      </c>
      <c r="H1322" s="73">
        <f t="shared" si="126"/>
        <v>29.494199999999999</v>
      </c>
    </row>
    <row r="1323" spans="1:8" x14ac:dyDescent="0.25">
      <c r="A1323" s="26">
        <v>583</v>
      </c>
      <c r="B1323" s="25">
        <v>0.98329</v>
      </c>
      <c r="C1323" s="68">
        <f t="shared" si="121"/>
        <v>0.50130000000000052</v>
      </c>
      <c r="D1323" s="69">
        <f t="shared" si="122"/>
        <v>-14.498699999999999</v>
      </c>
      <c r="E1323" s="70">
        <f t="shared" si="123"/>
        <v>-29.498699999999999</v>
      </c>
      <c r="F1323" s="71">
        <f t="shared" si="124"/>
        <v>-0.50130000000000052</v>
      </c>
      <c r="G1323" s="72">
        <f t="shared" si="125"/>
        <v>14.498699999999999</v>
      </c>
      <c r="H1323" s="73">
        <f t="shared" si="126"/>
        <v>29.498699999999999</v>
      </c>
    </row>
    <row r="1324" spans="1:8" x14ac:dyDescent="0.25">
      <c r="A1324" s="26">
        <v>584</v>
      </c>
      <c r="B1324" s="25">
        <v>0.98343000000000003</v>
      </c>
      <c r="C1324" s="68">
        <f t="shared" si="121"/>
        <v>0.49709999999999965</v>
      </c>
      <c r="D1324" s="69">
        <f t="shared" si="122"/>
        <v>-14.5029</v>
      </c>
      <c r="E1324" s="70">
        <f t="shared" si="123"/>
        <v>-29.5029</v>
      </c>
      <c r="F1324" s="71">
        <f t="shared" si="124"/>
        <v>-0.49709999999999965</v>
      </c>
      <c r="G1324" s="72">
        <f t="shared" si="125"/>
        <v>14.5029</v>
      </c>
      <c r="H1324" s="73">
        <f t="shared" si="126"/>
        <v>29.5029</v>
      </c>
    </row>
    <row r="1325" spans="1:8" x14ac:dyDescent="0.25">
      <c r="A1325" s="26">
        <v>585</v>
      </c>
      <c r="B1325" s="25">
        <v>0.98357000000000006</v>
      </c>
      <c r="C1325" s="68">
        <f t="shared" si="121"/>
        <v>0.49289999999999878</v>
      </c>
      <c r="D1325" s="69">
        <f t="shared" si="122"/>
        <v>-14.507100000000001</v>
      </c>
      <c r="E1325" s="70">
        <f t="shared" si="123"/>
        <v>-29.507100000000001</v>
      </c>
      <c r="F1325" s="71">
        <f t="shared" si="124"/>
        <v>-0.49289999999999878</v>
      </c>
      <c r="G1325" s="72">
        <f t="shared" si="125"/>
        <v>14.507100000000001</v>
      </c>
      <c r="H1325" s="73">
        <f t="shared" si="126"/>
        <v>29.507100000000001</v>
      </c>
    </row>
    <row r="1326" spans="1:8" x14ac:dyDescent="0.25">
      <c r="A1326" s="26">
        <v>586</v>
      </c>
      <c r="B1326" s="25">
        <v>0.98370999999999997</v>
      </c>
      <c r="C1326" s="68">
        <f t="shared" si="121"/>
        <v>0.48870000000000147</v>
      </c>
      <c r="D1326" s="69">
        <f t="shared" si="122"/>
        <v>-14.511299999999999</v>
      </c>
      <c r="E1326" s="70">
        <f t="shared" si="123"/>
        <v>-29.511299999999999</v>
      </c>
      <c r="F1326" s="71">
        <f t="shared" si="124"/>
        <v>-0.48870000000000147</v>
      </c>
      <c r="G1326" s="72">
        <f t="shared" si="125"/>
        <v>14.511299999999999</v>
      </c>
      <c r="H1326" s="73">
        <f t="shared" si="126"/>
        <v>29.511299999999999</v>
      </c>
    </row>
    <row r="1327" spans="1:8" x14ac:dyDescent="0.25">
      <c r="A1327" s="26">
        <v>587</v>
      </c>
      <c r="B1327" s="25">
        <v>0.98385999999999996</v>
      </c>
      <c r="C1327" s="68">
        <f t="shared" si="121"/>
        <v>0.4842000000000013</v>
      </c>
      <c r="D1327" s="69">
        <f t="shared" si="122"/>
        <v>-14.515799999999999</v>
      </c>
      <c r="E1327" s="70">
        <f t="shared" si="123"/>
        <v>-29.515799999999999</v>
      </c>
      <c r="F1327" s="71">
        <f t="shared" si="124"/>
        <v>-0.4842000000000013</v>
      </c>
      <c r="G1327" s="72">
        <f t="shared" si="125"/>
        <v>14.515799999999999</v>
      </c>
      <c r="H1327" s="73">
        <f t="shared" si="126"/>
        <v>29.515799999999999</v>
      </c>
    </row>
    <row r="1328" spans="1:8" x14ac:dyDescent="0.25">
      <c r="A1328" s="26">
        <v>588</v>
      </c>
      <c r="B1328" s="25">
        <v>0.98399999999999999</v>
      </c>
      <c r="C1328" s="68">
        <f t="shared" si="121"/>
        <v>0.48000000000000043</v>
      </c>
      <c r="D1328" s="69">
        <f t="shared" si="122"/>
        <v>-14.52</v>
      </c>
      <c r="E1328" s="70">
        <f t="shared" si="123"/>
        <v>-29.52</v>
      </c>
      <c r="F1328" s="71">
        <f t="shared" si="124"/>
        <v>-0.48000000000000043</v>
      </c>
      <c r="G1328" s="72">
        <f t="shared" si="125"/>
        <v>14.52</v>
      </c>
      <c r="H1328" s="73">
        <f t="shared" si="126"/>
        <v>29.52</v>
      </c>
    </row>
    <row r="1329" spans="1:8" x14ac:dyDescent="0.25">
      <c r="A1329" s="26">
        <v>589</v>
      </c>
      <c r="B1329" s="25">
        <v>0.98414000000000001</v>
      </c>
      <c r="C1329" s="68">
        <f t="shared" si="121"/>
        <v>0.47579999999999956</v>
      </c>
      <c r="D1329" s="69">
        <f t="shared" si="122"/>
        <v>-14.5242</v>
      </c>
      <c r="E1329" s="70">
        <f t="shared" si="123"/>
        <v>-29.5242</v>
      </c>
      <c r="F1329" s="71">
        <f t="shared" si="124"/>
        <v>-0.47579999999999956</v>
      </c>
      <c r="G1329" s="72">
        <f t="shared" si="125"/>
        <v>14.5242</v>
      </c>
      <c r="H1329" s="73">
        <f t="shared" si="126"/>
        <v>29.5242</v>
      </c>
    </row>
    <row r="1330" spans="1:8" x14ac:dyDescent="0.25">
      <c r="A1330" s="26">
        <v>590</v>
      </c>
      <c r="B1330" s="25">
        <v>0.98429</v>
      </c>
      <c r="C1330" s="68">
        <f t="shared" si="121"/>
        <v>0.47129999999999939</v>
      </c>
      <c r="D1330" s="69">
        <f t="shared" si="122"/>
        <v>-14.528700000000001</v>
      </c>
      <c r="E1330" s="70">
        <f t="shared" si="123"/>
        <v>-29.528700000000001</v>
      </c>
      <c r="F1330" s="71">
        <f t="shared" si="124"/>
        <v>-0.47129999999999939</v>
      </c>
      <c r="G1330" s="72">
        <f t="shared" si="125"/>
        <v>14.528700000000001</v>
      </c>
      <c r="H1330" s="73">
        <f t="shared" si="126"/>
        <v>29.528700000000001</v>
      </c>
    </row>
    <row r="1331" spans="1:8" x14ac:dyDescent="0.25">
      <c r="A1331" s="26">
        <v>591</v>
      </c>
      <c r="B1331" s="25">
        <v>0.98443000000000003</v>
      </c>
      <c r="C1331" s="68">
        <f t="shared" si="121"/>
        <v>0.46709999999999852</v>
      </c>
      <c r="D1331" s="69">
        <f t="shared" si="122"/>
        <v>-14.532900000000001</v>
      </c>
      <c r="E1331" s="70">
        <f t="shared" si="123"/>
        <v>-29.532900000000001</v>
      </c>
      <c r="F1331" s="71">
        <f t="shared" si="124"/>
        <v>-0.46709999999999852</v>
      </c>
      <c r="G1331" s="72">
        <f t="shared" si="125"/>
        <v>14.532900000000001</v>
      </c>
      <c r="H1331" s="73">
        <f t="shared" si="126"/>
        <v>29.532900000000001</v>
      </c>
    </row>
    <row r="1332" spans="1:8" x14ac:dyDescent="0.25">
      <c r="A1332" s="26">
        <v>592</v>
      </c>
      <c r="B1332" s="25">
        <v>0.98456999999999995</v>
      </c>
      <c r="C1332" s="68">
        <f t="shared" si="121"/>
        <v>0.4629000000000012</v>
      </c>
      <c r="D1332" s="69">
        <f t="shared" si="122"/>
        <v>-14.537099999999999</v>
      </c>
      <c r="E1332" s="70">
        <f t="shared" si="123"/>
        <v>-29.537099999999999</v>
      </c>
      <c r="F1332" s="71">
        <f t="shared" si="124"/>
        <v>-0.4629000000000012</v>
      </c>
      <c r="G1332" s="72">
        <f t="shared" si="125"/>
        <v>14.537099999999999</v>
      </c>
      <c r="H1332" s="73">
        <f t="shared" si="126"/>
        <v>29.537099999999999</v>
      </c>
    </row>
    <row r="1333" spans="1:8" x14ac:dyDescent="0.25">
      <c r="A1333" s="26">
        <v>593</v>
      </c>
      <c r="B1333" s="25">
        <v>0.98470999999999997</v>
      </c>
      <c r="C1333" s="68">
        <f t="shared" si="121"/>
        <v>0.45870000000000033</v>
      </c>
      <c r="D1333" s="69">
        <f t="shared" si="122"/>
        <v>-14.5413</v>
      </c>
      <c r="E1333" s="70">
        <f t="shared" si="123"/>
        <v>-29.5413</v>
      </c>
      <c r="F1333" s="71">
        <f t="shared" si="124"/>
        <v>-0.45870000000000033</v>
      </c>
      <c r="G1333" s="72">
        <f t="shared" si="125"/>
        <v>14.5413</v>
      </c>
      <c r="H1333" s="73">
        <f t="shared" si="126"/>
        <v>29.5413</v>
      </c>
    </row>
    <row r="1334" spans="1:8" x14ac:dyDescent="0.25">
      <c r="A1334" s="26">
        <v>594</v>
      </c>
      <c r="B1334" s="25">
        <v>0.98485999999999996</v>
      </c>
      <c r="C1334" s="68">
        <f t="shared" si="121"/>
        <v>0.45420000000000016</v>
      </c>
      <c r="D1334" s="69">
        <f t="shared" si="122"/>
        <v>-14.5458</v>
      </c>
      <c r="E1334" s="70">
        <f t="shared" si="123"/>
        <v>-29.5458</v>
      </c>
      <c r="F1334" s="71">
        <f t="shared" si="124"/>
        <v>-0.45420000000000016</v>
      </c>
      <c r="G1334" s="72">
        <f t="shared" si="125"/>
        <v>14.5458</v>
      </c>
      <c r="H1334" s="73">
        <f t="shared" si="126"/>
        <v>29.5458</v>
      </c>
    </row>
    <row r="1335" spans="1:8" x14ac:dyDescent="0.25">
      <c r="A1335" s="26">
        <v>595</v>
      </c>
      <c r="B1335" s="25">
        <v>0.98499999999999999</v>
      </c>
      <c r="C1335" s="68">
        <f t="shared" si="121"/>
        <v>0.44999999999999929</v>
      </c>
      <c r="D1335" s="69">
        <f t="shared" si="122"/>
        <v>-14.55</v>
      </c>
      <c r="E1335" s="70">
        <f t="shared" si="123"/>
        <v>-29.55</v>
      </c>
      <c r="F1335" s="71">
        <f t="shared" si="124"/>
        <v>-0.44999999999999929</v>
      </c>
      <c r="G1335" s="72">
        <f t="shared" si="125"/>
        <v>14.55</v>
      </c>
      <c r="H1335" s="73">
        <f t="shared" si="126"/>
        <v>29.55</v>
      </c>
    </row>
    <row r="1336" spans="1:8" x14ac:dyDescent="0.25">
      <c r="A1336" s="26">
        <v>596</v>
      </c>
      <c r="B1336" s="25">
        <v>0.98514000000000002</v>
      </c>
      <c r="C1336" s="68">
        <f t="shared" si="121"/>
        <v>0.44579999999999842</v>
      </c>
      <c r="D1336" s="69">
        <f t="shared" si="122"/>
        <v>-14.554200000000002</v>
      </c>
      <c r="E1336" s="70">
        <f t="shared" si="123"/>
        <v>-29.554200000000002</v>
      </c>
      <c r="F1336" s="71">
        <f t="shared" si="124"/>
        <v>-0.44579999999999842</v>
      </c>
      <c r="G1336" s="72">
        <f t="shared" si="125"/>
        <v>14.554200000000002</v>
      </c>
      <c r="H1336" s="73">
        <f t="shared" si="126"/>
        <v>29.554200000000002</v>
      </c>
    </row>
    <row r="1337" spans="1:8" x14ac:dyDescent="0.25">
      <c r="A1337" s="26">
        <v>597</v>
      </c>
      <c r="B1337" s="25">
        <v>0.98529</v>
      </c>
      <c r="C1337" s="68">
        <f t="shared" si="121"/>
        <v>0.44129999999999825</v>
      </c>
      <c r="D1337" s="69">
        <f t="shared" si="122"/>
        <v>-14.558700000000002</v>
      </c>
      <c r="E1337" s="70">
        <f t="shared" si="123"/>
        <v>-29.558700000000002</v>
      </c>
      <c r="F1337" s="71">
        <f t="shared" si="124"/>
        <v>-0.44129999999999825</v>
      </c>
      <c r="G1337" s="72">
        <f t="shared" si="125"/>
        <v>14.558700000000002</v>
      </c>
      <c r="H1337" s="73">
        <f t="shared" si="126"/>
        <v>29.558700000000002</v>
      </c>
    </row>
    <row r="1338" spans="1:8" x14ac:dyDescent="0.25">
      <c r="A1338" s="26">
        <v>598</v>
      </c>
      <c r="B1338" s="25">
        <v>0.98543000000000003</v>
      </c>
      <c r="C1338" s="68">
        <f t="shared" si="121"/>
        <v>0.43710000000000093</v>
      </c>
      <c r="D1338" s="69">
        <f t="shared" si="122"/>
        <v>-14.562899999999999</v>
      </c>
      <c r="E1338" s="70">
        <f t="shared" si="123"/>
        <v>-29.562899999999999</v>
      </c>
      <c r="F1338" s="71">
        <f t="shared" si="124"/>
        <v>-0.43710000000000093</v>
      </c>
      <c r="G1338" s="72">
        <f t="shared" si="125"/>
        <v>14.562899999999999</v>
      </c>
      <c r="H1338" s="73">
        <f t="shared" si="126"/>
        <v>29.562899999999999</v>
      </c>
    </row>
    <row r="1339" spans="1:8" x14ac:dyDescent="0.25">
      <c r="A1339" s="26">
        <v>599</v>
      </c>
      <c r="B1339" s="25">
        <v>0.98556999999999995</v>
      </c>
      <c r="C1339" s="68">
        <f t="shared" si="121"/>
        <v>0.43290000000000006</v>
      </c>
      <c r="D1339" s="69">
        <f t="shared" si="122"/>
        <v>-14.5671</v>
      </c>
      <c r="E1339" s="70">
        <f t="shared" si="123"/>
        <v>-29.5671</v>
      </c>
      <c r="F1339" s="71">
        <f t="shared" si="124"/>
        <v>-0.43290000000000006</v>
      </c>
      <c r="G1339" s="72">
        <f t="shared" si="125"/>
        <v>14.5671</v>
      </c>
      <c r="H1339" s="73">
        <f t="shared" si="126"/>
        <v>29.5671</v>
      </c>
    </row>
    <row r="1340" spans="1:8" x14ac:dyDescent="0.25">
      <c r="A1340" s="26">
        <v>600</v>
      </c>
      <c r="B1340" s="25">
        <v>0.98570999999999998</v>
      </c>
      <c r="C1340" s="68">
        <f t="shared" si="121"/>
        <v>0.42869999999999919</v>
      </c>
      <c r="D1340" s="69">
        <f t="shared" si="122"/>
        <v>-14.571300000000001</v>
      </c>
      <c r="E1340" s="70">
        <f t="shared" si="123"/>
        <v>-29.571300000000001</v>
      </c>
      <c r="F1340" s="71">
        <f t="shared" si="124"/>
        <v>-0.42869999999999919</v>
      </c>
      <c r="G1340" s="72">
        <f t="shared" si="125"/>
        <v>14.571300000000001</v>
      </c>
      <c r="H1340" s="73">
        <f t="shared" si="126"/>
        <v>29.571300000000001</v>
      </c>
    </row>
    <row r="1341" spans="1:8" x14ac:dyDescent="0.25">
      <c r="A1341" s="26">
        <v>601</v>
      </c>
      <c r="B1341" s="25">
        <v>0.98585999999999996</v>
      </c>
      <c r="C1341" s="68">
        <f t="shared" si="121"/>
        <v>0.42420000000000258</v>
      </c>
      <c r="D1341" s="69">
        <f t="shared" si="122"/>
        <v>-14.575799999999997</v>
      </c>
      <c r="E1341" s="70">
        <f t="shared" si="123"/>
        <v>-29.575799999999997</v>
      </c>
      <c r="F1341" s="71">
        <f t="shared" si="124"/>
        <v>-0.42420000000000258</v>
      </c>
      <c r="G1341" s="72">
        <f t="shared" si="125"/>
        <v>14.575799999999997</v>
      </c>
      <c r="H1341" s="73">
        <f t="shared" si="126"/>
        <v>29.575799999999997</v>
      </c>
    </row>
    <row r="1342" spans="1:8" x14ac:dyDescent="0.25">
      <c r="A1342" s="26">
        <v>602</v>
      </c>
      <c r="B1342" s="25">
        <v>0.98599999999999999</v>
      </c>
      <c r="C1342" s="68">
        <f t="shared" si="121"/>
        <v>0.42000000000000171</v>
      </c>
      <c r="D1342" s="69">
        <f t="shared" si="122"/>
        <v>-14.579999999999998</v>
      </c>
      <c r="E1342" s="70">
        <f t="shared" si="123"/>
        <v>-29.58</v>
      </c>
      <c r="F1342" s="71">
        <f t="shared" si="124"/>
        <v>-0.42000000000000171</v>
      </c>
      <c r="G1342" s="72">
        <f t="shared" si="125"/>
        <v>14.579999999999998</v>
      </c>
      <c r="H1342" s="73">
        <f t="shared" si="126"/>
        <v>29.58</v>
      </c>
    </row>
    <row r="1343" spans="1:8" x14ac:dyDescent="0.25">
      <c r="A1343" s="26">
        <v>603</v>
      </c>
      <c r="B1343" s="25">
        <v>0.98614000000000002</v>
      </c>
      <c r="C1343" s="68">
        <f t="shared" si="121"/>
        <v>0.41580000000000084</v>
      </c>
      <c r="D1343" s="69">
        <f t="shared" si="122"/>
        <v>-14.584199999999999</v>
      </c>
      <c r="E1343" s="70">
        <f t="shared" si="123"/>
        <v>-29.584199999999999</v>
      </c>
      <c r="F1343" s="71">
        <f t="shared" si="124"/>
        <v>-0.41580000000000084</v>
      </c>
      <c r="G1343" s="72">
        <f t="shared" si="125"/>
        <v>14.584199999999999</v>
      </c>
      <c r="H1343" s="73">
        <f t="shared" si="126"/>
        <v>29.584199999999999</v>
      </c>
    </row>
    <row r="1344" spans="1:8" x14ac:dyDescent="0.25">
      <c r="A1344" s="26">
        <v>604</v>
      </c>
      <c r="B1344" s="25">
        <v>0.98629</v>
      </c>
      <c r="C1344" s="68">
        <f t="shared" si="121"/>
        <v>0.41130000000000067</v>
      </c>
      <c r="D1344" s="69">
        <f t="shared" si="122"/>
        <v>-14.588699999999999</v>
      </c>
      <c r="E1344" s="70">
        <f t="shared" si="123"/>
        <v>-29.588699999999999</v>
      </c>
      <c r="F1344" s="71">
        <f t="shared" si="124"/>
        <v>-0.41130000000000067</v>
      </c>
      <c r="G1344" s="72">
        <f t="shared" si="125"/>
        <v>14.588699999999999</v>
      </c>
      <c r="H1344" s="73">
        <f t="shared" si="126"/>
        <v>29.588699999999999</v>
      </c>
    </row>
    <row r="1345" spans="1:8" x14ac:dyDescent="0.25">
      <c r="A1345" s="26">
        <v>605</v>
      </c>
      <c r="B1345" s="25">
        <v>0.98643000000000003</v>
      </c>
      <c r="C1345" s="68">
        <f t="shared" si="121"/>
        <v>0.4070999999999998</v>
      </c>
      <c r="D1345" s="69">
        <f t="shared" si="122"/>
        <v>-14.5929</v>
      </c>
      <c r="E1345" s="70">
        <f t="shared" si="123"/>
        <v>-29.5929</v>
      </c>
      <c r="F1345" s="71">
        <f t="shared" si="124"/>
        <v>-0.4070999999999998</v>
      </c>
      <c r="G1345" s="72">
        <f t="shared" si="125"/>
        <v>14.5929</v>
      </c>
      <c r="H1345" s="73">
        <f t="shared" si="126"/>
        <v>29.5929</v>
      </c>
    </row>
    <row r="1346" spans="1:8" x14ac:dyDescent="0.25">
      <c r="A1346" s="26">
        <v>606</v>
      </c>
      <c r="B1346" s="25">
        <v>0.98656999999999995</v>
      </c>
      <c r="C1346" s="68">
        <f t="shared" si="121"/>
        <v>0.40290000000000248</v>
      </c>
      <c r="D1346" s="69">
        <f t="shared" si="122"/>
        <v>-14.597099999999998</v>
      </c>
      <c r="E1346" s="70">
        <f t="shared" si="123"/>
        <v>-29.597099999999998</v>
      </c>
      <c r="F1346" s="71">
        <f t="shared" si="124"/>
        <v>-0.40290000000000248</v>
      </c>
      <c r="G1346" s="72">
        <f t="shared" si="125"/>
        <v>14.597099999999998</v>
      </c>
      <c r="H1346" s="73">
        <f t="shared" si="126"/>
        <v>29.597099999999998</v>
      </c>
    </row>
    <row r="1347" spans="1:8" x14ac:dyDescent="0.25">
      <c r="A1347" s="26">
        <v>607</v>
      </c>
      <c r="B1347" s="25">
        <v>0.98670999999999998</v>
      </c>
      <c r="C1347" s="68">
        <f t="shared" si="121"/>
        <v>0.39870000000000161</v>
      </c>
      <c r="D1347" s="69">
        <f t="shared" si="122"/>
        <v>-14.601299999999998</v>
      </c>
      <c r="E1347" s="70">
        <f t="shared" si="123"/>
        <v>-29.601299999999998</v>
      </c>
      <c r="F1347" s="71">
        <f t="shared" si="124"/>
        <v>-0.39870000000000161</v>
      </c>
      <c r="G1347" s="72">
        <f t="shared" si="125"/>
        <v>14.601299999999998</v>
      </c>
      <c r="H1347" s="73">
        <f t="shared" si="126"/>
        <v>29.601299999999998</v>
      </c>
    </row>
    <row r="1348" spans="1:8" x14ac:dyDescent="0.25">
      <c r="A1348" s="26">
        <v>608</v>
      </c>
      <c r="B1348" s="25">
        <v>0.98685999999999996</v>
      </c>
      <c r="C1348" s="68">
        <f t="shared" si="121"/>
        <v>0.39420000000000144</v>
      </c>
      <c r="D1348" s="69">
        <f t="shared" si="122"/>
        <v>-14.605799999999999</v>
      </c>
      <c r="E1348" s="70">
        <f t="shared" si="123"/>
        <v>-29.605799999999999</v>
      </c>
      <c r="F1348" s="71">
        <f t="shared" si="124"/>
        <v>-0.39420000000000144</v>
      </c>
      <c r="G1348" s="72">
        <f t="shared" si="125"/>
        <v>14.605799999999999</v>
      </c>
      <c r="H1348" s="73">
        <f t="shared" si="126"/>
        <v>29.605799999999999</v>
      </c>
    </row>
    <row r="1349" spans="1:8" x14ac:dyDescent="0.25">
      <c r="A1349" s="26">
        <v>609</v>
      </c>
      <c r="B1349" s="25">
        <v>0.98699999999999999</v>
      </c>
      <c r="C1349" s="68">
        <f t="shared" si="121"/>
        <v>0.39000000000000057</v>
      </c>
      <c r="D1349" s="69">
        <f t="shared" si="122"/>
        <v>-14.61</v>
      </c>
      <c r="E1349" s="70">
        <f t="shared" si="123"/>
        <v>-29.61</v>
      </c>
      <c r="F1349" s="71">
        <f t="shared" si="124"/>
        <v>-0.39000000000000057</v>
      </c>
      <c r="G1349" s="72">
        <f t="shared" si="125"/>
        <v>14.61</v>
      </c>
      <c r="H1349" s="73">
        <f t="shared" si="126"/>
        <v>29.61</v>
      </c>
    </row>
    <row r="1350" spans="1:8" x14ac:dyDescent="0.25">
      <c r="A1350" s="26">
        <v>610</v>
      </c>
      <c r="B1350" s="25">
        <v>0.98714000000000002</v>
      </c>
      <c r="C1350" s="68">
        <f t="shared" si="121"/>
        <v>0.3857999999999997</v>
      </c>
      <c r="D1350" s="69">
        <f t="shared" si="122"/>
        <v>-14.6142</v>
      </c>
      <c r="E1350" s="70">
        <f t="shared" si="123"/>
        <v>-29.6142</v>
      </c>
      <c r="F1350" s="71">
        <f t="shared" si="124"/>
        <v>-0.3857999999999997</v>
      </c>
      <c r="G1350" s="72">
        <f t="shared" si="125"/>
        <v>14.6142</v>
      </c>
      <c r="H1350" s="73">
        <f t="shared" si="126"/>
        <v>29.6142</v>
      </c>
    </row>
    <row r="1351" spans="1:8" x14ac:dyDescent="0.25">
      <c r="A1351" s="26">
        <v>611</v>
      </c>
      <c r="B1351" s="25">
        <v>0.98729</v>
      </c>
      <c r="C1351" s="68">
        <f t="shared" ref="C1351:C1414" si="127">KFactor-KFactor*B1351</f>
        <v>0.38129999999999953</v>
      </c>
      <c r="D1351" s="69">
        <f t="shared" ref="D1351:D1414" si="128">KFactor/2-KFactor*B1351</f>
        <v>-14.6187</v>
      </c>
      <c r="E1351" s="70">
        <f t="shared" ref="E1351:E1414" si="129">0-KFactor*B1351</f>
        <v>-29.6187</v>
      </c>
      <c r="F1351" s="71">
        <f t="shared" ref="F1351:F1414" si="130">-C1351</f>
        <v>-0.38129999999999953</v>
      </c>
      <c r="G1351" s="72">
        <f t="shared" ref="G1351:G1414" si="131">-D1351</f>
        <v>14.6187</v>
      </c>
      <c r="H1351" s="73">
        <f t="shared" ref="H1351:H1414" si="132">-E1351</f>
        <v>29.6187</v>
      </c>
    </row>
    <row r="1352" spans="1:8" x14ac:dyDescent="0.25">
      <c r="A1352" s="26">
        <v>612</v>
      </c>
      <c r="B1352" s="25">
        <v>0.98743000000000003</v>
      </c>
      <c r="C1352" s="68">
        <f t="shared" si="127"/>
        <v>0.37709999999999866</v>
      </c>
      <c r="D1352" s="69">
        <f t="shared" si="128"/>
        <v>-14.622900000000001</v>
      </c>
      <c r="E1352" s="70">
        <f t="shared" si="129"/>
        <v>-29.622900000000001</v>
      </c>
      <c r="F1352" s="71">
        <f t="shared" si="130"/>
        <v>-0.37709999999999866</v>
      </c>
      <c r="G1352" s="72">
        <f t="shared" si="131"/>
        <v>14.622900000000001</v>
      </c>
      <c r="H1352" s="73">
        <f t="shared" si="132"/>
        <v>29.622900000000001</v>
      </c>
    </row>
    <row r="1353" spans="1:8" x14ac:dyDescent="0.25">
      <c r="A1353" s="26">
        <v>613</v>
      </c>
      <c r="B1353" s="25">
        <v>0.98756999999999995</v>
      </c>
      <c r="C1353" s="68">
        <f t="shared" si="127"/>
        <v>0.37290000000000134</v>
      </c>
      <c r="D1353" s="69">
        <f t="shared" si="128"/>
        <v>-14.627099999999999</v>
      </c>
      <c r="E1353" s="70">
        <f t="shared" si="129"/>
        <v>-29.627099999999999</v>
      </c>
      <c r="F1353" s="71">
        <f t="shared" si="130"/>
        <v>-0.37290000000000134</v>
      </c>
      <c r="G1353" s="72">
        <f t="shared" si="131"/>
        <v>14.627099999999999</v>
      </c>
      <c r="H1353" s="73">
        <f t="shared" si="132"/>
        <v>29.627099999999999</v>
      </c>
    </row>
    <row r="1354" spans="1:8" x14ac:dyDescent="0.25">
      <c r="A1354" s="26">
        <v>614</v>
      </c>
      <c r="B1354" s="25">
        <v>0.98770999999999998</v>
      </c>
      <c r="C1354" s="68">
        <f t="shared" si="127"/>
        <v>0.36870000000000047</v>
      </c>
      <c r="D1354" s="69">
        <f t="shared" si="128"/>
        <v>-14.6313</v>
      </c>
      <c r="E1354" s="70">
        <f t="shared" si="129"/>
        <v>-29.6313</v>
      </c>
      <c r="F1354" s="71">
        <f t="shared" si="130"/>
        <v>-0.36870000000000047</v>
      </c>
      <c r="G1354" s="72">
        <f t="shared" si="131"/>
        <v>14.6313</v>
      </c>
      <c r="H1354" s="73">
        <f t="shared" si="132"/>
        <v>29.6313</v>
      </c>
    </row>
    <row r="1355" spans="1:8" x14ac:dyDescent="0.25">
      <c r="A1355" s="26">
        <v>615</v>
      </c>
      <c r="B1355" s="25">
        <v>0.98785999999999996</v>
      </c>
      <c r="C1355" s="68">
        <f t="shared" si="127"/>
        <v>0.3642000000000003</v>
      </c>
      <c r="D1355" s="69">
        <f t="shared" si="128"/>
        <v>-14.6358</v>
      </c>
      <c r="E1355" s="70">
        <f t="shared" si="129"/>
        <v>-29.6358</v>
      </c>
      <c r="F1355" s="71">
        <f t="shared" si="130"/>
        <v>-0.3642000000000003</v>
      </c>
      <c r="G1355" s="72">
        <f t="shared" si="131"/>
        <v>14.6358</v>
      </c>
      <c r="H1355" s="73">
        <f t="shared" si="132"/>
        <v>29.6358</v>
      </c>
    </row>
    <row r="1356" spans="1:8" x14ac:dyDescent="0.25">
      <c r="A1356" s="26">
        <v>616</v>
      </c>
      <c r="B1356" s="25">
        <v>0.98799999999999999</v>
      </c>
      <c r="C1356" s="68">
        <f t="shared" si="127"/>
        <v>0.35999999999999943</v>
      </c>
      <c r="D1356" s="69">
        <f t="shared" si="128"/>
        <v>-14.64</v>
      </c>
      <c r="E1356" s="70">
        <f t="shared" si="129"/>
        <v>-29.64</v>
      </c>
      <c r="F1356" s="71">
        <f t="shared" si="130"/>
        <v>-0.35999999999999943</v>
      </c>
      <c r="G1356" s="72">
        <f t="shared" si="131"/>
        <v>14.64</v>
      </c>
      <c r="H1356" s="73">
        <f t="shared" si="132"/>
        <v>29.64</v>
      </c>
    </row>
    <row r="1357" spans="1:8" x14ac:dyDescent="0.25">
      <c r="A1357" s="26">
        <v>617</v>
      </c>
      <c r="B1357" s="25">
        <v>0.98814000000000002</v>
      </c>
      <c r="C1357" s="68">
        <f t="shared" si="127"/>
        <v>0.35579999999999856</v>
      </c>
      <c r="D1357" s="69">
        <f t="shared" si="128"/>
        <v>-14.644200000000001</v>
      </c>
      <c r="E1357" s="70">
        <f t="shared" si="129"/>
        <v>-29.644200000000001</v>
      </c>
      <c r="F1357" s="71">
        <f t="shared" si="130"/>
        <v>-0.35579999999999856</v>
      </c>
      <c r="G1357" s="72">
        <f t="shared" si="131"/>
        <v>14.644200000000001</v>
      </c>
      <c r="H1357" s="73">
        <f t="shared" si="132"/>
        <v>29.644200000000001</v>
      </c>
    </row>
    <row r="1358" spans="1:8" x14ac:dyDescent="0.25">
      <c r="A1358" s="26">
        <v>618</v>
      </c>
      <c r="B1358" s="25">
        <v>0.98829</v>
      </c>
      <c r="C1358" s="68">
        <f t="shared" si="127"/>
        <v>0.35129999999999839</v>
      </c>
      <c r="D1358" s="69">
        <f t="shared" si="128"/>
        <v>-14.648700000000002</v>
      </c>
      <c r="E1358" s="70">
        <f t="shared" si="129"/>
        <v>-29.648700000000002</v>
      </c>
      <c r="F1358" s="71">
        <f t="shared" si="130"/>
        <v>-0.35129999999999839</v>
      </c>
      <c r="G1358" s="72">
        <f t="shared" si="131"/>
        <v>14.648700000000002</v>
      </c>
      <c r="H1358" s="73">
        <f t="shared" si="132"/>
        <v>29.648700000000002</v>
      </c>
    </row>
    <row r="1359" spans="1:8" x14ac:dyDescent="0.25">
      <c r="A1359" s="26">
        <v>619</v>
      </c>
      <c r="B1359" s="25">
        <v>0.98843000000000003</v>
      </c>
      <c r="C1359" s="68">
        <f t="shared" si="127"/>
        <v>0.34709999999999752</v>
      </c>
      <c r="D1359" s="69">
        <f t="shared" si="128"/>
        <v>-14.652900000000002</v>
      </c>
      <c r="E1359" s="70">
        <f t="shared" si="129"/>
        <v>-29.652900000000002</v>
      </c>
      <c r="F1359" s="71">
        <f t="shared" si="130"/>
        <v>-0.34709999999999752</v>
      </c>
      <c r="G1359" s="72">
        <f t="shared" si="131"/>
        <v>14.652900000000002</v>
      </c>
      <c r="H1359" s="73">
        <f t="shared" si="132"/>
        <v>29.652900000000002</v>
      </c>
    </row>
    <row r="1360" spans="1:8" x14ac:dyDescent="0.25">
      <c r="A1360" s="26">
        <v>620</v>
      </c>
      <c r="B1360" s="25">
        <v>0.98856999999999995</v>
      </c>
      <c r="C1360" s="68">
        <f t="shared" si="127"/>
        <v>0.3429000000000002</v>
      </c>
      <c r="D1360" s="69">
        <f t="shared" si="128"/>
        <v>-14.6571</v>
      </c>
      <c r="E1360" s="70">
        <f t="shared" si="129"/>
        <v>-29.6571</v>
      </c>
      <c r="F1360" s="71">
        <f t="shared" si="130"/>
        <v>-0.3429000000000002</v>
      </c>
      <c r="G1360" s="72">
        <f t="shared" si="131"/>
        <v>14.6571</v>
      </c>
      <c r="H1360" s="73">
        <f t="shared" si="132"/>
        <v>29.6571</v>
      </c>
    </row>
    <row r="1361" spans="1:8" x14ac:dyDescent="0.25">
      <c r="A1361" s="26">
        <v>621</v>
      </c>
      <c r="B1361" s="25">
        <v>0.98870999999999998</v>
      </c>
      <c r="C1361" s="68">
        <f t="shared" si="127"/>
        <v>0.33869999999999933</v>
      </c>
      <c r="D1361" s="69">
        <f t="shared" si="128"/>
        <v>-14.661300000000001</v>
      </c>
      <c r="E1361" s="70">
        <f t="shared" si="129"/>
        <v>-29.661300000000001</v>
      </c>
      <c r="F1361" s="71">
        <f t="shared" si="130"/>
        <v>-0.33869999999999933</v>
      </c>
      <c r="G1361" s="72">
        <f t="shared" si="131"/>
        <v>14.661300000000001</v>
      </c>
      <c r="H1361" s="73">
        <f t="shared" si="132"/>
        <v>29.661300000000001</v>
      </c>
    </row>
    <row r="1362" spans="1:8" x14ac:dyDescent="0.25">
      <c r="A1362" s="26">
        <v>622</v>
      </c>
      <c r="B1362" s="25">
        <v>0.98885999999999996</v>
      </c>
      <c r="C1362" s="68">
        <f t="shared" si="127"/>
        <v>0.33420000000000272</v>
      </c>
      <c r="D1362" s="69">
        <f t="shared" si="128"/>
        <v>-14.665799999999997</v>
      </c>
      <c r="E1362" s="70">
        <f t="shared" si="129"/>
        <v>-29.665799999999997</v>
      </c>
      <c r="F1362" s="71">
        <f t="shared" si="130"/>
        <v>-0.33420000000000272</v>
      </c>
      <c r="G1362" s="72">
        <f t="shared" si="131"/>
        <v>14.665799999999997</v>
      </c>
      <c r="H1362" s="73">
        <f t="shared" si="132"/>
        <v>29.665799999999997</v>
      </c>
    </row>
    <row r="1363" spans="1:8" x14ac:dyDescent="0.25">
      <c r="A1363" s="26">
        <v>623</v>
      </c>
      <c r="B1363" s="25">
        <v>0.98899999999999999</v>
      </c>
      <c r="C1363" s="68">
        <f t="shared" si="127"/>
        <v>0.33000000000000185</v>
      </c>
      <c r="D1363" s="69">
        <f t="shared" si="128"/>
        <v>-14.669999999999998</v>
      </c>
      <c r="E1363" s="70">
        <f t="shared" si="129"/>
        <v>-29.669999999999998</v>
      </c>
      <c r="F1363" s="71">
        <f t="shared" si="130"/>
        <v>-0.33000000000000185</v>
      </c>
      <c r="G1363" s="72">
        <f t="shared" si="131"/>
        <v>14.669999999999998</v>
      </c>
      <c r="H1363" s="73">
        <f t="shared" si="132"/>
        <v>29.669999999999998</v>
      </c>
    </row>
    <row r="1364" spans="1:8" x14ac:dyDescent="0.25">
      <c r="A1364" s="26">
        <v>624</v>
      </c>
      <c r="B1364" s="25">
        <v>0.98914000000000002</v>
      </c>
      <c r="C1364" s="68">
        <f t="shared" si="127"/>
        <v>0.32580000000000098</v>
      </c>
      <c r="D1364" s="69">
        <f t="shared" si="128"/>
        <v>-14.674199999999999</v>
      </c>
      <c r="E1364" s="70">
        <f t="shared" si="129"/>
        <v>-29.674199999999999</v>
      </c>
      <c r="F1364" s="71">
        <f t="shared" si="130"/>
        <v>-0.32580000000000098</v>
      </c>
      <c r="G1364" s="72">
        <f t="shared" si="131"/>
        <v>14.674199999999999</v>
      </c>
      <c r="H1364" s="73">
        <f t="shared" si="132"/>
        <v>29.674199999999999</v>
      </c>
    </row>
    <row r="1365" spans="1:8" x14ac:dyDescent="0.25">
      <c r="A1365" s="26">
        <v>625</v>
      </c>
      <c r="B1365" s="25">
        <v>0.98929</v>
      </c>
      <c r="C1365" s="68">
        <f t="shared" si="127"/>
        <v>0.32130000000000081</v>
      </c>
      <c r="D1365" s="69">
        <f t="shared" si="128"/>
        <v>-14.678699999999999</v>
      </c>
      <c r="E1365" s="70">
        <f t="shared" si="129"/>
        <v>-29.678699999999999</v>
      </c>
      <c r="F1365" s="71">
        <f t="shared" si="130"/>
        <v>-0.32130000000000081</v>
      </c>
      <c r="G1365" s="72">
        <f t="shared" si="131"/>
        <v>14.678699999999999</v>
      </c>
      <c r="H1365" s="73">
        <f t="shared" si="132"/>
        <v>29.678699999999999</v>
      </c>
    </row>
    <row r="1366" spans="1:8" x14ac:dyDescent="0.25">
      <c r="A1366" s="26">
        <v>626</v>
      </c>
      <c r="B1366" s="25">
        <v>0.98943000000000003</v>
      </c>
      <c r="C1366" s="68">
        <f t="shared" si="127"/>
        <v>0.31709999999999994</v>
      </c>
      <c r="D1366" s="69">
        <f t="shared" si="128"/>
        <v>-14.6829</v>
      </c>
      <c r="E1366" s="70">
        <f t="shared" si="129"/>
        <v>-29.6829</v>
      </c>
      <c r="F1366" s="71">
        <f t="shared" si="130"/>
        <v>-0.31709999999999994</v>
      </c>
      <c r="G1366" s="72">
        <f t="shared" si="131"/>
        <v>14.6829</v>
      </c>
      <c r="H1366" s="73">
        <f t="shared" si="132"/>
        <v>29.6829</v>
      </c>
    </row>
    <row r="1367" spans="1:8" x14ac:dyDescent="0.25">
      <c r="A1367" s="26">
        <v>627</v>
      </c>
      <c r="B1367" s="25">
        <v>0.98956999999999995</v>
      </c>
      <c r="C1367" s="68">
        <f t="shared" si="127"/>
        <v>0.31290000000000262</v>
      </c>
      <c r="D1367" s="69">
        <f t="shared" si="128"/>
        <v>-14.687099999999997</v>
      </c>
      <c r="E1367" s="70">
        <f t="shared" si="129"/>
        <v>-29.687099999999997</v>
      </c>
      <c r="F1367" s="71">
        <f t="shared" si="130"/>
        <v>-0.31290000000000262</v>
      </c>
      <c r="G1367" s="72">
        <f t="shared" si="131"/>
        <v>14.687099999999997</v>
      </c>
      <c r="H1367" s="73">
        <f t="shared" si="132"/>
        <v>29.687099999999997</v>
      </c>
    </row>
    <row r="1368" spans="1:8" x14ac:dyDescent="0.25">
      <c r="A1368" s="26">
        <v>628</v>
      </c>
      <c r="B1368" s="25">
        <v>0.98970999999999998</v>
      </c>
      <c r="C1368" s="68">
        <f t="shared" si="127"/>
        <v>0.30870000000000175</v>
      </c>
      <c r="D1368" s="69">
        <f t="shared" si="128"/>
        <v>-14.691299999999998</v>
      </c>
      <c r="E1368" s="70">
        <f t="shared" si="129"/>
        <v>-29.691299999999998</v>
      </c>
      <c r="F1368" s="71">
        <f t="shared" si="130"/>
        <v>-0.30870000000000175</v>
      </c>
      <c r="G1368" s="72">
        <f t="shared" si="131"/>
        <v>14.691299999999998</v>
      </c>
      <c r="H1368" s="73">
        <f t="shared" si="132"/>
        <v>29.691299999999998</v>
      </c>
    </row>
    <row r="1369" spans="1:8" x14ac:dyDescent="0.25">
      <c r="A1369" s="26">
        <v>629</v>
      </c>
      <c r="B1369" s="25">
        <v>0.98985999999999996</v>
      </c>
      <c r="C1369" s="68">
        <f t="shared" si="127"/>
        <v>0.30420000000000158</v>
      </c>
      <c r="D1369" s="69">
        <f t="shared" si="128"/>
        <v>-14.695799999999998</v>
      </c>
      <c r="E1369" s="70">
        <f t="shared" si="129"/>
        <v>-29.695799999999998</v>
      </c>
      <c r="F1369" s="71">
        <f t="shared" si="130"/>
        <v>-0.30420000000000158</v>
      </c>
      <c r="G1369" s="72">
        <f t="shared" si="131"/>
        <v>14.695799999999998</v>
      </c>
      <c r="H1369" s="73">
        <f t="shared" si="132"/>
        <v>29.695799999999998</v>
      </c>
    </row>
    <row r="1370" spans="1:8" x14ac:dyDescent="0.25">
      <c r="A1370" s="26">
        <v>630</v>
      </c>
      <c r="B1370" s="25">
        <v>0.99</v>
      </c>
      <c r="C1370" s="68">
        <f t="shared" si="127"/>
        <v>0.30000000000000071</v>
      </c>
      <c r="D1370" s="69">
        <f t="shared" si="128"/>
        <v>-14.7</v>
      </c>
      <c r="E1370" s="70">
        <f t="shared" si="129"/>
        <v>-29.7</v>
      </c>
      <c r="F1370" s="71">
        <f t="shared" si="130"/>
        <v>-0.30000000000000071</v>
      </c>
      <c r="G1370" s="72">
        <f t="shared" si="131"/>
        <v>14.7</v>
      </c>
      <c r="H1370" s="73">
        <f t="shared" si="132"/>
        <v>29.7</v>
      </c>
    </row>
    <row r="1371" spans="1:8" x14ac:dyDescent="0.25">
      <c r="A1371" s="26">
        <v>631</v>
      </c>
      <c r="B1371" s="25">
        <v>0.99009000000000003</v>
      </c>
      <c r="C1371" s="68">
        <f t="shared" si="127"/>
        <v>0.2972999999999999</v>
      </c>
      <c r="D1371" s="69">
        <f t="shared" si="128"/>
        <v>-14.7027</v>
      </c>
      <c r="E1371" s="70">
        <f t="shared" si="129"/>
        <v>-29.7027</v>
      </c>
      <c r="F1371" s="71">
        <f t="shared" si="130"/>
        <v>-0.2972999999999999</v>
      </c>
      <c r="G1371" s="72">
        <f t="shared" si="131"/>
        <v>14.7027</v>
      </c>
      <c r="H1371" s="73">
        <f t="shared" si="132"/>
        <v>29.7027</v>
      </c>
    </row>
    <row r="1372" spans="1:8" x14ac:dyDescent="0.25">
      <c r="A1372" s="26">
        <v>632</v>
      </c>
      <c r="B1372" s="25">
        <v>0.99019000000000001</v>
      </c>
      <c r="C1372" s="68">
        <f t="shared" si="127"/>
        <v>0.29429999999999978</v>
      </c>
      <c r="D1372" s="69">
        <f t="shared" si="128"/>
        <v>-14.7057</v>
      </c>
      <c r="E1372" s="70">
        <f t="shared" si="129"/>
        <v>-29.7057</v>
      </c>
      <c r="F1372" s="71">
        <f t="shared" si="130"/>
        <v>-0.29429999999999978</v>
      </c>
      <c r="G1372" s="72">
        <f t="shared" si="131"/>
        <v>14.7057</v>
      </c>
      <c r="H1372" s="73">
        <f t="shared" si="132"/>
        <v>29.7057</v>
      </c>
    </row>
    <row r="1373" spans="1:8" x14ac:dyDescent="0.25">
      <c r="A1373" s="26">
        <v>633</v>
      </c>
      <c r="B1373" s="25">
        <v>0.99028000000000005</v>
      </c>
      <c r="C1373" s="68">
        <f t="shared" si="127"/>
        <v>0.29159999999999897</v>
      </c>
      <c r="D1373" s="69">
        <f t="shared" si="128"/>
        <v>-14.708400000000001</v>
      </c>
      <c r="E1373" s="70">
        <f t="shared" si="129"/>
        <v>-29.708400000000001</v>
      </c>
      <c r="F1373" s="71">
        <f t="shared" si="130"/>
        <v>-0.29159999999999897</v>
      </c>
      <c r="G1373" s="72">
        <f t="shared" si="131"/>
        <v>14.708400000000001</v>
      </c>
      <c r="H1373" s="73">
        <f t="shared" si="132"/>
        <v>29.708400000000001</v>
      </c>
    </row>
    <row r="1374" spans="1:8" x14ac:dyDescent="0.25">
      <c r="A1374" s="26">
        <v>634</v>
      </c>
      <c r="B1374" s="25">
        <v>0.99038000000000004</v>
      </c>
      <c r="C1374" s="68">
        <f t="shared" si="127"/>
        <v>0.28859999999999886</v>
      </c>
      <c r="D1374" s="69">
        <f t="shared" si="128"/>
        <v>-14.711400000000001</v>
      </c>
      <c r="E1374" s="70">
        <f t="shared" si="129"/>
        <v>-29.711400000000001</v>
      </c>
      <c r="F1374" s="71">
        <f t="shared" si="130"/>
        <v>-0.28859999999999886</v>
      </c>
      <c r="G1374" s="72">
        <f t="shared" si="131"/>
        <v>14.711400000000001</v>
      </c>
      <c r="H1374" s="73">
        <f t="shared" si="132"/>
        <v>29.711400000000001</v>
      </c>
    </row>
    <row r="1375" spans="1:8" x14ac:dyDescent="0.25">
      <c r="A1375" s="26">
        <v>635</v>
      </c>
      <c r="B1375" s="25">
        <v>0.99046999999999996</v>
      </c>
      <c r="C1375" s="68">
        <f t="shared" si="127"/>
        <v>0.2859000000000016</v>
      </c>
      <c r="D1375" s="69">
        <f t="shared" si="128"/>
        <v>-14.714099999999998</v>
      </c>
      <c r="E1375" s="70">
        <f t="shared" si="129"/>
        <v>-29.714099999999998</v>
      </c>
      <c r="F1375" s="71">
        <f t="shared" si="130"/>
        <v>-0.2859000000000016</v>
      </c>
      <c r="G1375" s="72">
        <f t="shared" si="131"/>
        <v>14.714099999999998</v>
      </c>
      <c r="H1375" s="73">
        <f t="shared" si="132"/>
        <v>29.714099999999998</v>
      </c>
    </row>
    <row r="1376" spans="1:8" x14ac:dyDescent="0.25">
      <c r="A1376" s="26">
        <v>636</v>
      </c>
      <c r="B1376" s="25">
        <v>0.99056999999999995</v>
      </c>
      <c r="C1376" s="68">
        <f t="shared" si="127"/>
        <v>0.28290000000000148</v>
      </c>
      <c r="D1376" s="69">
        <f t="shared" si="128"/>
        <v>-14.717099999999999</v>
      </c>
      <c r="E1376" s="70">
        <f t="shared" si="129"/>
        <v>-29.717099999999999</v>
      </c>
      <c r="F1376" s="71">
        <f t="shared" si="130"/>
        <v>-0.28290000000000148</v>
      </c>
      <c r="G1376" s="72">
        <f t="shared" si="131"/>
        <v>14.717099999999999</v>
      </c>
      <c r="H1376" s="73">
        <f t="shared" si="132"/>
        <v>29.717099999999999</v>
      </c>
    </row>
    <row r="1377" spans="1:8" x14ac:dyDescent="0.25">
      <c r="A1377" s="26">
        <v>637</v>
      </c>
      <c r="B1377" s="25">
        <v>0.99065999999999999</v>
      </c>
      <c r="C1377" s="68">
        <f t="shared" si="127"/>
        <v>0.28020000000000067</v>
      </c>
      <c r="D1377" s="69">
        <f t="shared" si="128"/>
        <v>-14.719799999999999</v>
      </c>
      <c r="E1377" s="70">
        <f t="shared" si="129"/>
        <v>-29.719799999999999</v>
      </c>
      <c r="F1377" s="71">
        <f t="shared" si="130"/>
        <v>-0.28020000000000067</v>
      </c>
      <c r="G1377" s="72">
        <f t="shared" si="131"/>
        <v>14.719799999999999</v>
      </c>
      <c r="H1377" s="73">
        <f t="shared" si="132"/>
        <v>29.719799999999999</v>
      </c>
    </row>
    <row r="1378" spans="1:8" x14ac:dyDescent="0.25">
      <c r="A1378" s="26">
        <v>638</v>
      </c>
      <c r="B1378" s="25">
        <v>0.99075000000000002</v>
      </c>
      <c r="C1378" s="68">
        <f t="shared" si="127"/>
        <v>0.27749999999999986</v>
      </c>
      <c r="D1378" s="69">
        <f t="shared" si="128"/>
        <v>-14.7225</v>
      </c>
      <c r="E1378" s="70">
        <f t="shared" si="129"/>
        <v>-29.7225</v>
      </c>
      <c r="F1378" s="71">
        <f t="shared" si="130"/>
        <v>-0.27749999999999986</v>
      </c>
      <c r="G1378" s="72">
        <f t="shared" si="131"/>
        <v>14.7225</v>
      </c>
      <c r="H1378" s="73">
        <f t="shared" si="132"/>
        <v>29.7225</v>
      </c>
    </row>
    <row r="1379" spans="1:8" x14ac:dyDescent="0.25">
      <c r="A1379" s="26">
        <v>639</v>
      </c>
      <c r="B1379" s="25">
        <v>0.99085000000000001</v>
      </c>
      <c r="C1379" s="68">
        <f t="shared" si="127"/>
        <v>0.27449999999999974</v>
      </c>
      <c r="D1379" s="69">
        <f t="shared" si="128"/>
        <v>-14.7255</v>
      </c>
      <c r="E1379" s="70">
        <f t="shared" si="129"/>
        <v>-29.7255</v>
      </c>
      <c r="F1379" s="71">
        <f t="shared" si="130"/>
        <v>-0.27449999999999974</v>
      </c>
      <c r="G1379" s="72">
        <f t="shared" si="131"/>
        <v>14.7255</v>
      </c>
      <c r="H1379" s="73">
        <f t="shared" si="132"/>
        <v>29.7255</v>
      </c>
    </row>
    <row r="1380" spans="1:8" x14ac:dyDescent="0.25">
      <c r="A1380" s="26">
        <v>640</v>
      </c>
      <c r="B1380" s="25">
        <v>0.99094000000000004</v>
      </c>
      <c r="C1380" s="68">
        <f t="shared" si="127"/>
        <v>0.27179999999999893</v>
      </c>
      <c r="D1380" s="69">
        <f t="shared" si="128"/>
        <v>-14.728200000000001</v>
      </c>
      <c r="E1380" s="70">
        <f t="shared" si="129"/>
        <v>-29.728200000000001</v>
      </c>
      <c r="F1380" s="71">
        <f t="shared" si="130"/>
        <v>-0.27179999999999893</v>
      </c>
      <c r="G1380" s="72">
        <f t="shared" si="131"/>
        <v>14.728200000000001</v>
      </c>
      <c r="H1380" s="73">
        <f t="shared" si="132"/>
        <v>29.728200000000001</v>
      </c>
    </row>
    <row r="1381" spans="1:8" x14ac:dyDescent="0.25">
      <c r="A1381" s="26">
        <v>641</v>
      </c>
      <c r="B1381" s="25">
        <v>0.99104000000000003</v>
      </c>
      <c r="C1381" s="68">
        <f t="shared" si="127"/>
        <v>0.26879999999999882</v>
      </c>
      <c r="D1381" s="69">
        <f t="shared" si="128"/>
        <v>-14.731200000000001</v>
      </c>
      <c r="E1381" s="70">
        <f t="shared" si="129"/>
        <v>-29.731200000000001</v>
      </c>
      <c r="F1381" s="71">
        <f t="shared" si="130"/>
        <v>-0.26879999999999882</v>
      </c>
      <c r="G1381" s="72">
        <f t="shared" si="131"/>
        <v>14.731200000000001</v>
      </c>
      <c r="H1381" s="73">
        <f t="shared" si="132"/>
        <v>29.731200000000001</v>
      </c>
    </row>
    <row r="1382" spans="1:8" x14ac:dyDescent="0.25">
      <c r="A1382" s="26">
        <v>642</v>
      </c>
      <c r="B1382" s="25">
        <v>0.99112999999999996</v>
      </c>
      <c r="C1382" s="68">
        <f t="shared" si="127"/>
        <v>0.26610000000000156</v>
      </c>
      <c r="D1382" s="69">
        <f t="shared" si="128"/>
        <v>-14.733899999999998</v>
      </c>
      <c r="E1382" s="70">
        <f t="shared" si="129"/>
        <v>-29.733899999999998</v>
      </c>
      <c r="F1382" s="71">
        <f t="shared" si="130"/>
        <v>-0.26610000000000156</v>
      </c>
      <c r="G1382" s="72">
        <f t="shared" si="131"/>
        <v>14.733899999999998</v>
      </c>
      <c r="H1382" s="73">
        <f t="shared" si="132"/>
        <v>29.733899999999998</v>
      </c>
    </row>
    <row r="1383" spans="1:8" x14ac:dyDescent="0.25">
      <c r="A1383" s="26">
        <v>643</v>
      </c>
      <c r="B1383" s="25">
        <v>0.99123000000000006</v>
      </c>
      <c r="C1383" s="68">
        <f t="shared" si="127"/>
        <v>0.26309999999999789</v>
      </c>
      <c r="D1383" s="69">
        <f t="shared" si="128"/>
        <v>-14.736900000000002</v>
      </c>
      <c r="E1383" s="70">
        <f t="shared" si="129"/>
        <v>-29.736900000000002</v>
      </c>
      <c r="F1383" s="71">
        <f t="shared" si="130"/>
        <v>-0.26309999999999789</v>
      </c>
      <c r="G1383" s="72">
        <f t="shared" si="131"/>
        <v>14.736900000000002</v>
      </c>
      <c r="H1383" s="73">
        <f t="shared" si="132"/>
        <v>29.736900000000002</v>
      </c>
    </row>
    <row r="1384" spans="1:8" x14ac:dyDescent="0.25">
      <c r="A1384" s="26">
        <v>644</v>
      </c>
      <c r="B1384" s="25">
        <v>0.99131999999999998</v>
      </c>
      <c r="C1384" s="68">
        <f t="shared" si="127"/>
        <v>0.26040000000000063</v>
      </c>
      <c r="D1384" s="69">
        <f t="shared" si="128"/>
        <v>-14.739599999999999</v>
      </c>
      <c r="E1384" s="70">
        <f t="shared" si="129"/>
        <v>-29.739599999999999</v>
      </c>
      <c r="F1384" s="71">
        <f t="shared" si="130"/>
        <v>-0.26040000000000063</v>
      </c>
      <c r="G1384" s="72">
        <f t="shared" si="131"/>
        <v>14.739599999999999</v>
      </c>
      <c r="H1384" s="73">
        <f t="shared" si="132"/>
        <v>29.739599999999999</v>
      </c>
    </row>
    <row r="1385" spans="1:8" x14ac:dyDescent="0.25">
      <c r="A1385" s="26">
        <v>645</v>
      </c>
      <c r="B1385" s="25">
        <v>0.99141999999999997</v>
      </c>
      <c r="C1385" s="68">
        <f t="shared" si="127"/>
        <v>0.25740000000000052</v>
      </c>
      <c r="D1385" s="69">
        <f t="shared" si="128"/>
        <v>-14.742599999999999</v>
      </c>
      <c r="E1385" s="70">
        <f t="shared" si="129"/>
        <v>-29.742599999999999</v>
      </c>
      <c r="F1385" s="71">
        <f t="shared" si="130"/>
        <v>-0.25740000000000052</v>
      </c>
      <c r="G1385" s="72">
        <f t="shared" si="131"/>
        <v>14.742599999999999</v>
      </c>
      <c r="H1385" s="73">
        <f t="shared" si="132"/>
        <v>29.742599999999999</v>
      </c>
    </row>
    <row r="1386" spans="1:8" x14ac:dyDescent="0.25">
      <c r="A1386" s="26">
        <v>646</v>
      </c>
      <c r="B1386" s="25">
        <v>0.99151</v>
      </c>
      <c r="C1386" s="68">
        <f t="shared" si="127"/>
        <v>0.2546999999999997</v>
      </c>
      <c r="D1386" s="69">
        <f t="shared" si="128"/>
        <v>-14.7453</v>
      </c>
      <c r="E1386" s="70">
        <f t="shared" si="129"/>
        <v>-29.7453</v>
      </c>
      <c r="F1386" s="71">
        <f t="shared" si="130"/>
        <v>-0.2546999999999997</v>
      </c>
      <c r="G1386" s="72">
        <f t="shared" si="131"/>
        <v>14.7453</v>
      </c>
      <c r="H1386" s="73">
        <f t="shared" si="132"/>
        <v>29.7453</v>
      </c>
    </row>
    <row r="1387" spans="1:8" x14ac:dyDescent="0.25">
      <c r="A1387" s="26">
        <v>647</v>
      </c>
      <c r="B1387" s="25">
        <v>0.99160000000000004</v>
      </c>
      <c r="C1387" s="68">
        <f t="shared" si="127"/>
        <v>0.25199999999999889</v>
      </c>
      <c r="D1387" s="69">
        <f t="shared" si="128"/>
        <v>-14.748000000000001</v>
      </c>
      <c r="E1387" s="70">
        <f t="shared" si="129"/>
        <v>-29.748000000000001</v>
      </c>
      <c r="F1387" s="71">
        <f t="shared" si="130"/>
        <v>-0.25199999999999889</v>
      </c>
      <c r="G1387" s="72">
        <f t="shared" si="131"/>
        <v>14.748000000000001</v>
      </c>
      <c r="H1387" s="73">
        <f t="shared" si="132"/>
        <v>29.748000000000001</v>
      </c>
    </row>
    <row r="1388" spans="1:8" x14ac:dyDescent="0.25">
      <c r="A1388" s="26">
        <v>648</v>
      </c>
      <c r="B1388" s="25">
        <v>0.99170000000000003</v>
      </c>
      <c r="C1388" s="68">
        <f t="shared" si="127"/>
        <v>0.24899999999999878</v>
      </c>
      <c r="D1388" s="69">
        <f t="shared" si="128"/>
        <v>-14.751000000000001</v>
      </c>
      <c r="E1388" s="70">
        <f t="shared" si="129"/>
        <v>-29.751000000000001</v>
      </c>
      <c r="F1388" s="71">
        <f t="shared" si="130"/>
        <v>-0.24899999999999878</v>
      </c>
      <c r="G1388" s="72">
        <f t="shared" si="131"/>
        <v>14.751000000000001</v>
      </c>
      <c r="H1388" s="73">
        <f t="shared" si="132"/>
        <v>29.751000000000001</v>
      </c>
    </row>
    <row r="1389" spans="1:8" x14ac:dyDescent="0.25">
      <c r="A1389" s="26">
        <v>649</v>
      </c>
      <c r="B1389" s="25">
        <v>0.99178999999999995</v>
      </c>
      <c r="C1389" s="68">
        <f t="shared" si="127"/>
        <v>0.24630000000000152</v>
      </c>
      <c r="D1389" s="69">
        <f t="shared" si="128"/>
        <v>-14.753699999999998</v>
      </c>
      <c r="E1389" s="70">
        <f t="shared" si="129"/>
        <v>-29.753699999999998</v>
      </c>
      <c r="F1389" s="71">
        <f t="shared" si="130"/>
        <v>-0.24630000000000152</v>
      </c>
      <c r="G1389" s="72">
        <f t="shared" si="131"/>
        <v>14.753699999999998</v>
      </c>
      <c r="H1389" s="73">
        <f t="shared" si="132"/>
        <v>29.753699999999998</v>
      </c>
    </row>
    <row r="1390" spans="1:8" x14ac:dyDescent="0.25">
      <c r="A1390" s="26">
        <v>650</v>
      </c>
      <c r="B1390" s="25">
        <v>0.99189000000000005</v>
      </c>
      <c r="C1390" s="68">
        <f t="shared" si="127"/>
        <v>0.24329999999999785</v>
      </c>
      <c r="D1390" s="69">
        <f t="shared" si="128"/>
        <v>-14.756700000000002</v>
      </c>
      <c r="E1390" s="70">
        <f t="shared" si="129"/>
        <v>-29.756700000000002</v>
      </c>
      <c r="F1390" s="71">
        <f t="shared" si="130"/>
        <v>-0.24329999999999785</v>
      </c>
      <c r="G1390" s="72">
        <f t="shared" si="131"/>
        <v>14.756700000000002</v>
      </c>
      <c r="H1390" s="73">
        <f t="shared" si="132"/>
        <v>29.756700000000002</v>
      </c>
    </row>
    <row r="1391" spans="1:8" x14ac:dyDescent="0.25">
      <c r="A1391" s="26">
        <v>651</v>
      </c>
      <c r="B1391" s="25">
        <v>0.99197999999999997</v>
      </c>
      <c r="C1391" s="68">
        <f t="shared" si="127"/>
        <v>0.24060000000000059</v>
      </c>
      <c r="D1391" s="69">
        <f t="shared" si="128"/>
        <v>-14.759399999999999</v>
      </c>
      <c r="E1391" s="70">
        <f t="shared" si="129"/>
        <v>-29.759399999999999</v>
      </c>
      <c r="F1391" s="71">
        <f t="shared" si="130"/>
        <v>-0.24060000000000059</v>
      </c>
      <c r="G1391" s="72">
        <f t="shared" si="131"/>
        <v>14.759399999999999</v>
      </c>
      <c r="H1391" s="73">
        <f t="shared" si="132"/>
        <v>29.759399999999999</v>
      </c>
    </row>
    <row r="1392" spans="1:8" x14ac:dyDescent="0.25">
      <c r="A1392" s="26">
        <v>652</v>
      </c>
      <c r="B1392" s="25">
        <v>0.99207999999999996</v>
      </c>
      <c r="C1392" s="68">
        <f t="shared" si="127"/>
        <v>0.23760000000000048</v>
      </c>
      <c r="D1392" s="69">
        <f t="shared" si="128"/>
        <v>-14.7624</v>
      </c>
      <c r="E1392" s="70">
        <f t="shared" si="129"/>
        <v>-29.7624</v>
      </c>
      <c r="F1392" s="71">
        <f t="shared" si="130"/>
        <v>-0.23760000000000048</v>
      </c>
      <c r="G1392" s="72">
        <f t="shared" si="131"/>
        <v>14.7624</v>
      </c>
      <c r="H1392" s="73">
        <f t="shared" si="132"/>
        <v>29.7624</v>
      </c>
    </row>
    <row r="1393" spans="1:8" x14ac:dyDescent="0.25">
      <c r="A1393" s="26">
        <v>653</v>
      </c>
      <c r="B1393" s="25">
        <v>0.99217</v>
      </c>
      <c r="C1393" s="68">
        <f t="shared" si="127"/>
        <v>0.23489999999999966</v>
      </c>
      <c r="D1393" s="69">
        <f t="shared" si="128"/>
        <v>-14.7651</v>
      </c>
      <c r="E1393" s="70">
        <f t="shared" si="129"/>
        <v>-29.7651</v>
      </c>
      <c r="F1393" s="71">
        <f t="shared" si="130"/>
        <v>-0.23489999999999966</v>
      </c>
      <c r="G1393" s="72">
        <f t="shared" si="131"/>
        <v>14.7651</v>
      </c>
      <c r="H1393" s="73">
        <f t="shared" si="132"/>
        <v>29.7651</v>
      </c>
    </row>
    <row r="1394" spans="1:8" x14ac:dyDescent="0.25">
      <c r="A1394" s="26">
        <v>654</v>
      </c>
      <c r="B1394" s="25">
        <v>0.99226000000000003</v>
      </c>
      <c r="C1394" s="68">
        <f t="shared" si="127"/>
        <v>0.23219999999999885</v>
      </c>
      <c r="D1394" s="69">
        <f t="shared" si="128"/>
        <v>-14.767800000000001</v>
      </c>
      <c r="E1394" s="70">
        <f t="shared" si="129"/>
        <v>-29.767800000000001</v>
      </c>
      <c r="F1394" s="71">
        <f t="shared" si="130"/>
        <v>-0.23219999999999885</v>
      </c>
      <c r="G1394" s="72">
        <f t="shared" si="131"/>
        <v>14.767800000000001</v>
      </c>
      <c r="H1394" s="73">
        <f t="shared" si="132"/>
        <v>29.767800000000001</v>
      </c>
    </row>
    <row r="1395" spans="1:8" x14ac:dyDescent="0.25">
      <c r="A1395" s="26">
        <v>655</v>
      </c>
      <c r="B1395" s="25">
        <v>0.99236000000000002</v>
      </c>
      <c r="C1395" s="68">
        <f t="shared" si="127"/>
        <v>0.22919999999999874</v>
      </c>
      <c r="D1395" s="69">
        <f t="shared" si="128"/>
        <v>-14.770800000000001</v>
      </c>
      <c r="E1395" s="70">
        <f t="shared" si="129"/>
        <v>-29.770800000000001</v>
      </c>
      <c r="F1395" s="71">
        <f t="shared" si="130"/>
        <v>-0.22919999999999874</v>
      </c>
      <c r="G1395" s="72">
        <f t="shared" si="131"/>
        <v>14.770800000000001</v>
      </c>
      <c r="H1395" s="73">
        <f t="shared" si="132"/>
        <v>29.770800000000001</v>
      </c>
    </row>
    <row r="1396" spans="1:8" x14ac:dyDescent="0.25">
      <c r="A1396" s="26">
        <v>656</v>
      </c>
      <c r="B1396" s="25">
        <v>0.99245000000000005</v>
      </c>
      <c r="C1396" s="68">
        <f t="shared" si="127"/>
        <v>0.22649999999999793</v>
      </c>
      <c r="D1396" s="69">
        <f t="shared" si="128"/>
        <v>-14.773500000000002</v>
      </c>
      <c r="E1396" s="70">
        <f t="shared" si="129"/>
        <v>-29.773500000000002</v>
      </c>
      <c r="F1396" s="71">
        <f t="shared" si="130"/>
        <v>-0.22649999999999793</v>
      </c>
      <c r="G1396" s="72">
        <f t="shared" si="131"/>
        <v>14.773500000000002</v>
      </c>
      <c r="H1396" s="73">
        <f t="shared" si="132"/>
        <v>29.773500000000002</v>
      </c>
    </row>
    <row r="1397" spans="1:8" x14ac:dyDescent="0.25">
      <c r="A1397" s="26">
        <v>657</v>
      </c>
      <c r="B1397" s="25">
        <v>0.99255000000000004</v>
      </c>
      <c r="C1397" s="68">
        <f t="shared" si="127"/>
        <v>0.22349999999999781</v>
      </c>
      <c r="D1397" s="69">
        <f t="shared" si="128"/>
        <v>-14.776500000000002</v>
      </c>
      <c r="E1397" s="70">
        <f t="shared" si="129"/>
        <v>-29.776500000000002</v>
      </c>
      <c r="F1397" s="71">
        <f t="shared" si="130"/>
        <v>-0.22349999999999781</v>
      </c>
      <c r="G1397" s="72">
        <f t="shared" si="131"/>
        <v>14.776500000000002</v>
      </c>
      <c r="H1397" s="73">
        <f t="shared" si="132"/>
        <v>29.776500000000002</v>
      </c>
    </row>
    <row r="1398" spans="1:8" x14ac:dyDescent="0.25">
      <c r="A1398" s="26">
        <v>658</v>
      </c>
      <c r="B1398" s="25">
        <v>0.99263999999999997</v>
      </c>
      <c r="C1398" s="68">
        <f t="shared" si="127"/>
        <v>0.22080000000000055</v>
      </c>
      <c r="D1398" s="69">
        <f t="shared" si="128"/>
        <v>-14.779199999999999</v>
      </c>
      <c r="E1398" s="70">
        <f t="shared" si="129"/>
        <v>-29.779199999999999</v>
      </c>
      <c r="F1398" s="71">
        <f t="shared" si="130"/>
        <v>-0.22080000000000055</v>
      </c>
      <c r="G1398" s="72">
        <f t="shared" si="131"/>
        <v>14.779199999999999</v>
      </c>
      <c r="H1398" s="73">
        <f t="shared" si="132"/>
        <v>29.779199999999999</v>
      </c>
    </row>
    <row r="1399" spans="1:8" x14ac:dyDescent="0.25">
      <c r="A1399" s="26">
        <v>659</v>
      </c>
      <c r="B1399" s="25">
        <v>0.99273999999999996</v>
      </c>
      <c r="C1399" s="68">
        <f t="shared" si="127"/>
        <v>0.21780000000000044</v>
      </c>
      <c r="D1399" s="69">
        <f t="shared" si="128"/>
        <v>-14.7822</v>
      </c>
      <c r="E1399" s="70">
        <f t="shared" si="129"/>
        <v>-29.7822</v>
      </c>
      <c r="F1399" s="71">
        <f t="shared" si="130"/>
        <v>-0.21780000000000044</v>
      </c>
      <c r="G1399" s="72">
        <f t="shared" si="131"/>
        <v>14.7822</v>
      </c>
      <c r="H1399" s="73">
        <f t="shared" si="132"/>
        <v>29.7822</v>
      </c>
    </row>
    <row r="1400" spans="1:8" x14ac:dyDescent="0.25">
      <c r="A1400" s="26">
        <v>660</v>
      </c>
      <c r="B1400" s="25">
        <v>0.99282999999999999</v>
      </c>
      <c r="C1400" s="68">
        <f t="shared" si="127"/>
        <v>0.21509999999999962</v>
      </c>
      <c r="D1400" s="69">
        <f t="shared" si="128"/>
        <v>-14.7849</v>
      </c>
      <c r="E1400" s="70">
        <f t="shared" si="129"/>
        <v>-29.7849</v>
      </c>
      <c r="F1400" s="71">
        <f t="shared" si="130"/>
        <v>-0.21509999999999962</v>
      </c>
      <c r="G1400" s="72">
        <f t="shared" si="131"/>
        <v>14.7849</v>
      </c>
      <c r="H1400" s="73">
        <f t="shared" si="132"/>
        <v>29.7849</v>
      </c>
    </row>
    <row r="1401" spans="1:8" x14ac:dyDescent="0.25">
      <c r="A1401" s="26">
        <v>661</v>
      </c>
      <c r="B1401" s="25">
        <v>0.99292000000000002</v>
      </c>
      <c r="C1401" s="68">
        <f t="shared" si="127"/>
        <v>0.21239999999999881</v>
      </c>
      <c r="D1401" s="69">
        <f t="shared" si="128"/>
        <v>-14.787600000000001</v>
      </c>
      <c r="E1401" s="70">
        <f t="shared" si="129"/>
        <v>-29.787600000000001</v>
      </c>
      <c r="F1401" s="71">
        <f t="shared" si="130"/>
        <v>-0.21239999999999881</v>
      </c>
      <c r="G1401" s="72">
        <f t="shared" si="131"/>
        <v>14.787600000000001</v>
      </c>
      <c r="H1401" s="73">
        <f t="shared" si="132"/>
        <v>29.787600000000001</v>
      </c>
    </row>
    <row r="1402" spans="1:8" x14ac:dyDescent="0.25">
      <c r="A1402" s="26">
        <v>662</v>
      </c>
      <c r="B1402" s="25">
        <v>0.99302000000000001</v>
      </c>
      <c r="C1402" s="68">
        <f t="shared" si="127"/>
        <v>0.2093999999999987</v>
      </c>
      <c r="D1402" s="69">
        <f t="shared" si="128"/>
        <v>-14.790600000000001</v>
      </c>
      <c r="E1402" s="70">
        <f t="shared" si="129"/>
        <v>-29.790600000000001</v>
      </c>
      <c r="F1402" s="71">
        <f t="shared" si="130"/>
        <v>-0.2093999999999987</v>
      </c>
      <c r="G1402" s="72">
        <f t="shared" si="131"/>
        <v>14.790600000000001</v>
      </c>
      <c r="H1402" s="73">
        <f t="shared" si="132"/>
        <v>29.790600000000001</v>
      </c>
    </row>
    <row r="1403" spans="1:8" x14ac:dyDescent="0.25">
      <c r="A1403" s="26">
        <v>663</v>
      </c>
      <c r="B1403" s="25">
        <v>0.99311000000000005</v>
      </c>
      <c r="C1403" s="68">
        <f t="shared" si="127"/>
        <v>0.20669999999999789</v>
      </c>
      <c r="D1403" s="69">
        <f t="shared" si="128"/>
        <v>-14.793300000000002</v>
      </c>
      <c r="E1403" s="70">
        <f t="shared" si="129"/>
        <v>-29.793300000000002</v>
      </c>
      <c r="F1403" s="71">
        <f t="shared" si="130"/>
        <v>-0.20669999999999789</v>
      </c>
      <c r="G1403" s="72">
        <f t="shared" si="131"/>
        <v>14.793300000000002</v>
      </c>
      <c r="H1403" s="73">
        <f t="shared" si="132"/>
        <v>29.793300000000002</v>
      </c>
    </row>
    <row r="1404" spans="1:8" x14ac:dyDescent="0.25">
      <c r="A1404" s="26">
        <v>664</v>
      </c>
      <c r="B1404" s="25">
        <v>0.99321000000000004</v>
      </c>
      <c r="C1404" s="68">
        <f t="shared" si="127"/>
        <v>0.20369999999999777</v>
      </c>
      <c r="D1404" s="69">
        <f t="shared" si="128"/>
        <v>-14.796300000000002</v>
      </c>
      <c r="E1404" s="70">
        <f t="shared" si="129"/>
        <v>-29.796300000000002</v>
      </c>
      <c r="F1404" s="71">
        <f t="shared" si="130"/>
        <v>-0.20369999999999777</v>
      </c>
      <c r="G1404" s="72">
        <f t="shared" si="131"/>
        <v>14.796300000000002</v>
      </c>
      <c r="H1404" s="73">
        <f t="shared" si="132"/>
        <v>29.796300000000002</v>
      </c>
    </row>
    <row r="1405" spans="1:8" x14ac:dyDescent="0.25">
      <c r="A1405" s="26">
        <v>665</v>
      </c>
      <c r="B1405" s="25">
        <v>0.99329999999999996</v>
      </c>
      <c r="C1405" s="68">
        <f t="shared" si="127"/>
        <v>0.20100000000000051</v>
      </c>
      <c r="D1405" s="69">
        <f t="shared" si="128"/>
        <v>-14.798999999999999</v>
      </c>
      <c r="E1405" s="70">
        <f t="shared" si="129"/>
        <v>-29.798999999999999</v>
      </c>
      <c r="F1405" s="71">
        <f t="shared" si="130"/>
        <v>-0.20100000000000051</v>
      </c>
      <c r="G1405" s="72">
        <f t="shared" si="131"/>
        <v>14.798999999999999</v>
      </c>
      <c r="H1405" s="73">
        <f t="shared" si="132"/>
        <v>29.798999999999999</v>
      </c>
    </row>
    <row r="1406" spans="1:8" x14ac:dyDescent="0.25">
      <c r="A1406" s="26">
        <v>666</v>
      </c>
      <c r="B1406" s="25">
        <v>0.99339999999999995</v>
      </c>
      <c r="C1406" s="68">
        <f t="shared" si="127"/>
        <v>0.1980000000000004</v>
      </c>
      <c r="D1406" s="69">
        <f t="shared" si="128"/>
        <v>-14.802</v>
      </c>
      <c r="E1406" s="70">
        <f t="shared" si="129"/>
        <v>-29.802</v>
      </c>
      <c r="F1406" s="71">
        <f t="shared" si="130"/>
        <v>-0.1980000000000004</v>
      </c>
      <c r="G1406" s="72">
        <f t="shared" si="131"/>
        <v>14.802</v>
      </c>
      <c r="H1406" s="73">
        <f t="shared" si="132"/>
        <v>29.802</v>
      </c>
    </row>
    <row r="1407" spans="1:8" x14ac:dyDescent="0.25">
      <c r="A1407" s="26">
        <v>667</v>
      </c>
      <c r="B1407" s="25">
        <v>0.99348999999999998</v>
      </c>
      <c r="C1407" s="68">
        <f t="shared" si="127"/>
        <v>0.19529999999999959</v>
      </c>
      <c r="D1407" s="69">
        <f t="shared" si="128"/>
        <v>-14.8047</v>
      </c>
      <c r="E1407" s="70">
        <f t="shared" si="129"/>
        <v>-29.8047</v>
      </c>
      <c r="F1407" s="71">
        <f t="shared" si="130"/>
        <v>-0.19529999999999959</v>
      </c>
      <c r="G1407" s="72">
        <f t="shared" si="131"/>
        <v>14.8047</v>
      </c>
      <c r="H1407" s="73">
        <f t="shared" si="132"/>
        <v>29.8047</v>
      </c>
    </row>
    <row r="1408" spans="1:8" x14ac:dyDescent="0.25">
      <c r="A1408" s="26">
        <v>668</v>
      </c>
      <c r="B1408" s="25">
        <v>0.99358000000000002</v>
      </c>
      <c r="C1408" s="68">
        <f t="shared" si="127"/>
        <v>0.19259999999999877</v>
      </c>
      <c r="D1408" s="69">
        <f t="shared" si="128"/>
        <v>-14.807400000000001</v>
      </c>
      <c r="E1408" s="70">
        <f t="shared" si="129"/>
        <v>-29.807400000000001</v>
      </c>
      <c r="F1408" s="71">
        <f t="shared" si="130"/>
        <v>-0.19259999999999877</v>
      </c>
      <c r="G1408" s="72">
        <f t="shared" si="131"/>
        <v>14.807400000000001</v>
      </c>
      <c r="H1408" s="73">
        <f t="shared" si="132"/>
        <v>29.807400000000001</v>
      </c>
    </row>
    <row r="1409" spans="1:8" x14ac:dyDescent="0.25">
      <c r="A1409" s="26">
        <v>669</v>
      </c>
      <c r="B1409" s="25">
        <v>0.99368000000000001</v>
      </c>
      <c r="C1409" s="68">
        <f t="shared" si="127"/>
        <v>0.18959999999999866</v>
      </c>
      <c r="D1409" s="69">
        <f t="shared" si="128"/>
        <v>-14.810400000000001</v>
      </c>
      <c r="E1409" s="70">
        <f t="shared" si="129"/>
        <v>-29.810400000000001</v>
      </c>
      <c r="F1409" s="71">
        <f t="shared" si="130"/>
        <v>-0.18959999999999866</v>
      </c>
      <c r="G1409" s="72">
        <f t="shared" si="131"/>
        <v>14.810400000000001</v>
      </c>
      <c r="H1409" s="73">
        <f t="shared" si="132"/>
        <v>29.810400000000001</v>
      </c>
    </row>
    <row r="1410" spans="1:8" x14ac:dyDescent="0.25">
      <c r="A1410" s="26">
        <v>670</v>
      </c>
      <c r="B1410" s="25">
        <v>0.99377000000000004</v>
      </c>
      <c r="C1410" s="68">
        <f t="shared" si="127"/>
        <v>0.18689999999999785</v>
      </c>
      <c r="D1410" s="69">
        <f t="shared" si="128"/>
        <v>-14.813100000000002</v>
      </c>
      <c r="E1410" s="70">
        <f t="shared" si="129"/>
        <v>-29.813100000000002</v>
      </c>
      <c r="F1410" s="71">
        <f t="shared" si="130"/>
        <v>-0.18689999999999785</v>
      </c>
      <c r="G1410" s="72">
        <f t="shared" si="131"/>
        <v>14.813100000000002</v>
      </c>
      <c r="H1410" s="73">
        <f t="shared" si="132"/>
        <v>29.813100000000002</v>
      </c>
    </row>
    <row r="1411" spans="1:8" x14ac:dyDescent="0.25">
      <c r="A1411" s="26">
        <v>671</v>
      </c>
      <c r="B1411" s="25">
        <v>0.99387000000000003</v>
      </c>
      <c r="C1411" s="68">
        <f t="shared" si="127"/>
        <v>0.18389999999999773</v>
      </c>
      <c r="D1411" s="69">
        <f t="shared" si="128"/>
        <v>-14.816100000000002</v>
      </c>
      <c r="E1411" s="70">
        <f t="shared" si="129"/>
        <v>-29.816100000000002</v>
      </c>
      <c r="F1411" s="71">
        <f t="shared" si="130"/>
        <v>-0.18389999999999773</v>
      </c>
      <c r="G1411" s="72">
        <f t="shared" si="131"/>
        <v>14.816100000000002</v>
      </c>
      <c r="H1411" s="73">
        <f t="shared" si="132"/>
        <v>29.816100000000002</v>
      </c>
    </row>
    <row r="1412" spans="1:8" x14ac:dyDescent="0.25">
      <c r="A1412" s="26">
        <v>672</v>
      </c>
      <c r="B1412" s="25">
        <v>0.99395999999999995</v>
      </c>
      <c r="C1412" s="68">
        <f t="shared" si="127"/>
        <v>0.18120000000000047</v>
      </c>
      <c r="D1412" s="69">
        <f t="shared" si="128"/>
        <v>-14.8188</v>
      </c>
      <c r="E1412" s="70">
        <f t="shared" si="129"/>
        <v>-29.8188</v>
      </c>
      <c r="F1412" s="71">
        <f t="shared" si="130"/>
        <v>-0.18120000000000047</v>
      </c>
      <c r="G1412" s="72">
        <f t="shared" si="131"/>
        <v>14.8188</v>
      </c>
      <c r="H1412" s="73">
        <f t="shared" si="132"/>
        <v>29.8188</v>
      </c>
    </row>
    <row r="1413" spans="1:8" x14ac:dyDescent="0.25">
      <c r="A1413" s="26">
        <v>673</v>
      </c>
      <c r="B1413" s="25">
        <v>0.99406000000000005</v>
      </c>
      <c r="C1413" s="68">
        <f t="shared" si="127"/>
        <v>0.17819999999999681</v>
      </c>
      <c r="D1413" s="69">
        <f t="shared" si="128"/>
        <v>-14.821800000000003</v>
      </c>
      <c r="E1413" s="70">
        <f t="shared" si="129"/>
        <v>-29.821800000000003</v>
      </c>
      <c r="F1413" s="71">
        <f t="shared" si="130"/>
        <v>-0.17819999999999681</v>
      </c>
      <c r="G1413" s="72">
        <f t="shared" si="131"/>
        <v>14.821800000000003</v>
      </c>
      <c r="H1413" s="73">
        <f t="shared" si="132"/>
        <v>29.821800000000003</v>
      </c>
    </row>
    <row r="1414" spans="1:8" x14ac:dyDescent="0.25">
      <c r="A1414" s="26">
        <v>674</v>
      </c>
      <c r="B1414" s="25">
        <v>0.99414999999999998</v>
      </c>
      <c r="C1414" s="68">
        <f t="shared" si="127"/>
        <v>0.17549999999999955</v>
      </c>
      <c r="D1414" s="69">
        <f t="shared" si="128"/>
        <v>-14.8245</v>
      </c>
      <c r="E1414" s="70">
        <f t="shared" si="129"/>
        <v>-29.8245</v>
      </c>
      <c r="F1414" s="71">
        <f t="shared" si="130"/>
        <v>-0.17549999999999955</v>
      </c>
      <c r="G1414" s="72">
        <f t="shared" si="131"/>
        <v>14.8245</v>
      </c>
      <c r="H1414" s="73">
        <f t="shared" si="132"/>
        <v>29.8245</v>
      </c>
    </row>
    <row r="1415" spans="1:8" x14ac:dyDescent="0.25">
      <c r="A1415" s="26">
        <v>675</v>
      </c>
      <c r="B1415" s="25">
        <v>0.99424999999999997</v>
      </c>
      <c r="C1415" s="68">
        <f t="shared" ref="C1415:C1476" si="133">KFactor-KFactor*B1415</f>
        <v>0.17249999999999943</v>
      </c>
      <c r="D1415" s="69">
        <f t="shared" ref="D1415:D1476" si="134">KFactor/2-KFactor*B1415</f>
        <v>-14.827500000000001</v>
      </c>
      <c r="E1415" s="70">
        <f t="shared" ref="E1415:E1476" si="135">0-KFactor*B1415</f>
        <v>-29.827500000000001</v>
      </c>
      <c r="F1415" s="71">
        <f t="shared" ref="F1415:F1476" si="136">-C1415</f>
        <v>-0.17249999999999943</v>
      </c>
      <c r="G1415" s="72">
        <f t="shared" ref="G1415:G1476" si="137">-D1415</f>
        <v>14.827500000000001</v>
      </c>
      <c r="H1415" s="73">
        <f t="shared" ref="H1415:H1476" si="138">-E1415</f>
        <v>29.827500000000001</v>
      </c>
    </row>
    <row r="1416" spans="1:8" x14ac:dyDescent="0.25">
      <c r="A1416" s="26">
        <v>676</v>
      </c>
      <c r="B1416" s="25">
        <v>0.99434</v>
      </c>
      <c r="C1416" s="68">
        <f t="shared" si="133"/>
        <v>0.16979999999999862</v>
      </c>
      <c r="D1416" s="69">
        <f t="shared" si="134"/>
        <v>-14.830200000000001</v>
      </c>
      <c r="E1416" s="70">
        <f t="shared" si="135"/>
        <v>-29.830200000000001</v>
      </c>
      <c r="F1416" s="71">
        <f t="shared" si="136"/>
        <v>-0.16979999999999862</v>
      </c>
      <c r="G1416" s="72">
        <f t="shared" si="137"/>
        <v>14.830200000000001</v>
      </c>
      <c r="H1416" s="73">
        <f t="shared" si="138"/>
        <v>29.830200000000001</v>
      </c>
    </row>
    <row r="1417" spans="1:8" x14ac:dyDescent="0.25">
      <c r="A1417" s="26">
        <v>677</v>
      </c>
      <c r="B1417" s="25">
        <v>0.99443000000000004</v>
      </c>
      <c r="C1417" s="68">
        <f t="shared" si="133"/>
        <v>0.16709999999999781</v>
      </c>
      <c r="D1417" s="69">
        <f t="shared" si="134"/>
        <v>-14.832900000000002</v>
      </c>
      <c r="E1417" s="70">
        <f t="shared" si="135"/>
        <v>-29.832900000000002</v>
      </c>
      <c r="F1417" s="71">
        <f t="shared" si="136"/>
        <v>-0.16709999999999781</v>
      </c>
      <c r="G1417" s="72">
        <f t="shared" si="137"/>
        <v>14.832900000000002</v>
      </c>
      <c r="H1417" s="73">
        <f t="shared" si="138"/>
        <v>29.832900000000002</v>
      </c>
    </row>
    <row r="1418" spans="1:8" x14ac:dyDescent="0.25">
      <c r="A1418" s="26">
        <v>678</v>
      </c>
      <c r="B1418" s="25">
        <v>0.99453000000000003</v>
      </c>
      <c r="C1418" s="68">
        <f t="shared" si="133"/>
        <v>0.16409999999999769</v>
      </c>
      <c r="D1418" s="69">
        <f t="shared" si="134"/>
        <v>-14.835900000000002</v>
      </c>
      <c r="E1418" s="70">
        <f t="shared" si="135"/>
        <v>-29.835900000000002</v>
      </c>
      <c r="F1418" s="71">
        <f t="shared" si="136"/>
        <v>-0.16409999999999769</v>
      </c>
      <c r="G1418" s="72">
        <f t="shared" si="137"/>
        <v>14.835900000000002</v>
      </c>
      <c r="H1418" s="73">
        <f t="shared" si="138"/>
        <v>29.835900000000002</v>
      </c>
    </row>
    <row r="1419" spans="1:8" x14ac:dyDescent="0.25">
      <c r="A1419" s="26">
        <v>679</v>
      </c>
      <c r="B1419" s="25">
        <v>0.99461999999999995</v>
      </c>
      <c r="C1419" s="68">
        <f t="shared" si="133"/>
        <v>0.16140000000000043</v>
      </c>
      <c r="D1419" s="69">
        <f t="shared" si="134"/>
        <v>-14.8386</v>
      </c>
      <c r="E1419" s="70">
        <f t="shared" si="135"/>
        <v>-29.8386</v>
      </c>
      <c r="F1419" s="71">
        <f t="shared" si="136"/>
        <v>-0.16140000000000043</v>
      </c>
      <c r="G1419" s="72">
        <f t="shared" si="137"/>
        <v>14.8386</v>
      </c>
      <c r="H1419" s="73">
        <f t="shared" si="138"/>
        <v>29.8386</v>
      </c>
    </row>
    <row r="1420" spans="1:8" x14ac:dyDescent="0.25">
      <c r="A1420" s="26">
        <v>680</v>
      </c>
      <c r="B1420" s="25">
        <v>0.99472000000000005</v>
      </c>
      <c r="C1420" s="68">
        <f t="shared" si="133"/>
        <v>0.15840000000000032</v>
      </c>
      <c r="D1420" s="69">
        <f t="shared" si="134"/>
        <v>-14.8416</v>
      </c>
      <c r="E1420" s="70">
        <f t="shared" si="135"/>
        <v>-29.8416</v>
      </c>
      <c r="F1420" s="71">
        <f t="shared" si="136"/>
        <v>-0.15840000000000032</v>
      </c>
      <c r="G1420" s="72">
        <f t="shared" si="137"/>
        <v>14.8416</v>
      </c>
      <c r="H1420" s="73">
        <f t="shared" si="138"/>
        <v>29.8416</v>
      </c>
    </row>
    <row r="1421" spans="1:8" x14ac:dyDescent="0.25">
      <c r="A1421" s="26">
        <v>681</v>
      </c>
      <c r="B1421" s="25">
        <v>0.99480999999999997</v>
      </c>
      <c r="C1421" s="68">
        <f t="shared" si="133"/>
        <v>0.15569999999999951</v>
      </c>
      <c r="D1421" s="69">
        <f t="shared" si="134"/>
        <v>-14.8443</v>
      </c>
      <c r="E1421" s="70">
        <f t="shared" si="135"/>
        <v>-29.8443</v>
      </c>
      <c r="F1421" s="71">
        <f t="shared" si="136"/>
        <v>-0.15569999999999951</v>
      </c>
      <c r="G1421" s="72">
        <f t="shared" si="137"/>
        <v>14.8443</v>
      </c>
      <c r="H1421" s="73">
        <f t="shared" si="138"/>
        <v>29.8443</v>
      </c>
    </row>
    <row r="1422" spans="1:8" x14ac:dyDescent="0.25">
      <c r="A1422" s="26">
        <v>682</v>
      </c>
      <c r="B1422" s="25">
        <v>0.99490999999999996</v>
      </c>
      <c r="C1422" s="68">
        <f t="shared" si="133"/>
        <v>0.15270000000000294</v>
      </c>
      <c r="D1422" s="69">
        <f t="shared" si="134"/>
        <v>-14.847299999999997</v>
      </c>
      <c r="E1422" s="70">
        <f t="shared" si="135"/>
        <v>-29.847299999999997</v>
      </c>
      <c r="F1422" s="71">
        <f t="shared" si="136"/>
        <v>-0.15270000000000294</v>
      </c>
      <c r="G1422" s="72">
        <f t="shared" si="137"/>
        <v>14.847299999999997</v>
      </c>
      <c r="H1422" s="73">
        <f t="shared" si="138"/>
        <v>29.847299999999997</v>
      </c>
    </row>
    <row r="1423" spans="1:8" x14ac:dyDescent="0.25">
      <c r="A1423" s="26">
        <v>683</v>
      </c>
      <c r="B1423" s="25">
        <v>0.995</v>
      </c>
      <c r="C1423" s="68">
        <f t="shared" si="133"/>
        <v>0.14999999999999858</v>
      </c>
      <c r="D1423" s="69">
        <f t="shared" si="134"/>
        <v>-14.850000000000001</v>
      </c>
      <c r="E1423" s="70">
        <f t="shared" si="135"/>
        <v>-29.85</v>
      </c>
      <c r="F1423" s="71">
        <f t="shared" si="136"/>
        <v>-0.14999999999999858</v>
      </c>
      <c r="G1423" s="72">
        <f t="shared" si="137"/>
        <v>14.850000000000001</v>
      </c>
      <c r="H1423" s="73">
        <f t="shared" si="138"/>
        <v>29.85</v>
      </c>
    </row>
    <row r="1424" spans="1:8" x14ac:dyDescent="0.25">
      <c r="A1424" s="26">
        <v>684</v>
      </c>
      <c r="B1424" s="25">
        <v>0.99509000000000003</v>
      </c>
      <c r="C1424" s="68">
        <f t="shared" si="133"/>
        <v>0.14729999999999777</v>
      </c>
      <c r="D1424" s="69">
        <f t="shared" si="134"/>
        <v>-14.852700000000002</v>
      </c>
      <c r="E1424" s="70">
        <f t="shared" si="135"/>
        <v>-29.852700000000002</v>
      </c>
      <c r="F1424" s="71">
        <f t="shared" si="136"/>
        <v>-0.14729999999999777</v>
      </c>
      <c r="G1424" s="72">
        <f t="shared" si="137"/>
        <v>14.852700000000002</v>
      </c>
      <c r="H1424" s="73">
        <f t="shared" si="138"/>
        <v>29.852700000000002</v>
      </c>
    </row>
    <row r="1425" spans="1:8" x14ac:dyDescent="0.25">
      <c r="A1425" s="26">
        <v>685</v>
      </c>
      <c r="B1425" s="25">
        <v>0.99519000000000002</v>
      </c>
      <c r="C1425" s="68">
        <f t="shared" si="133"/>
        <v>0.14430000000000121</v>
      </c>
      <c r="D1425" s="69">
        <f t="shared" si="134"/>
        <v>-14.855699999999999</v>
      </c>
      <c r="E1425" s="70">
        <f t="shared" si="135"/>
        <v>-29.855699999999999</v>
      </c>
      <c r="F1425" s="71">
        <f t="shared" si="136"/>
        <v>-0.14430000000000121</v>
      </c>
      <c r="G1425" s="72">
        <f t="shared" si="137"/>
        <v>14.855699999999999</v>
      </c>
      <c r="H1425" s="73">
        <f t="shared" si="138"/>
        <v>29.855699999999999</v>
      </c>
    </row>
    <row r="1426" spans="1:8" x14ac:dyDescent="0.25">
      <c r="A1426" s="26">
        <v>686</v>
      </c>
      <c r="B1426" s="25">
        <v>0.99528000000000005</v>
      </c>
      <c r="C1426" s="68">
        <f t="shared" si="133"/>
        <v>0.14159999999999684</v>
      </c>
      <c r="D1426" s="69">
        <f t="shared" si="134"/>
        <v>-14.858400000000003</v>
      </c>
      <c r="E1426" s="70">
        <f t="shared" si="135"/>
        <v>-29.858400000000003</v>
      </c>
      <c r="F1426" s="71">
        <f t="shared" si="136"/>
        <v>-0.14159999999999684</v>
      </c>
      <c r="G1426" s="72">
        <f t="shared" si="137"/>
        <v>14.858400000000003</v>
      </c>
      <c r="H1426" s="73">
        <f t="shared" si="138"/>
        <v>29.858400000000003</v>
      </c>
    </row>
    <row r="1427" spans="1:8" x14ac:dyDescent="0.25">
      <c r="A1427" s="26">
        <v>687</v>
      </c>
      <c r="B1427" s="25">
        <v>0.99538000000000004</v>
      </c>
      <c r="C1427" s="68">
        <f t="shared" si="133"/>
        <v>0.13860000000000028</v>
      </c>
      <c r="D1427" s="69">
        <f t="shared" si="134"/>
        <v>-14.8614</v>
      </c>
      <c r="E1427" s="70">
        <f t="shared" si="135"/>
        <v>-29.8614</v>
      </c>
      <c r="F1427" s="71">
        <f t="shared" si="136"/>
        <v>-0.13860000000000028</v>
      </c>
      <c r="G1427" s="72">
        <f t="shared" si="137"/>
        <v>14.8614</v>
      </c>
      <c r="H1427" s="73">
        <f t="shared" si="138"/>
        <v>29.8614</v>
      </c>
    </row>
    <row r="1428" spans="1:8" x14ac:dyDescent="0.25">
      <c r="A1428" s="26">
        <v>688</v>
      </c>
      <c r="B1428" s="25">
        <v>0.99546999999999997</v>
      </c>
      <c r="C1428" s="68">
        <f t="shared" si="133"/>
        <v>0.13589999999999947</v>
      </c>
      <c r="D1428" s="69">
        <f t="shared" si="134"/>
        <v>-14.864100000000001</v>
      </c>
      <c r="E1428" s="70">
        <f t="shared" si="135"/>
        <v>-29.864100000000001</v>
      </c>
      <c r="F1428" s="71">
        <f t="shared" si="136"/>
        <v>-0.13589999999999947</v>
      </c>
      <c r="G1428" s="72">
        <f t="shared" si="137"/>
        <v>14.864100000000001</v>
      </c>
      <c r="H1428" s="73">
        <f t="shared" si="138"/>
        <v>29.864100000000001</v>
      </c>
    </row>
    <row r="1429" spans="1:8" x14ac:dyDescent="0.25">
      <c r="A1429" s="26">
        <v>689</v>
      </c>
      <c r="B1429" s="25">
        <v>0.99556999999999995</v>
      </c>
      <c r="C1429" s="68">
        <f t="shared" si="133"/>
        <v>0.1329000000000029</v>
      </c>
      <c r="D1429" s="69">
        <f t="shared" si="134"/>
        <v>-14.867099999999997</v>
      </c>
      <c r="E1429" s="70">
        <f t="shared" si="135"/>
        <v>-29.867099999999997</v>
      </c>
      <c r="F1429" s="71">
        <f t="shared" si="136"/>
        <v>-0.1329000000000029</v>
      </c>
      <c r="G1429" s="72">
        <f t="shared" si="137"/>
        <v>14.867099999999997</v>
      </c>
      <c r="H1429" s="73">
        <f t="shared" si="138"/>
        <v>29.867099999999997</v>
      </c>
    </row>
    <row r="1430" spans="1:8" x14ac:dyDescent="0.25">
      <c r="A1430" s="26">
        <v>690</v>
      </c>
      <c r="B1430" s="25">
        <v>0.99565999999999999</v>
      </c>
      <c r="C1430" s="68">
        <f t="shared" si="133"/>
        <v>0.13020000000000209</v>
      </c>
      <c r="D1430" s="69">
        <f t="shared" si="134"/>
        <v>-14.869799999999998</v>
      </c>
      <c r="E1430" s="70">
        <f t="shared" si="135"/>
        <v>-29.869799999999998</v>
      </c>
      <c r="F1430" s="71">
        <f t="shared" si="136"/>
        <v>-0.13020000000000209</v>
      </c>
      <c r="G1430" s="72">
        <f t="shared" si="137"/>
        <v>14.869799999999998</v>
      </c>
      <c r="H1430" s="73">
        <f t="shared" si="138"/>
        <v>29.869799999999998</v>
      </c>
    </row>
    <row r="1431" spans="1:8" x14ac:dyDescent="0.25">
      <c r="A1431" s="26">
        <v>691</v>
      </c>
      <c r="B1431" s="25">
        <v>0.99575000000000002</v>
      </c>
      <c r="C1431" s="68">
        <f t="shared" si="133"/>
        <v>0.12749999999999773</v>
      </c>
      <c r="D1431" s="69">
        <f t="shared" si="134"/>
        <v>-14.872500000000002</v>
      </c>
      <c r="E1431" s="70">
        <f t="shared" si="135"/>
        <v>-29.872500000000002</v>
      </c>
      <c r="F1431" s="71">
        <f t="shared" si="136"/>
        <v>-0.12749999999999773</v>
      </c>
      <c r="G1431" s="72">
        <f t="shared" si="137"/>
        <v>14.872500000000002</v>
      </c>
      <c r="H1431" s="73">
        <f t="shared" si="138"/>
        <v>29.872500000000002</v>
      </c>
    </row>
    <row r="1432" spans="1:8" x14ac:dyDescent="0.25">
      <c r="A1432" s="26">
        <v>692</v>
      </c>
      <c r="B1432" s="25">
        <v>0.99585000000000001</v>
      </c>
      <c r="C1432" s="68">
        <f t="shared" si="133"/>
        <v>0.12450000000000117</v>
      </c>
      <c r="D1432" s="69">
        <f t="shared" si="134"/>
        <v>-14.875499999999999</v>
      </c>
      <c r="E1432" s="70">
        <f t="shared" si="135"/>
        <v>-29.875499999999999</v>
      </c>
      <c r="F1432" s="71">
        <f t="shared" si="136"/>
        <v>-0.12450000000000117</v>
      </c>
      <c r="G1432" s="72">
        <f t="shared" si="137"/>
        <v>14.875499999999999</v>
      </c>
      <c r="H1432" s="73">
        <f t="shared" si="138"/>
        <v>29.875499999999999</v>
      </c>
    </row>
    <row r="1433" spans="1:8" x14ac:dyDescent="0.25">
      <c r="A1433" s="26">
        <v>693</v>
      </c>
      <c r="B1433" s="25">
        <v>0.99594000000000005</v>
      </c>
      <c r="C1433" s="68">
        <f t="shared" si="133"/>
        <v>0.12180000000000035</v>
      </c>
      <c r="D1433" s="69">
        <f t="shared" si="134"/>
        <v>-14.8782</v>
      </c>
      <c r="E1433" s="70">
        <f t="shared" si="135"/>
        <v>-29.8782</v>
      </c>
      <c r="F1433" s="71">
        <f t="shared" si="136"/>
        <v>-0.12180000000000035</v>
      </c>
      <c r="G1433" s="72">
        <f t="shared" si="137"/>
        <v>14.8782</v>
      </c>
      <c r="H1433" s="73">
        <f t="shared" si="138"/>
        <v>29.8782</v>
      </c>
    </row>
    <row r="1434" spans="1:8" x14ac:dyDescent="0.25">
      <c r="A1434" s="26">
        <v>694</v>
      </c>
      <c r="B1434" s="25">
        <v>0.99604000000000004</v>
      </c>
      <c r="C1434" s="68">
        <f t="shared" si="133"/>
        <v>0.11880000000000024</v>
      </c>
      <c r="D1434" s="69">
        <f t="shared" si="134"/>
        <v>-14.8812</v>
      </c>
      <c r="E1434" s="70">
        <f t="shared" si="135"/>
        <v>-29.8812</v>
      </c>
      <c r="F1434" s="71">
        <f t="shared" si="136"/>
        <v>-0.11880000000000024</v>
      </c>
      <c r="G1434" s="72">
        <f t="shared" si="137"/>
        <v>14.8812</v>
      </c>
      <c r="H1434" s="73">
        <f t="shared" si="138"/>
        <v>29.8812</v>
      </c>
    </row>
    <row r="1435" spans="1:8" x14ac:dyDescent="0.25">
      <c r="A1435" s="26">
        <v>695</v>
      </c>
      <c r="B1435" s="25">
        <v>0.99612999999999996</v>
      </c>
      <c r="C1435" s="68">
        <f t="shared" si="133"/>
        <v>0.11610000000000298</v>
      </c>
      <c r="D1435" s="69">
        <f t="shared" si="134"/>
        <v>-14.883899999999997</v>
      </c>
      <c r="E1435" s="70">
        <f t="shared" si="135"/>
        <v>-29.883899999999997</v>
      </c>
      <c r="F1435" s="71">
        <f t="shared" si="136"/>
        <v>-0.11610000000000298</v>
      </c>
      <c r="G1435" s="72">
        <f t="shared" si="137"/>
        <v>14.883899999999997</v>
      </c>
      <c r="H1435" s="73">
        <f t="shared" si="138"/>
        <v>29.883899999999997</v>
      </c>
    </row>
    <row r="1436" spans="1:8" x14ac:dyDescent="0.25">
      <c r="A1436" s="26">
        <v>696</v>
      </c>
      <c r="B1436" s="25">
        <v>0.99622999999999995</v>
      </c>
      <c r="C1436" s="68">
        <f t="shared" si="133"/>
        <v>0.11310000000000286</v>
      </c>
      <c r="D1436" s="69">
        <f t="shared" si="134"/>
        <v>-14.886899999999997</v>
      </c>
      <c r="E1436" s="70">
        <f t="shared" si="135"/>
        <v>-29.886899999999997</v>
      </c>
      <c r="F1436" s="71">
        <f t="shared" si="136"/>
        <v>-0.11310000000000286</v>
      </c>
      <c r="G1436" s="72">
        <f t="shared" si="137"/>
        <v>14.886899999999997</v>
      </c>
      <c r="H1436" s="73">
        <f t="shared" si="138"/>
        <v>29.886899999999997</v>
      </c>
    </row>
    <row r="1437" spans="1:8" x14ac:dyDescent="0.25">
      <c r="A1437" s="26">
        <v>697</v>
      </c>
      <c r="B1437" s="25">
        <v>0.99631999999999998</v>
      </c>
      <c r="C1437" s="68">
        <f t="shared" si="133"/>
        <v>0.11040000000000205</v>
      </c>
      <c r="D1437" s="69">
        <f t="shared" si="134"/>
        <v>-14.889599999999998</v>
      </c>
      <c r="E1437" s="70">
        <f t="shared" si="135"/>
        <v>-29.889599999999998</v>
      </c>
      <c r="F1437" s="71">
        <f t="shared" si="136"/>
        <v>-0.11040000000000205</v>
      </c>
      <c r="G1437" s="72">
        <f t="shared" si="137"/>
        <v>14.889599999999998</v>
      </c>
      <c r="H1437" s="73">
        <f t="shared" si="138"/>
        <v>29.889599999999998</v>
      </c>
    </row>
    <row r="1438" spans="1:8" x14ac:dyDescent="0.25">
      <c r="A1438" s="26">
        <v>698</v>
      </c>
      <c r="B1438" s="25">
        <v>0.99641999999999997</v>
      </c>
      <c r="C1438" s="68">
        <f t="shared" si="133"/>
        <v>0.10740000000000194</v>
      </c>
      <c r="D1438" s="69">
        <f t="shared" si="134"/>
        <v>-14.892599999999998</v>
      </c>
      <c r="E1438" s="70">
        <f t="shared" si="135"/>
        <v>-29.892599999999998</v>
      </c>
      <c r="F1438" s="71">
        <f t="shared" si="136"/>
        <v>-0.10740000000000194</v>
      </c>
      <c r="G1438" s="72">
        <f t="shared" si="137"/>
        <v>14.892599999999998</v>
      </c>
      <c r="H1438" s="73">
        <f t="shared" si="138"/>
        <v>29.892599999999998</v>
      </c>
    </row>
    <row r="1439" spans="1:8" x14ac:dyDescent="0.25">
      <c r="A1439" s="26">
        <v>699</v>
      </c>
      <c r="B1439" s="25">
        <v>0.99651000000000001</v>
      </c>
      <c r="C1439" s="68">
        <f t="shared" si="133"/>
        <v>0.10470000000000113</v>
      </c>
      <c r="D1439" s="69">
        <f t="shared" si="134"/>
        <v>-14.895299999999999</v>
      </c>
      <c r="E1439" s="70">
        <f t="shared" si="135"/>
        <v>-29.895299999999999</v>
      </c>
      <c r="F1439" s="71">
        <f t="shared" si="136"/>
        <v>-0.10470000000000113</v>
      </c>
      <c r="G1439" s="72">
        <f t="shared" si="137"/>
        <v>14.895299999999999</v>
      </c>
      <c r="H1439" s="73">
        <f t="shared" si="138"/>
        <v>29.895299999999999</v>
      </c>
    </row>
    <row r="1440" spans="1:8" x14ac:dyDescent="0.25">
      <c r="A1440" s="26">
        <v>700</v>
      </c>
      <c r="B1440" s="25">
        <v>0.99660000000000004</v>
      </c>
      <c r="C1440" s="68">
        <f t="shared" si="133"/>
        <v>0.10200000000000031</v>
      </c>
      <c r="D1440" s="69">
        <f t="shared" si="134"/>
        <v>-14.898</v>
      </c>
      <c r="E1440" s="70">
        <f t="shared" si="135"/>
        <v>-29.898</v>
      </c>
      <c r="F1440" s="71">
        <f t="shared" si="136"/>
        <v>-0.10200000000000031</v>
      </c>
      <c r="G1440" s="72">
        <f t="shared" si="137"/>
        <v>14.898</v>
      </c>
      <c r="H1440" s="73">
        <f t="shared" si="138"/>
        <v>29.898</v>
      </c>
    </row>
    <row r="1441" spans="1:8" x14ac:dyDescent="0.25">
      <c r="A1441" s="26">
        <v>701</v>
      </c>
      <c r="B1441" s="25">
        <v>0.99670000000000003</v>
      </c>
      <c r="C1441" s="68">
        <f t="shared" si="133"/>
        <v>9.9000000000000199E-2</v>
      </c>
      <c r="D1441" s="69">
        <f t="shared" si="134"/>
        <v>-14.901</v>
      </c>
      <c r="E1441" s="70">
        <f t="shared" si="135"/>
        <v>-29.901</v>
      </c>
      <c r="F1441" s="71">
        <f t="shared" si="136"/>
        <v>-9.9000000000000199E-2</v>
      </c>
      <c r="G1441" s="72">
        <f t="shared" si="137"/>
        <v>14.901</v>
      </c>
      <c r="H1441" s="73">
        <f t="shared" si="138"/>
        <v>29.901</v>
      </c>
    </row>
    <row r="1442" spans="1:8" x14ac:dyDescent="0.25">
      <c r="A1442" s="26">
        <v>702</v>
      </c>
      <c r="B1442" s="25">
        <v>0.99678999999999995</v>
      </c>
      <c r="C1442" s="68">
        <f t="shared" si="133"/>
        <v>9.6300000000002939E-2</v>
      </c>
      <c r="D1442" s="69">
        <f t="shared" si="134"/>
        <v>-14.903699999999997</v>
      </c>
      <c r="E1442" s="70">
        <f t="shared" si="135"/>
        <v>-29.903699999999997</v>
      </c>
      <c r="F1442" s="71">
        <f t="shared" si="136"/>
        <v>-9.6300000000002939E-2</v>
      </c>
      <c r="G1442" s="72">
        <f t="shared" si="137"/>
        <v>14.903699999999997</v>
      </c>
      <c r="H1442" s="73">
        <f t="shared" si="138"/>
        <v>29.903699999999997</v>
      </c>
    </row>
    <row r="1443" spans="1:8" x14ac:dyDescent="0.25">
      <c r="A1443" s="26">
        <v>703</v>
      </c>
      <c r="B1443" s="25">
        <v>0.99689000000000005</v>
      </c>
      <c r="C1443" s="68">
        <f t="shared" si="133"/>
        <v>9.3299999999999272E-2</v>
      </c>
      <c r="D1443" s="69">
        <f t="shared" si="134"/>
        <v>-14.906700000000001</v>
      </c>
      <c r="E1443" s="70">
        <f t="shared" si="135"/>
        <v>-29.906700000000001</v>
      </c>
      <c r="F1443" s="71">
        <f t="shared" si="136"/>
        <v>-9.3299999999999272E-2</v>
      </c>
      <c r="G1443" s="72">
        <f t="shared" si="137"/>
        <v>14.906700000000001</v>
      </c>
      <c r="H1443" s="73">
        <f t="shared" si="138"/>
        <v>29.906700000000001</v>
      </c>
    </row>
    <row r="1444" spans="1:8" x14ac:dyDescent="0.25">
      <c r="A1444" s="26">
        <v>704</v>
      </c>
      <c r="B1444" s="25">
        <v>0.99697999999999998</v>
      </c>
      <c r="C1444" s="68">
        <f t="shared" si="133"/>
        <v>9.0600000000002012E-2</v>
      </c>
      <c r="D1444" s="69">
        <f t="shared" si="134"/>
        <v>-14.909399999999998</v>
      </c>
      <c r="E1444" s="70">
        <f t="shared" si="135"/>
        <v>-29.909399999999998</v>
      </c>
      <c r="F1444" s="71">
        <f t="shared" si="136"/>
        <v>-9.0600000000002012E-2</v>
      </c>
      <c r="G1444" s="72">
        <f t="shared" si="137"/>
        <v>14.909399999999998</v>
      </c>
      <c r="H1444" s="73">
        <f t="shared" si="138"/>
        <v>29.909399999999998</v>
      </c>
    </row>
    <row r="1445" spans="1:8" x14ac:dyDescent="0.25">
      <c r="A1445" s="26">
        <v>705</v>
      </c>
      <c r="B1445" s="25">
        <v>0.99707999999999997</v>
      </c>
      <c r="C1445" s="68">
        <f t="shared" si="133"/>
        <v>8.7600000000001899E-2</v>
      </c>
      <c r="D1445" s="69">
        <f t="shared" si="134"/>
        <v>-14.912399999999998</v>
      </c>
      <c r="E1445" s="70">
        <f t="shared" si="135"/>
        <v>-29.912399999999998</v>
      </c>
      <c r="F1445" s="71">
        <f t="shared" si="136"/>
        <v>-8.7600000000001899E-2</v>
      </c>
      <c r="G1445" s="72">
        <f t="shared" si="137"/>
        <v>14.912399999999998</v>
      </c>
      <c r="H1445" s="73">
        <f t="shared" si="138"/>
        <v>29.912399999999998</v>
      </c>
    </row>
    <row r="1446" spans="1:8" x14ac:dyDescent="0.25">
      <c r="A1446" s="26">
        <v>706</v>
      </c>
      <c r="B1446" s="25">
        <v>0.99717</v>
      </c>
      <c r="C1446" s="68">
        <f t="shared" si="133"/>
        <v>8.4900000000001086E-2</v>
      </c>
      <c r="D1446" s="69">
        <f t="shared" si="134"/>
        <v>-14.915099999999999</v>
      </c>
      <c r="E1446" s="70">
        <f t="shared" si="135"/>
        <v>-29.915099999999999</v>
      </c>
      <c r="F1446" s="71">
        <f t="shared" si="136"/>
        <v>-8.4900000000001086E-2</v>
      </c>
      <c r="G1446" s="72">
        <f t="shared" si="137"/>
        <v>14.915099999999999</v>
      </c>
      <c r="H1446" s="73">
        <f t="shared" si="138"/>
        <v>29.915099999999999</v>
      </c>
    </row>
    <row r="1447" spans="1:8" x14ac:dyDescent="0.25">
      <c r="A1447" s="26">
        <v>707</v>
      </c>
      <c r="B1447" s="25">
        <v>0.99726000000000004</v>
      </c>
      <c r="C1447" s="68">
        <f t="shared" si="133"/>
        <v>8.2200000000000273E-2</v>
      </c>
      <c r="D1447" s="69">
        <f t="shared" si="134"/>
        <v>-14.9178</v>
      </c>
      <c r="E1447" s="70">
        <f t="shared" si="135"/>
        <v>-29.9178</v>
      </c>
      <c r="F1447" s="71">
        <f t="shared" si="136"/>
        <v>-8.2200000000000273E-2</v>
      </c>
      <c r="G1447" s="72">
        <f t="shared" si="137"/>
        <v>14.9178</v>
      </c>
      <c r="H1447" s="73">
        <f t="shared" si="138"/>
        <v>29.9178</v>
      </c>
    </row>
    <row r="1448" spans="1:8" x14ac:dyDescent="0.25">
      <c r="A1448" s="26">
        <v>708</v>
      </c>
      <c r="B1448" s="25">
        <v>0.99736000000000002</v>
      </c>
      <c r="C1448" s="68">
        <f t="shared" si="133"/>
        <v>7.9200000000000159E-2</v>
      </c>
      <c r="D1448" s="69">
        <f t="shared" si="134"/>
        <v>-14.9208</v>
      </c>
      <c r="E1448" s="70">
        <f t="shared" si="135"/>
        <v>-29.9208</v>
      </c>
      <c r="F1448" s="71">
        <f t="shared" si="136"/>
        <v>-7.9200000000000159E-2</v>
      </c>
      <c r="G1448" s="72">
        <f t="shared" si="137"/>
        <v>14.9208</v>
      </c>
      <c r="H1448" s="73">
        <f t="shared" si="138"/>
        <v>29.9208</v>
      </c>
    </row>
    <row r="1449" spans="1:8" x14ac:dyDescent="0.25">
      <c r="A1449" s="26">
        <v>709</v>
      </c>
      <c r="B1449" s="25">
        <v>0.99744999999999995</v>
      </c>
      <c r="C1449" s="68">
        <f t="shared" si="133"/>
        <v>7.6500000000002899E-2</v>
      </c>
      <c r="D1449" s="69">
        <f t="shared" si="134"/>
        <v>-14.923499999999997</v>
      </c>
      <c r="E1449" s="70">
        <f t="shared" si="135"/>
        <v>-29.923499999999997</v>
      </c>
      <c r="F1449" s="71">
        <f t="shared" si="136"/>
        <v>-7.6500000000002899E-2</v>
      </c>
      <c r="G1449" s="72">
        <f t="shared" si="137"/>
        <v>14.923499999999997</v>
      </c>
      <c r="H1449" s="73">
        <f t="shared" si="138"/>
        <v>29.923499999999997</v>
      </c>
    </row>
    <row r="1450" spans="1:8" x14ac:dyDescent="0.25">
      <c r="A1450" s="26">
        <v>710</v>
      </c>
      <c r="B1450" s="25">
        <v>0.99755000000000005</v>
      </c>
      <c r="C1450" s="68">
        <f t="shared" si="133"/>
        <v>7.3499999999999233E-2</v>
      </c>
      <c r="D1450" s="69">
        <f t="shared" si="134"/>
        <v>-14.926500000000001</v>
      </c>
      <c r="E1450" s="70">
        <f t="shared" si="135"/>
        <v>-29.926500000000001</v>
      </c>
      <c r="F1450" s="71">
        <f t="shared" si="136"/>
        <v>-7.3499999999999233E-2</v>
      </c>
      <c r="G1450" s="72">
        <f t="shared" si="137"/>
        <v>14.926500000000001</v>
      </c>
      <c r="H1450" s="73">
        <f t="shared" si="138"/>
        <v>29.926500000000001</v>
      </c>
    </row>
    <row r="1451" spans="1:8" x14ac:dyDescent="0.25">
      <c r="A1451" s="26">
        <v>711</v>
      </c>
      <c r="B1451" s="25">
        <v>0.99763999999999997</v>
      </c>
      <c r="C1451" s="68">
        <f t="shared" si="133"/>
        <v>7.0800000000001972E-2</v>
      </c>
      <c r="D1451" s="69">
        <f t="shared" si="134"/>
        <v>-14.929199999999998</v>
      </c>
      <c r="E1451" s="70">
        <f t="shared" si="135"/>
        <v>-29.929199999999998</v>
      </c>
      <c r="F1451" s="71">
        <f t="shared" si="136"/>
        <v>-7.0800000000001972E-2</v>
      </c>
      <c r="G1451" s="72">
        <f t="shared" si="137"/>
        <v>14.929199999999998</v>
      </c>
      <c r="H1451" s="73">
        <f t="shared" si="138"/>
        <v>29.929199999999998</v>
      </c>
    </row>
    <row r="1452" spans="1:8" x14ac:dyDescent="0.25">
      <c r="A1452" s="26">
        <v>712</v>
      </c>
      <c r="B1452" s="25">
        <v>0.99773999999999996</v>
      </c>
      <c r="C1452" s="68">
        <f t="shared" si="133"/>
        <v>6.7800000000001859E-2</v>
      </c>
      <c r="D1452" s="69">
        <f t="shared" si="134"/>
        <v>-14.932199999999998</v>
      </c>
      <c r="E1452" s="70">
        <f t="shared" si="135"/>
        <v>-29.932199999999998</v>
      </c>
      <c r="F1452" s="71">
        <f t="shared" si="136"/>
        <v>-6.7800000000001859E-2</v>
      </c>
      <c r="G1452" s="72">
        <f t="shared" si="137"/>
        <v>14.932199999999998</v>
      </c>
      <c r="H1452" s="73">
        <f t="shared" si="138"/>
        <v>29.932199999999998</v>
      </c>
    </row>
    <row r="1453" spans="1:8" x14ac:dyDescent="0.25">
      <c r="A1453" s="26">
        <v>713</v>
      </c>
      <c r="B1453" s="25">
        <v>0.99782999999999999</v>
      </c>
      <c r="C1453" s="68">
        <f t="shared" si="133"/>
        <v>6.5100000000001046E-2</v>
      </c>
      <c r="D1453" s="69">
        <f t="shared" si="134"/>
        <v>-14.934899999999999</v>
      </c>
      <c r="E1453" s="70">
        <f t="shared" si="135"/>
        <v>-29.934899999999999</v>
      </c>
      <c r="F1453" s="71">
        <f t="shared" si="136"/>
        <v>-6.5100000000001046E-2</v>
      </c>
      <c r="G1453" s="72">
        <f t="shared" si="137"/>
        <v>14.934899999999999</v>
      </c>
      <c r="H1453" s="73">
        <f t="shared" si="138"/>
        <v>29.934899999999999</v>
      </c>
    </row>
    <row r="1454" spans="1:8" x14ac:dyDescent="0.25">
      <c r="A1454" s="26">
        <v>714</v>
      </c>
      <c r="B1454" s="25">
        <v>0.99792000000000003</v>
      </c>
      <c r="C1454" s="68">
        <f t="shared" si="133"/>
        <v>6.2400000000000233E-2</v>
      </c>
      <c r="D1454" s="69">
        <f t="shared" si="134"/>
        <v>-14.9376</v>
      </c>
      <c r="E1454" s="70">
        <f t="shared" si="135"/>
        <v>-29.9376</v>
      </c>
      <c r="F1454" s="71">
        <f t="shared" si="136"/>
        <v>-6.2400000000000233E-2</v>
      </c>
      <c r="G1454" s="72">
        <f t="shared" si="137"/>
        <v>14.9376</v>
      </c>
      <c r="H1454" s="73">
        <f t="shared" si="138"/>
        <v>29.9376</v>
      </c>
    </row>
    <row r="1455" spans="1:8" x14ac:dyDescent="0.25">
      <c r="A1455" s="26">
        <v>715</v>
      </c>
      <c r="B1455" s="25">
        <v>0.99802000000000002</v>
      </c>
      <c r="C1455" s="68">
        <f t="shared" si="133"/>
        <v>5.9400000000000119E-2</v>
      </c>
      <c r="D1455" s="69">
        <f t="shared" si="134"/>
        <v>-14.9406</v>
      </c>
      <c r="E1455" s="70">
        <f t="shared" si="135"/>
        <v>-29.9406</v>
      </c>
      <c r="F1455" s="71">
        <f t="shared" si="136"/>
        <v>-5.9400000000000119E-2</v>
      </c>
      <c r="G1455" s="72">
        <f t="shared" si="137"/>
        <v>14.9406</v>
      </c>
      <c r="H1455" s="73">
        <f t="shared" si="138"/>
        <v>29.9406</v>
      </c>
    </row>
    <row r="1456" spans="1:8" x14ac:dyDescent="0.25">
      <c r="A1456" s="26">
        <v>716</v>
      </c>
      <c r="B1456" s="25">
        <v>0.99811000000000005</v>
      </c>
      <c r="C1456" s="68">
        <f t="shared" si="133"/>
        <v>5.6699999999999307E-2</v>
      </c>
      <c r="D1456" s="69">
        <f t="shared" si="134"/>
        <v>-14.943300000000001</v>
      </c>
      <c r="E1456" s="70">
        <f t="shared" si="135"/>
        <v>-29.943300000000001</v>
      </c>
      <c r="F1456" s="71">
        <f t="shared" si="136"/>
        <v>-5.6699999999999307E-2</v>
      </c>
      <c r="G1456" s="72">
        <f t="shared" si="137"/>
        <v>14.943300000000001</v>
      </c>
      <c r="H1456" s="73">
        <f t="shared" si="138"/>
        <v>29.943300000000001</v>
      </c>
    </row>
    <row r="1457" spans="1:8" x14ac:dyDescent="0.25">
      <c r="A1457" s="26">
        <v>717</v>
      </c>
      <c r="B1457" s="25">
        <v>0.99821000000000004</v>
      </c>
      <c r="C1457" s="68">
        <f t="shared" si="133"/>
        <v>5.3699999999999193E-2</v>
      </c>
      <c r="D1457" s="69">
        <f t="shared" si="134"/>
        <v>-14.946300000000001</v>
      </c>
      <c r="E1457" s="70">
        <f t="shared" si="135"/>
        <v>-29.946300000000001</v>
      </c>
      <c r="F1457" s="71">
        <f t="shared" si="136"/>
        <v>-5.3699999999999193E-2</v>
      </c>
      <c r="G1457" s="72">
        <f t="shared" si="137"/>
        <v>14.946300000000001</v>
      </c>
      <c r="H1457" s="73">
        <f t="shared" si="138"/>
        <v>29.946300000000001</v>
      </c>
    </row>
    <row r="1458" spans="1:8" x14ac:dyDescent="0.25">
      <c r="A1458" s="26">
        <v>718</v>
      </c>
      <c r="B1458" s="25">
        <v>0.99829999999999997</v>
      </c>
      <c r="C1458" s="68">
        <f t="shared" si="133"/>
        <v>5.1000000000001933E-2</v>
      </c>
      <c r="D1458" s="69">
        <f t="shared" si="134"/>
        <v>-14.948999999999998</v>
      </c>
      <c r="E1458" s="70">
        <f t="shared" si="135"/>
        <v>-29.948999999999998</v>
      </c>
      <c r="F1458" s="71">
        <f t="shared" si="136"/>
        <v>-5.1000000000001933E-2</v>
      </c>
      <c r="G1458" s="72">
        <f t="shared" si="137"/>
        <v>14.948999999999998</v>
      </c>
      <c r="H1458" s="73">
        <f t="shared" si="138"/>
        <v>29.948999999999998</v>
      </c>
    </row>
    <row r="1459" spans="1:8" x14ac:dyDescent="0.25">
      <c r="A1459" s="26">
        <v>719</v>
      </c>
      <c r="B1459" s="25">
        <v>0.99839999999999995</v>
      </c>
      <c r="C1459" s="68">
        <f t="shared" si="133"/>
        <v>4.8000000000001819E-2</v>
      </c>
      <c r="D1459" s="69">
        <f t="shared" si="134"/>
        <v>-14.951999999999998</v>
      </c>
      <c r="E1459" s="70">
        <f t="shared" si="135"/>
        <v>-29.951999999999998</v>
      </c>
      <c r="F1459" s="71">
        <f t="shared" si="136"/>
        <v>-4.8000000000001819E-2</v>
      </c>
      <c r="G1459" s="72">
        <f t="shared" si="137"/>
        <v>14.951999999999998</v>
      </c>
      <c r="H1459" s="73">
        <f t="shared" si="138"/>
        <v>29.951999999999998</v>
      </c>
    </row>
    <row r="1460" spans="1:8" x14ac:dyDescent="0.25">
      <c r="A1460" s="26">
        <v>720</v>
      </c>
      <c r="B1460" s="25">
        <v>0.99848999999999999</v>
      </c>
      <c r="C1460" s="68">
        <f t="shared" si="133"/>
        <v>4.5300000000001006E-2</v>
      </c>
      <c r="D1460" s="69">
        <f t="shared" si="134"/>
        <v>-14.954699999999999</v>
      </c>
      <c r="E1460" s="70">
        <f t="shared" si="135"/>
        <v>-29.954699999999999</v>
      </c>
      <c r="F1460" s="71">
        <f t="shared" si="136"/>
        <v>-4.5300000000001006E-2</v>
      </c>
      <c r="G1460" s="72">
        <f t="shared" si="137"/>
        <v>14.954699999999999</v>
      </c>
      <c r="H1460" s="73">
        <f t="shared" si="138"/>
        <v>29.954699999999999</v>
      </c>
    </row>
    <row r="1461" spans="1:8" x14ac:dyDescent="0.25">
      <c r="A1461" s="26">
        <v>721</v>
      </c>
      <c r="B1461" s="25">
        <v>0.99858000000000002</v>
      </c>
      <c r="C1461" s="68">
        <f t="shared" si="133"/>
        <v>4.2600000000000193E-2</v>
      </c>
      <c r="D1461" s="69">
        <f t="shared" si="134"/>
        <v>-14.9574</v>
      </c>
      <c r="E1461" s="70">
        <f t="shared" si="135"/>
        <v>-29.9574</v>
      </c>
      <c r="F1461" s="71">
        <f t="shared" si="136"/>
        <v>-4.2600000000000193E-2</v>
      </c>
      <c r="G1461" s="72">
        <f t="shared" si="137"/>
        <v>14.9574</v>
      </c>
      <c r="H1461" s="73">
        <f t="shared" si="138"/>
        <v>29.9574</v>
      </c>
    </row>
    <row r="1462" spans="1:8" x14ac:dyDescent="0.25">
      <c r="A1462" s="26">
        <v>722</v>
      </c>
      <c r="B1462" s="25">
        <v>0.99868000000000001</v>
      </c>
      <c r="C1462" s="68">
        <f t="shared" si="133"/>
        <v>3.960000000000008E-2</v>
      </c>
      <c r="D1462" s="69">
        <f t="shared" si="134"/>
        <v>-14.9604</v>
      </c>
      <c r="E1462" s="70">
        <f t="shared" si="135"/>
        <v>-29.9604</v>
      </c>
      <c r="F1462" s="71">
        <f t="shared" si="136"/>
        <v>-3.960000000000008E-2</v>
      </c>
      <c r="G1462" s="72">
        <f t="shared" si="137"/>
        <v>14.9604</v>
      </c>
      <c r="H1462" s="73">
        <f t="shared" si="138"/>
        <v>29.9604</v>
      </c>
    </row>
    <row r="1463" spans="1:8" x14ac:dyDescent="0.25">
      <c r="A1463" s="26">
        <v>723</v>
      </c>
      <c r="B1463" s="25">
        <v>0.99877000000000005</v>
      </c>
      <c r="C1463" s="68">
        <f t="shared" si="133"/>
        <v>3.6899999999999267E-2</v>
      </c>
      <c r="D1463" s="69">
        <f t="shared" si="134"/>
        <v>-14.963100000000001</v>
      </c>
      <c r="E1463" s="70">
        <f t="shared" si="135"/>
        <v>-29.963100000000001</v>
      </c>
      <c r="F1463" s="71">
        <f t="shared" si="136"/>
        <v>-3.6899999999999267E-2</v>
      </c>
      <c r="G1463" s="72">
        <f t="shared" si="137"/>
        <v>14.963100000000001</v>
      </c>
      <c r="H1463" s="73">
        <f t="shared" si="138"/>
        <v>29.963100000000001</v>
      </c>
    </row>
    <row r="1464" spans="1:8" x14ac:dyDescent="0.25">
      <c r="A1464" s="26">
        <v>724</v>
      </c>
      <c r="B1464" s="25">
        <v>0.99887000000000004</v>
      </c>
      <c r="C1464" s="68">
        <f t="shared" si="133"/>
        <v>3.3899999999999153E-2</v>
      </c>
      <c r="D1464" s="69">
        <f t="shared" si="134"/>
        <v>-14.966100000000001</v>
      </c>
      <c r="E1464" s="70">
        <f t="shared" si="135"/>
        <v>-29.966100000000001</v>
      </c>
      <c r="F1464" s="71">
        <f t="shared" si="136"/>
        <v>-3.3899999999999153E-2</v>
      </c>
      <c r="G1464" s="72">
        <f t="shared" si="137"/>
        <v>14.966100000000001</v>
      </c>
      <c r="H1464" s="73">
        <f t="shared" si="138"/>
        <v>29.966100000000001</v>
      </c>
    </row>
    <row r="1465" spans="1:8" x14ac:dyDescent="0.25">
      <c r="A1465" s="26">
        <v>725</v>
      </c>
      <c r="B1465" s="25">
        <v>0.99895999999999996</v>
      </c>
      <c r="C1465" s="68">
        <f t="shared" si="133"/>
        <v>3.1200000000001893E-2</v>
      </c>
      <c r="D1465" s="69">
        <f t="shared" si="134"/>
        <v>-14.968799999999998</v>
      </c>
      <c r="E1465" s="70">
        <f t="shared" si="135"/>
        <v>-29.968799999999998</v>
      </c>
      <c r="F1465" s="71">
        <f t="shared" si="136"/>
        <v>-3.1200000000001893E-2</v>
      </c>
      <c r="G1465" s="72">
        <f t="shared" si="137"/>
        <v>14.968799999999998</v>
      </c>
      <c r="H1465" s="73">
        <f t="shared" si="138"/>
        <v>29.968799999999998</v>
      </c>
    </row>
    <row r="1466" spans="1:8" x14ac:dyDescent="0.25">
      <c r="A1466" s="26">
        <v>726</v>
      </c>
      <c r="B1466" s="25">
        <v>0.99905999999999995</v>
      </c>
      <c r="C1466" s="68">
        <f t="shared" si="133"/>
        <v>2.8200000000001779E-2</v>
      </c>
      <c r="D1466" s="69">
        <f t="shared" si="134"/>
        <v>-14.971799999999998</v>
      </c>
      <c r="E1466" s="70">
        <f t="shared" si="135"/>
        <v>-29.971799999999998</v>
      </c>
      <c r="F1466" s="71">
        <f t="shared" si="136"/>
        <v>-2.8200000000001779E-2</v>
      </c>
      <c r="G1466" s="72">
        <f t="shared" si="137"/>
        <v>14.971799999999998</v>
      </c>
      <c r="H1466" s="73">
        <f t="shared" si="138"/>
        <v>29.971799999999998</v>
      </c>
    </row>
    <row r="1467" spans="1:8" x14ac:dyDescent="0.25">
      <c r="A1467" s="26">
        <v>727</v>
      </c>
      <c r="B1467" s="25">
        <v>0.99914999999999998</v>
      </c>
      <c r="C1467" s="68">
        <f t="shared" si="133"/>
        <v>2.5500000000000966E-2</v>
      </c>
      <c r="D1467" s="69">
        <f t="shared" si="134"/>
        <v>-14.974499999999999</v>
      </c>
      <c r="E1467" s="70">
        <f t="shared" si="135"/>
        <v>-29.974499999999999</v>
      </c>
      <c r="F1467" s="71">
        <f t="shared" si="136"/>
        <v>-2.5500000000000966E-2</v>
      </c>
      <c r="G1467" s="72">
        <f t="shared" si="137"/>
        <v>14.974499999999999</v>
      </c>
      <c r="H1467" s="73">
        <f t="shared" si="138"/>
        <v>29.974499999999999</v>
      </c>
    </row>
    <row r="1468" spans="1:8" x14ac:dyDescent="0.25">
      <c r="A1468" s="26">
        <v>728</v>
      </c>
      <c r="B1468" s="25">
        <v>0.99924999999999997</v>
      </c>
      <c r="C1468" s="68">
        <f t="shared" si="133"/>
        <v>2.2500000000000853E-2</v>
      </c>
      <c r="D1468" s="69">
        <f t="shared" si="134"/>
        <v>-14.977499999999999</v>
      </c>
      <c r="E1468" s="70">
        <f t="shared" si="135"/>
        <v>-29.977499999999999</v>
      </c>
      <c r="F1468" s="71">
        <f t="shared" si="136"/>
        <v>-2.2500000000000853E-2</v>
      </c>
      <c r="G1468" s="72">
        <f t="shared" si="137"/>
        <v>14.977499999999999</v>
      </c>
      <c r="H1468" s="73">
        <f t="shared" si="138"/>
        <v>29.977499999999999</v>
      </c>
    </row>
    <row r="1469" spans="1:8" x14ac:dyDescent="0.25">
      <c r="A1469" s="26">
        <v>729</v>
      </c>
      <c r="B1469" s="25">
        <v>0.99934000000000001</v>
      </c>
      <c r="C1469" s="68">
        <f t="shared" si="133"/>
        <v>1.980000000000004E-2</v>
      </c>
      <c r="D1469" s="69">
        <f t="shared" si="134"/>
        <v>-14.9802</v>
      </c>
      <c r="E1469" s="70">
        <f t="shared" si="135"/>
        <v>-29.9802</v>
      </c>
      <c r="F1469" s="71">
        <f t="shared" si="136"/>
        <v>-1.980000000000004E-2</v>
      </c>
      <c r="G1469" s="72">
        <f t="shared" si="137"/>
        <v>14.9802</v>
      </c>
      <c r="H1469" s="73">
        <f t="shared" si="138"/>
        <v>29.9802</v>
      </c>
    </row>
    <row r="1470" spans="1:8" x14ac:dyDescent="0.25">
      <c r="A1470" s="26">
        <v>730</v>
      </c>
      <c r="B1470" s="25">
        <v>0.99943000000000004</v>
      </c>
      <c r="C1470" s="68">
        <f t="shared" si="133"/>
        <v>1.7099999999999227E-2</v>
      </c>
      <c r="D1470" s="69">
        <f t="shared" si="134"/>
        <v>-14.982900000000001</v>
      </c>
      <c r="E1470" s="70">
        <f t="shared" si="135"/>
        <v>-29.982900000000001</v>
      </c>
      <c r="F1470" s="71">
        <f t="shared" si="136"/>
        <v>-1.7099999999999227E-2</v>
      </c>
      <c r="G1470" s="72">
        <f t="shared" si="137"/>
        <v>14.982900000000001</v>
      </c>
      <c r="H1470" s="73">
        <f t="shared" si="138"/>
        <v>29.982900000000001</v>
      </c>
    </row>
    <row r="1471" spans="1:8" x14ac:dyDescent="0.25">
      <c r="A1471" s="26">
        <v>731</v>
      </c>
      <c r="B1471" s="25">
        <v>0.99953000000000003</v>
      </c>
      <c r="C1471" s="68">
        <f t="shared" si="133"/>
        <v>1.4099999999999113E-2</v>
      </c>
      <c r="D1471" s="69">
        <f t="shared" si="134"/>
        <v>-14.985900000000001</v>
      </c>
      <c r="E1471" s="70">
        <f t="shared" si="135"/>
        <v>-29.985900000000001</v>
      </c>
      <c r="F1471" s="71">
        <f t="shared" si="136"/>
        <v>-1.4099999999999113E-2</v>
      </c>
      <c r="G1471" s="72">
        <f t="shared" si="137"/>
        <v>14.985900000000001</v>
      </c>
      <c r="H1471" s="73">
        <f t="shared" si="138"/>
        <v>29.985900000000001</v>
      </c>
    </row>
    <row r="1472" spans="1:8" x14ac:dyDescent="0.25">
      <c r="A1472" s="26">
        <v>732</v>
      </c>
      <c r="B1472" s="25">
        <v>0.99961999999999995</v>
      </c>
      <c r="C1472" s="68">
        <f t="shared" si="133"/>
        <v>1.1400000000001853E-2</v>
      </c>
      <c r="D1472" s="69">
        <f t="shared" si="134"/>
        <v>-14.988599999999998</v>
      </c>
      <c r="E1472" s="70">
        <f t="shared" si="135"/>
        <v>-29.988599999999998</v>
      </c>
      <c r="F1472" s="71">
        <f t="shared" si="136"/>
        <v>-1.1400000000001853E-2</v>
      </c>
      <c r="G1472" s="72">
        <f t="shared" si="137"/>
        <v>14.988599999999998</v>
      </c>
      <c r="H1472" s="73">
        <f t="shared" si="138"/>
        <v>29.988599999999998</v>
      </c>
    </row>
    <row r="1473" spans="1:8" x14ac:dyDescent="0.25">
      <c r="A1473" s="26">
        <v>733</v>
      </c>
      <c r="B1473" s="25">
        <v>0.99972000000000005</v>
      </c>
      <c r="C1473" s="68">
        <f t="shared" si="133"/>
        <v>8.3999999999981867E-3</v>
      </c>
      <c r="D1473" s="69">
        <f t="shared" si="134"/>
        <v>-14.991600000000002</v>
      </c>
      <c r="E1473" s="70">
        <f t="shared" si="135"/>
        <v>-29.991600000000002</v>
      </c>
      <c r="F1473" s="71">
        <f t="shared" si="136"/>
        <v>-8.3999999999981867E-3</v>
      </c>
      <c r="G1473" s="72">
        <f t="shared" si="137"/>
        <v>14.991600000000002</v>
      </c>
      <c r="H1473" s="73">
        <f t="shared" si="138"/>
        <v>29.991600000000002</v>
      </c>
    </row>
    <row r="1474" spans="1:8" x14ac:dyDescent="0.25">
      <c r="A1474" s="26">
        <v>734</v>
      </c>
      <c r="B1474" s="25">
        <v>0.99980999999999998</v>
      </c>
      <c r="C1474" s="68">
        <f t="shared" si="133"/>
        <v>5.7000000000009265E-3</v>
      </c>
      <c r="D1474" s="69">
        <f t="shared" si="134"/>
        <v>-14.994299999999999</v>
      </c>
      <c r="E1474" s="70">
        <f t="shared" si="135"/>
        <v>-29.994299999999999</v>
      </c>
      <c r="F1474" s="71">
        <f t="shared" si="136"/>
        <v>-5.7000000000009265E-3</v>
      </c>
      <c r="G1474" s="72">
        <f t="shared" si="137"/>
        <v>14.994299999999999</v>
      </c>
      <c r="H1474" s="73">
        <f t="shared" si="138"/>
        <v>29.994299999999999</v>
      </c>
    </row>
    <row r="1475" spans="1:8" x14ac:dyDescent="0.25">
      <c r="A1475" s="26">
        <v>735</v>
      </c>
      <c r="B1475" s="25">
        <v>0.99990999999999997</v>
      </c>
      <c r="C1475" s="68">
        <f t="shared" si="133"/>
        <v>2.7000000000008129E-3</v>
      </c>
      <c r="D1475" s="69">
        <f t="shared" si="134"/>
        <v>-14.997299999999999</v>
      </c>
      <c r="E1475" s="70">
        <f t="shared" si="135"/>
        <v>-29.997299999999999</v>
      </c>
      <c r="F1475" s="71">
        <f t="shared" si="136"/>
        <v>-2.7000000000008129E-3</v>
      </c>
      <c r="G1475" s="72">
        <f t="shared" si="137"/>
        <v>14.997299999999999</v>
      </c>
      <c r="H1475" s="73">
        <f t="shared" si="138"/>
        <v>29.997299999999999</v>
      </c>
    </row>
    <row r="1476" spans="1:8" x14ac:dyDescent="0.25">
      <c r="A1476" s="28">
        <v>736</v>
      </c>
      <c r="B1476" s="29">
        <v>1</v>
      </c>
      <c r="C1476" s="81">
        <f t="shared" si="133"/>
        <v>0</v>
      </c>
      <c r="D1476" s="82">
        <f t="shared" si="134"/>
        <v>-15</v>
      </c>
      <c r="E1476" s="83">
        <f t="shared" si="135"/>
        <v>-30</v>
      </c>
      <c r="F1476" s="84">
        <f t="shared" si="136"/>
        <v>0</v>
      </c>
      <c r="G1476" s="85">
        <f t="shared" si="137"/>
        <v>15</v>
      </c>
      <c r="H1476" s="86">
        <f t="shared" si="138"/>
        <v>30</v>
      </c>
    </row>
  </sheetData>
  <sheetProtection sheet="1" selectLockedCells="1"/>
  <mergeCells count="2">
    <mergeCell ref="C1:E1"/>
    <mergeCell ref="F1:H1"/>
  </mergeCells>
  <pageMargins left="0.7" right="0.7" top="0.75" bottom="0.75" header="0.3" footer="0.3"/>
  <pageSetup paperSize="9" orientation="portrait" verticalDpi="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80FB4-7E22-4804-AFA2-6C8799E47001}">
  <dimension ref="A1:J496"/>
  <sheetViews>
    <sheetView workbookViewId="0">
      <selection activeCell="J3" sqref="J3"/>
    </sheetView>
  </sheetViews>
  <sheetFormatPr defaultRowHeight="15" x14ac:dyDescent="0.25"/>
  <cols>
    <col min="1" max="16384" width="9.140625" style="104"/>
  </cols>
  <sheetData>
    <row r="1" spans="1:10" s="246" customFormat="1" x14ac:dyDescent="0.25">
      <c r="A1" s="247" t="s">
        <v>679</v>
      </c>
      <c r="B1" s="247"/>
      <c r="C1" s="247" t="s">
        <v>680</v>
      </c>
      <c r="D1" s="247" t="s">
        <v>681</v>
      </c>
      <c r="E1" s="247" t="s">
        <v>682</v>
      </c>
      <c r="F1" s="247" t="s">
        <v>683</v>
      </c>
      <c r="G1" s="247" t="s">
        <v>684</v>
      </c>
      <c r="H1" s="247" t="s">
        <v>685</v>
      </c>
      <c r="I1" s="247" t="s">
        <v>686</v>
      </c>
      <c r="J1" s="247" t="s">
        <v>687</v>
      </c>
    </row>
    <row r="2" spans="1:10" x14ac:dyDescent="0.25">
      <c r="A2" s="245">
        <v>1</v>
      </c>
      <c r="B2" s="245" t="s">
        <v>688</v>
      </c>
      <c r="C2" s="245" t="s">
        <v>689</v>
      </c>
      <c r="D2" s="245" t="s">
        <v>690</v>
      </c>
      <c r="E2" s="245" t="s">
        <v>691</v>
      </c>
      <c r="F2" s="245" t="s">
        <v>692</v>
      </c>
      <c r="G2" s="245" t="s">
        <v>693</v>
      </c>
      <c r="H2" s="245" t="s">
        <v>694</v>
      </c>
      <c r="I2" s="245" t="s">
        <v>695</v>
      </c>
      <c r="J2" s="245" t="s">
        <v>696</v>
      </c>
    </row>
    <row r="3" spans="1:10" x14ac:dyDescent="0.25">
      <c r="A3" s="245">
        <v>2</v>
      </c>
      <c r="B3" s="245" t="s">
        <v>697</v>
      </c>
      <c r="C3" s="245" t="s">
        <v>693</v>
      </c>
      <c r="D3" s="245" t="s">
        <v>694</v>
      </c>
      <c r="E3" s="245" t="s">
        <v>691</v>
      </c>
      <c r="F3" s="245" t="s">
        <v>698</v>
      </c>
      <c r="G3" s="245" t="s">
        <v>690</v>
      </c>
      <c r="H3" s="245" t="s">
        <v>692</v>
      </c>
      <c r="I3" s="245" t="s">
        <v>695</v>
      </c>
      <c r="J3" s="245" t="s">
        <v>696</v>
      </c>
    </row>
    <row r="4" spans="1:10" x14ac:dyDescent="0.25">
      <c r="A4" s="245">
        <v>3</v>
      </c>
      <c r="B4" s="245" t="s">
        <v>699</v>
      </c>
      <c r="C4" s="245" t="s">
        <v>689</v>
      </c>
      <c r="D4" s="245" t="s">
        <v>690</v>
      </c>
      <c r="E4" s="245" t="s">
        <v>691</v>
      </c>
      <c r="F4" s="245" t="s">
        <v>698</v>
      </c>
      <c r="G4" s="245" t="s">
        <v>693</v>
      </c>
      <c r="H4" s="245" t="s">
        <v>694</v>
      </c>
      <c r="I4" s="245" t="s">
        <v>695</v>
      </c>
      <c r="J4" s="245" t="s">
        <v>696</v>
      </c>
    </row>
    <row r="5" spans="1:10" x14ac:dyDescent="0.25">
      <c r="A5" s="245">
        <v>4</v>
      </c>
      <c r="B5" s="245" t="s">
        <v>700</v>
      </c>
      <c r="C5" s="245" t="s">
        <v>689</v>
      </c>
      <c r="D5" s="245" t="s">
        <v>690</v>
      </c>
      <c r="E5" s="245" t="s">
        <v>691</v>
      </c>
      <c r="F5" s="245" t="s">
        <v>698</v>
      </c>
      <c r="G5" s="245" t="s">
        <v>693</v>
      </c>
      <c r="H5" s="245" t="s">
        <v>692</v>
      </c>
      <c r="I5" s="245" t="s">
        <v>695</v>
      </c>
      <c r="J5" s="245" t="s">
        <v>696</v>
      </c>
    </row>
    <row r="6" spans="1:10" x14ac:dyDescent="0.25">
      <c r="A6" s="245">
        <v>5</v>
      </c>
      <c r="B6" s="245" t="s">
        <v>701</v>
      </c>
      <c r="C6" s="245" t="s">
        <v>689</v>
      </c>
      <c r="D6" s="245" t="s">
        <v>694</v>
      </c>
      <c r="E6" s="245" t="s">
        <v>691</v>
      </c>
      <c r="F6" s="245" t="s">
        <v>698</v>
      </c>
      <c r="G6" s="245" t="s">
        <v>690</v>
      </c>
      <c r="H6" s="245" t="s">
        <v>692</v>
      </c>
      <c r="I6" s="245" t="s">
        <v>695</v>
      </c>
      <c r="J6" s="245" t="s">
        <v>696</v>
      </c>
    </row>
    <row r="7" spans="1:10" x14ac:dyDescent="0.25">
      <c r="A7" s="245">
        <v>6</v>
      </c>
      <c r="B7" s="245" t="s">
        <v>702</v>
      </c>
      <c r="C7" s="245" t="s">
        <v>689</v>
      </c>
      <c r="D7" s="245" t="s">
        <v>694</v>
      </c>
      <c r="E7" s="245" t="s">
        <v>690</v>
      </c>
      <c r="F7" s="245" t="s">
        <v>698</v>
      </c>
      <c r="G7" s="245" t="s">
        <v>693</v>
      </c>
      <c r="H7" s="245" t="s">
        <v>692</v>
      </c>
      <c r="I7" s="245" t="s">
        <v>695</v>
      </c>
      <c r="J7" s="245" t="s">
        <v>696</v>
      </c>
    </row>
    <row r="8" spans="1:10" x14ac:dyDescent="0.25">
      <c r="A8" s="245">
        <v>7</v>
      </c>
      <c r="B8" s="245" t="s">
        <v>703</v>
      </c>
      <c r="C8" s="245" t="s">
        <v>689</v>
      </c>
      <c r="D8" s="245" t="s">
        <v>694</v>
      </c>
      <c r="E8" s="245" t="s">
        <v>691</v>
      </c>
      <c r="F8" s="245" t="s">
        <v>698</v>
      </c>
      <c r="G8" s="245" t="s">
        <v>693</v>
      </c>
      <c r="H8" s="245" t="s">
        <v>692</v>
      </c>
      <c r="I8" s="245" t="s">
        <v>695</v>
      </c>
      <c r="J8" s="245" t="s">
        <v>696</v>
      </c>
    </row>
    <row r="9" spans="1:10" x14ac:dyDescent="0.25">
      <c r="A9" s="245">
        <v>8</v>
      </c>
      <c r="B9" s="245" t="s">
        <v>704</v>
      </c>
      <c r="C9" s="245" t="s">
        <v>689</v>
      </c>
      <c r="D9" s="245" t="s">
        <v>694</v>
      </c>
      <c r="E9" s="245" t="s">
        <v>690</v>
      </c>
      <c r="F9" s="245" t="s">
        <v>698</v>
      </c>
      <c r="G9" s="245" t="s">
        <v>693</v>
      </c>
      <c r="H9" s="245" t="s">
        <v>692</v>
      </c>
      <c r="I9" s="245" t="s">
        <v>695</v>
      </c>
      <c r="J9" s="245" t="s">
        <v>691</v>
      </c>
    </row>
    <row r="10" spans="1:10" x14ac:dyDescent="0.25">
      <c r="A10" s="245">
        <v>9</v>
      </c>
      <c r="B10" s="245" t="s">
        <v>705</v>
      </c>
      <c r="C10" s="245" t="s">
        <v>689</v>
      </c>
      <c r="D10" s="245" t="s">
        <v>694</v>
      </c>
      <c r="E10" s="245" t="s">
        <v>690</v>
      </c>
      <c r="F10" s="245" t="s">
        <v>698</v>
      </c>
      <c r="G10" s="245" t="s">
        <v>693</v>
      </c>
      <c r="H10" s="245" t="s">
        <v>692</v>
      </c>
      <c r="I10" s="245" t="s">
        <v>691</v>
      </c>
      <c r="J10" s="245" t="s">
        <v>696</v>
      </c>
    </row>
    <row r="11" spans="1:10" x14ac:dyDescent="0.25">
      <c r="A11" s="245">
        <v>10</v>
      </c>
      <c r="B11" s="245" t="s">
        <v>706</v>
      </c>
      <c r="C11" s="245" t="s">
        <v>693</v>
      </c>
      <c r="D11" s="245" t="s">
        <v>694</v>
      </c>
      <c r="E11" s="245" t="s">
        <v>691</v>
      </c>
      <c r="F11" s="245" t="s">
        <v>707</v>
      </c>
      <c r="G11" s="245" t="s">
        <v>690</v>
      </c>
      <c r="H11" s="245" t="s">
        <v>692</v>
      </c>
      <c r="I11" s="245" t="s">
        <v>695</v>
      </c>
      <c r="J11" s="245" t="s">
        <v>696</v>
      </c>
    </row>
    <row r="12" spans="1:10" x14ac:dyDescent="0.25">
      <c r="A12" s="245">
        <v>11</v>
      </c>
      <c r="B12" s="245" t="s">
        <v>708</v>
      </c>
      <c r="C12" s="245" t="s">
        <v>689</v>
      </c>
      <c r="D12" s="245" t="s">
        <v>690</v>
      </c>
      <c r="E12" s="245" t="s">
        <v>691</v>
      </c>
      <c r="F12" s="245" t="s">
        <v>707</v>
      </c>
      <c r="G12" s="245" t="s">
        <v>693</v>
      </c>
      <c r="H12" s="245" t="s">
        <v>694</v>
      </c>
      <c r="I12" s="245" t="s">
        <v>695</v>
      </c>
      <c r="J12" s="245" t="s">
        <v>696</v>
      </c>
    </row>
    <row r="13" spans="1:10" x14ac:dyDescent="0.25">
      <c r="A13" s="245">
        <v>12</v>
      </c>
      <c r="B13" s="245" t="s">
        <v>709</v>
      </c>
      <c r="C13" s="245" t="s">
        <v>689</v>
      </c>
      <c r="D13" s="245" t="s">
        <v>690</v>
      </c>
      <c r="E13" s="245" t="s">
        <v>691</v>
      </c>
      <c r="F13" s="245" t="s">
        <v>707</v>
      </c>
      <c r="G13" s="245" t="s">
        <v>693</v>
      </c>
      <c r="H13" s="245" t="s">
        <v>692</v>
      </c>
      <c r="I13" s="245" t="s">
        <v>695</v>
      </c>
      <c r="J13" s="245" t="s">
        <v>696</v>
      </c>
    </row>
    <row r="14" spans="1:10" x14ac:dyDescent="0.25">
      <c r="A14" s="245">
        <v>13</v>
      </c>
      <c r="B14" s="245" t="s">
        <v>710</v>
      </c>
      <c r="C14" s="245" t="s">
        <v>689</v>
      </c>
      <c r="D14" s="245" t="s">
        <v>694</v>
      </c>
      <c r="E14" s="245" t="s">
        <v>691</v>
      </c>
      <c r="F14" s="245" t="s">
        <v>707</v>
      </c>
      <c r="G14" s="245" t="s">
        <v>690</v>
      </c>
      <c r="H14" s="245" t="s">
        <v>692</v>
      </c>
      <c r="I14" s="245" t="s">
        <v>695</v>
      </c>
      <c r="J14" s="245" t="s">
        <v>696</v>
      </c>
    </row>
    <row r="15" spans="1:10" x14ac:dyDescent="0.25">
      <c r="A15" s="245">
        <v>14</v>
      </c>
      <c r="B15" s="245" t="s">
        <v>711</v>
      </c>
      <c r="C15" s="245" t="s">
        <v>689</v>
      </c>
      <c r="D15" s="245" t="s">
        <v>694</v>
      </c>
      <c r="E15" s="245" t="s">
        <v>690</v>
      </c>
      <c r="F15" s="245" t="s">
        <v>707</v>
      </c>
      <c r="G15" s="245" t="s">
        <v>693</v>
      </c>
      <c r="H15" s="245" t="s">
        <v>692</v>
      </c>
      <c r="I15" s="245" t="s">
        <v>695</v>
      </c>
      <c r="J15" s="245" t="s">
        <v>696</v>
      </c>
    </row>
    <row r="16" spans="1:10" x14ac:dyDescent="0.25">
      <c r="A16" s="245">
        <v>15</v>
      </c>
      <c r="B16" s="245" t="s">
        <v>712</v>
      </c>
      <c r="C16" s="245" t="s">
        <v>689</v>
      </c>
      <c r="D16" s="245" t="s">
        <v>694</v>
      </c>
      <c r="E16" s="245" t="s">
        <v>691</v>
      </c>
      <c r="F16" s="245" t="s">
        <v>707</v>
      </c>
      <c r="G16" s="245" t="s">
        <v>693</v>
      </c>
      <c r="H16" s="245" t="s">
        <v>692</v>
      </c>
      <c r="I16" s="245" t="s">
        <v>695</v>
      </c>
      <c r="J16" s="245" t="s">
        <v>696</v>
      </c>
    </row>
    <row r="17" spans="1:10" x14ac:dyDescent="0.25">
      <c r="A17" s="245">
        <v>16</v>
      </c>
      <c r="B17" s="245" t="s">
        <v>713</v>
      </c>
      <c r="C17" s="245" t="s">
        <v>689</v>
      </c>
      <c r="D17" s="245" t="s">
        <v>694</v>
      </c>
      <c r="E17" s="245" t="s">
        <v>690</v>
      </c>
      <c r="F17" s="245" t="s">
        <v>707</v>
      </c>
      <c r="G17" s="245" t="s">
        <v>693</v>
      </c>
      <c r="H17" s="245" t="s">
        <v>692</v>
      </c>
      <c r="I17" s="245" t="s">
        <v>695</v>
      </c>
      <c r="J17" s="245" t="s">
        <v>691</v>
      </c>
    </row>
    <row r="18" spans="1:10" x14ac:dyDescent="0.25">
      <c r="A18" s="245">
        <v>17</v>
      </c>
      <c r="B18" s="245" t="s">
        <v>714</v>
      </c>
      <c r="C18" s="245" t="s">
        <v>689</v>
      </c>
      <c r="D18" s="245" t="s">
        <v>694</v>
      </c>
      <c r="E18" s="245" t="s">
        <v>690</v>
      </c>
      <c r="F18" s="245" t="s">
        <v>707</v>
      </c>
      <c r="G18" s="245" t="s">
        <v>693</v>
      </c>
      <c r="H18" s="245" t="s">
        <v>692</v>
      </c>
      <c r="I18" s="245" t="s">
        <v>691</v>
      </c>
      <c r="J18" s="245" t="s">
        <v>696</v>
      </c>
    </row>
    <row r="19" spans="1:10" x14ac:dyDescent="0.25">
      <c r="A19" s="245">
        <v>18</v>
      </c>
      <c r="B19" s="245" t="s">
        <v>715</v>
      </c>
      <c r="C19" s="245" t="s">
        <v>693</v>
      </c>
      <c r="D19" s="245" t="s">
        <v>694</v>
      </c>
      <c r="E19" s="245" t="s">
        <v>691</v>
      </c>
      <c r="F19" s="245" t="s">
        <v>707</v>
      </c>
      <c r="G19" s="245" t="s">
        <v>690</v>
      </c>
      <c r="H19" s="245" t="s">
        <v>698</v>
      </c>
      <c r="I19" s="245" t="s">
        <v>695</v>
      </c>
      <c r="J19" s="245" t="s">
        <v>696</v>
      </c>
    </row>
    <row r="20" spans="1:10" x14ac:dyDescent="0.25">
      <c r="A20" s="245">
        <v>19</v>
      </c>
      <c r="B20" s="245" t="s">
        <v>716</v>
      </c>
      <c r="C20" s="245" t="s">
        <v>707</v>
      </c>
      <c r="D20" s="245" t="s">
        <v>690</v>
      </c>
      <c r="E20" s="245" t="s">
        <v>691</v>
      </c>
      <c r="F20" s="245" t="s">
        <v>698</v>
      </c>
      <c r="G20" s="245" t="s">
        <v>693</v>
      </c>
      <c r="H20" s="245" t="s">
        <v>692</v>
      </c>
      <c r="I20" s="245" t="s">
        <v>695</v>
      </c>
      <c r="J20" s="245" t="s">
        <v>696</v>
      </c>
    </row>
    <row r="21" spans="1:10" x14ac:dyDescent="0.25">
      <c r="A21" s="245">
        <v>20</v>
      </c>
      <c r="B21" s="245" t="s">
        <v>717</v>
      </c>
      <c r="C21" s="245" t="s">
        <v>707</v>
      </c>
      <c r="D21" s="245" t="s">
        <v>694</v>
      </c>
      <c r="E21" s="245" t="s">
        <v>691</v>
      </c>
      <c r="F21" s="245" t="s">
        <v>698</v>
      </c>
      <c r="G21" s="245" t="s">
        <v>690</v>
      </c>
      <c r="H21" s="245" t="s">
        <v>692</v>
      </c>
      <c r="I21" s="245" t="s">
        <v>695</v>
      </c>
      <c r="J21" s="245" t="s">
        <v>696</v>
      </c>
    </row>
    <row r="22" spans="1:10" x14ac:dyDescent="0.25">
      <c r="A22" s="245">
        <v>21</v>
      </c>
      <c r="B22" s="245" t="s">
        <v>718</v>
      </c>
      <c r="C22" s="245" t="s">
        <v>707</v>
      </c>
      <c r="D22" s="245" t="s">
        <v>694</v>
      </c>
      <c r="E22" s="245" t="s">
        <v>690</v>
      </c>
      <c r="F22" s="245" t="s">
        <v>698</v>
      </c>
      <c r="G22" s="245" t="s">
        <v>693</v>
      </c>
      <c r="H22" s="245" t="s">
        <v>692</v>
      </c>
      <c r="I22" s="245" t="s">
        <v>695</v>
      </c>
      <c r="J22" s="245" t="s">
        <v>696</v>
      </c>
    </row>
    <row r="23" spans="1:10" x14ac:dyDescent="0.25">
      <c r="A23" s="245">
        <v>22</v>
      </c>
      <c r="B23" s="245" t="s">
        <v>719</v>
      </c>
      <c r="C23" s="245" t="s">
        <v>707</v>
      </c>
      <c r="D23" s="245" t="s">
        <v>694</v>
      </c>
      <c r="E23" s="245" t="s">
        <v>691</v>
      </c>
      <c r="F23" s="245" t="s">
        <v>698</v>
      </c>
      <c r="G23" s="245" t="s">
        <v>693</v>
      </c>
      <c r="H23" s="245" t="s">
        <v>692</v>
      </c>
      <c r="I23" s="245" t="s">
        <v>695</v>
      </c>
      <c r="J23" s="245" t="s">
        <v>696</v>
      </c>
    </row>
    <row r="24" spans="1:10" x14ac:dyDescent="0.25">
      <c r="A24" s="245">
        <v>23</v>
      </c>
      <c r="B24" s="245" t="s">
        <v>720</v>
      </c>
      <c r="C24" s="245" t="s">
        <v>707</v>
      </c>
      <c r="D24" s="245" t="s">
        <v>694</v>
      </c>
      <c r="E24" s="245" t="s">
        <v>690</v>
      </c>
      <c r="F24" s="245" t="s">
        <v>698</v>
      </c>
      <c r="G24" s="245" t="s">
        <v>693</v>
      </c>
      <c r="H24" s="245" t="s">
        <v>692</v>
      </c>
      <c r="I24" s="245" t="s">
        <v>695</v>
      </c>
      <c r="J24" s="245" t="s">
        <v>691</v>
      </c>
    </row>
    <row r="25" spans="1:10" x14ac:dyDescent="0.25">
      <c r="A25" s="245">
        <v>24</v>
      </c>
      <c r="B25" s="245" t="s">
        <v>721</v>
      </c>
      <c r="C25" s="245" t="s">
        <v>707</v>
      </c>
      <c r="D25" s="245" t="s">
        <v>694</v>
      </c>
      <c r="E25" s="245" t="s">
        <v>690</v>
      </c>
      <c r="F25" s="245" t="s">
        <v>698</v>
      </c>
      <c r="G25" s="245" t="s">
        <v>693</v>
      </c>
      <c r="H25" s="245" t="s">
        <v>692</v>
      </c>
      <c r="I25" s="245" t="s">
        <v>691</v>
      </c>
      <c r="J25" s="245" t="s">
        <v>696</v>
      </c>
    </row>
    <row r="26" spans="1:10" x14ac:dyDescent="0.25">
      <c r="A26" s="245">
        <v>25</v>
      </c>
      <c r="B26" s="245" t="s">
        <v>722</v>
      </c>
      <c r="C26" s="245" t="s">
        <v>689</v>
      </c>
      <c r="D26" s="245" t="s">
        <v>690</v>
      </c>
      <c r="E26" s="245" t="s">
        <v>691</v>
      </c>
      <c r="F26" s="245" t="s">
        <v>707</v>
      </c>
      <c r="G26" s="245" t="s">
        <v>693</v>
      </c>
      <c r="H26" s="245" t="s">
        <v>698</v>
      </c>
      <c r="I26" s="245" t="s">
        <v>695</v>
      </c>
      <c r="J26" s="245" t="s">
        <v>696</v>
      </c>
    </row>
    <row r="27" spans="1:10" x14ac:dyDescent="0.25">
      <c r="A27" s="245">
        <v>26</v>
      </c>
      <c r="B27" s="245" t="s">
        <v>723</v>
      </c>
      <c r="C27" s="245" t="s">
        <v>689</v>
      </c>
      <c r="D27" s="245" t="s">
        <v>694</v>
      </c>
      <c r="E27" s="245" t="s">
        <v>691</v>
      </c>
      <c r="F27" s="245" t="s">
        <v>707</v>
      </c>
      <c r="G27" s="245" t="s">
        <v>690</v>
      </c>
      <c r="H27" s="245" t="s">
        <v>698</v>
      </c>
      <c r="I27" s="245" t="s">
        <v>695</v>
      </c>
      <c r="J27" s="245" t="s">
        <v>696</v>
      </c>
    </row>
    <row r="28" spans="1:10" x14ac:dyDescent="0.25">
      <c r="A28" s="245">
        <v>27</v>
      </c>
      <c r="B28" s="245" t="s">
        <v>724</v>
      </c>
      <c r="C28" s="245" t="s">
        <v>689</v>
      </c>
      <c r="D28" s="245" t="s">
        <v>694</v>
      </c>
      <c r="E28" s="245" t="s">
        <v>690</v>
      </c>
      <c r="F28" s="245" t="s">
        <v>707</v>
      </c>
      <c r="G28" s="245" t="s">
        <v>693</v>
      </c>
      <c r="H28" s="245" t="s">
        <v>698</v>
      </c>
      <c r="I28" s="245" t="s">
        <v>695</v>
      </c>
      <c r="J28" s="245" t="s">
        <v>696</v>
      </c>
    </row>
    <row r="29" spans="1:10" x14ac:dyDescent="0.25">
      <c r="A29" s="245">
        <v>28</v>
      </c>
      <c r="B29" s="245" t="s">
        <v>725</v>
      </c>
      <c r="C29" s="245" t="s">
        <v>689</v>
      </c>
      <c r="D29" s="245" t="s">
        <v>694</v>
      </c>
      <c r="E29" s="245" t="s">
        <v>691</v>
      </c>
      <c r="F29" s="245" t="s">
        <v>707</v>
      </c>
      <c r="G29" s="245" t="s">
        <v>693</v>
      </c>
      <c r="H29" s="245" t="s">
        <v>698</v>
      </c>
      <c r="I29" s="245" t="s">
        <v>695</v>
      </c>
      <c r="J29" s="245" t="s">
        <v>696</v>
      </c>
    </row>
    <row r="30" spans="1:10" x14ac:dyDescent="0.25">
      <c r="A30" s="245">
        <v>29</v>
      </c>
      <c r="B30" s="245" t="s">
        <v>726</v>
      </c>
      <c r="C30" s="245" t="s">
        <v>689</v>
      </c>
      <c r="D30" s="245" t="s">
        <v>694</v>
      </c>
      <c r="E30" s="245" t="s">
        <v>690</v>
      </c>
      <c r="F30" s="245" t="s">
        <v>707</v>
      </c>
      <c r="G30" s="245" t="s">
        <v>693</v>
      </c>
      <c r="H30" s="245" t="s">
        <v>698</v>
      </c>
      <c r="I30" s="245" t="s">
        <v>695</v>
      </c>
      <c r="J30" s="245" t="s">
        <v>691</v>
      </c>
    </row>
    <row r="31" spans="1:10" x14ac:dyDescent="0.25">
      <c r="A31" s="245">
        <v>30</v>
      </c>
      <c r="B31" s="245" t="s">
        <v>727</v>
      </c>
      <c r="C31" s="245" t="s">
        <v>689</v>
      </c>
      <c r="D31" s="245" t="s">
        <v>694</v>
      </c>
      <c r="E31" s="245" t="s">
        <v>690</v>
      </c>
      <c r="F31" s="245" t="s">
        <v>707</v>
      </c>
      <c r="G31" s="245" t="s">
        <v>693</v>
      </c>
      <c r="H31" s="245" t="s">
        <v>698</v>
      </c>
      <c r="I31" s="245" t="s">
        <v>691</v>
      </c>
      <c r="J31" s="245" t="s">
        <v>696</v>
      </c>
    </row>
    <row r="32" spans="1:10" x14ac:dyDescent="0.25">
      <c r="A32" s="245">
        <v>31</v>
      </c>
      <c r="B32" s="245" t="s">
        <v>728</v>
      </c>
      <c r="C32" s="245" t="s">
        <v>707</v>
      </c>
      <c r="D32" s="245" t="s">
        <v>690</v>
      </c>
      <c r="E32" s="245" t="s">
        <v>689</v>
      </c>
      <c r="F32" s="245" t="s">
        <v>698</v>
      </c>
      <c r="G32" s="245" t="s">
        <v>691</v>
      </c>
      <c r="H32" s="245" t="s">
        <v>692</v>
      </c>
      <c r="I32" s="245" t="s">
        <v>695</v>
      </c>
      <c r="J32" s="245" t="s">
        <v>696</v>
      </c>
    </row>
    <row r="33" spans="1:10" x14ac:dyDescent="0.25">
      <c r="A33" s="245">
        <v>32</v>
      </c>
      <c r="B33" s="245" t="s">
        <v>729</v>
      </c>
      <c r="C33" s="245" t="s">
        <v>707</v>
      </c>
      <c r="D33" s="245" t="s">
        <v>690</v>
      </c>
      <c r="E33" s="245" t="s">
        <v>689</v>
      </c>
      <c r="F33" s="245" t="s">
        <v>698</v>
      </c>
      <c r="G33" s="245" t="s">
        <v>693</v>
      </c>
      <c r="H33" s="245" t="s">
        <v>692</v>
      </c>
      <c r="I33" s="245" t="s">
        <v>695</v>
      </c>
      <c r="J33" s="245" t="s">
        <v>696</v>
      </c>
    </row>
    <row r="34" spans="1:10" x14ac:dyDescent="0.25">
      <c r="A34" s="245">
        <v>33</v>
      </c>
      <c r="B34" s="245" t="s">
        <v>730</v>
      </c>
      <c r="C34" s="245" t="s">
        <v>707</v>
      </c>
      <c r="D34" s="245" t="s">
        <v>689</v>
      </c>
      <c r="E34" s="245" t="s">
        <v>691</v>
      </c>
      <c r="F34" s="245" t="s">
        <v>698</v>
      </c>
      <c r="G34" s="245" t="s">
        <v>693</v>
      </c>
      <c r="H34" s="245" t="s">
        <v>692</v>
      </c>
      <c r="I34" s="245" t="s">
        <v>695</v>
      </c>
      <c r="J34" s="245" t="s">
        <v>696</v>
      </c>
    </row>
    <row r="35" spans="1:10" x14ac:dyDescent="0.25">
      <c r="A35" s="245">
        <v>34</v>
      </c>
      <c r="B35" s="245" t="s">
        <v>731</v>
      </c>
      <c r="C35" s="245" t="s">
        <v>707</v>
      </c>
      <c r="D35" s="245" t="s">
        <v>690</v>
      </c>
      <c r="E35" s="245" t="s">
        <v>689</v>
      </c>
      <c r="F35" s="245" t="s">
        <v>698</v>
      </c>
      <c r="G35" s="245" t="s">
        <v>693</v>
      </c>
      <c r="H35" s="245" t="s">
        <v>692</v>
      </c>
      <c r="I35" s="245" t="s">
        <v>695</v>
      </c>
      <c r="J35" s="245" t="s">
        <v>691</v>
      </c>
    </row>
    <row r="36" spans="1:10" x14ac:dyDescent="0.25">
      <c r="A36" s="245">
        <v>35</v>
      </c>
      <c r="B36" s="245" t="s">
        <v>732</v>
      </c>
      <c r="C36" s="245" t="s">
        <v>707</v>
      </c>
      <c r="D36" s="245" t="s">
        <v>690</v>
      </c>
      <c r="E36" s="245" t="s">
        <v>689</v>
      </c>
      <c r="F36" s="245" t="s">
        <v>698</v>
      </c>
      <c r="G36" s="245" t="s">
        <v>693</v>
      </c>
      <c r="H36" s="245" t="s">
        <v>692</v>
      </c>
      <c r="I36" s="245" t="s">
        <v>691</v>
      </c>
      <c r="J36" s="245" t="s">
        <v>696</v>
      </c>
    </row>
    <row r="37" spans="1:10" x14ac:dyDescent="0.25">
      <c r="A37" s="245">
        <v>36</v>
      </c>
      <c r="B37" s="245" t="s">
        <v>733</v>
      </c>
      <c r="C37" s="245" t="s">
        <v>707</v>
      </c>
      <c r="D37" s="245" t="s">
        <v>694</v>
      </c>
      <c r="E37" s="245" t="s">
        <v>689</v>
      </c>
      <c r="F37" s="245" t="s">
        <v>698</v>
      </c>
      <c r="G37" s="245" t="s">
        <v>690</v>
      </c>
      <c r="H37" s="245" t="s">
        <v>692</v>
      </c>
      <c r="I37" s="245" t="s">
        <v>695</v>
      </c>
      <c r="J37" s="245" t="s">
        <v>696</v>
      </c>
    </row>
    <row r="38" spans="1:10" x14ac:dyDescent="0.25">
      <c r="A38" s="245">
        <v>37</v>
      </c>
      <c r="B38" s="245" t="s">
        <v>734</v>
      </c>
      <c r="C38" s="245" t="s">
        <v>707</v>
      </c>
      <c r="D38" s="245" t="s">
        <v>694</v>
      </c>
      <c r="E38" s="245" t="s">
        <v>689</v>
      </c>
      <c r="F38" s="245" t="s">
        <v>698</v>
      </c>
      <c r="G38" s="245" t="s">
        <v>691</v>
      </c>
      <c r="H38" s="245" t="s">
        <v>692</v>
      </c>
      <c r="I38" s="245" t="s">
        <v>695</v>
      </c>
      <c r="J38" s="245" t="s">
        <v>696</v>
      </c>
    </row>
    <row r="39" spans="1:10" x14ac:dyDescent="0.25">
      <c r="A39" s="245">
        <v>38</v>
      </c>
      <c r="B39" s="245" t="s">
        <v>735</v>
      </c>
      <c r="C39" s="245" t="s">
        <v>707</v>
      </c>
      <c r="D39" s="245" t="s">
        <v>694</v>
      </c>
      <c r="E39" s="245" t="s">
        <v>689</v>
      </c>
      <c r="F39" s="245" t="s">
        <v>698</v>
      </c>
      <c r="G39" s="245" t="s">
        <v>690</v>
      </c>
      <c r="H39" s="245" t="s">
        <v>692</v>
      </c>
      <c r="I39" s="245" t="s">
        <v>695</v>
      </c>
      <c r="J39" s="245" t="s">
        <v>691</v>
      </c>
    </row>
    <row r="40" spans="1:10" x14ac:dyDescent="0.25">
      <c r="A40" s="245">
        <v>39</v>
      </c>
      <c r="B40" s="245" t="s">
        <v>736</v>
      </c>
      <c r="C40" s="245" t="s">
        <v>707</v>
      </c>
      <c r="D40" s="245" t="s">
        <v>694</v>
      </c>
      <c r="E40" s="245" t="s">
        <v>689</v>
      </c>
      <c r="F40" s="245" t="s">
        <v>698</v>
      </c>
      <c r="G40" s="245" t="s">
        <v>690</v>
      </c>
      <c r="H40" s="245" t="s">
        <v>692</v>
      </c>
      <c r="I40" s="245" t="s">
        <v>691</v>
      </c>
      <c r="J40" s="245" t="s">
        <v>696</v>
      </c>
    </row>
    <row r="41" spans="1:10" x14ac:dyDescent="0.25">
      <c r="A41" s="245">
        <v>40</v>
      </c>
      <c r="B41" s="245" t="s">
        <v>737</v>
      </c>
      <c r="C41" s="245" t="s">
        <v>707</v>
      </c>
      <c r="D41" s="245" t="s">
        <v>694</v>
      </c>
      <c r="E41" s="245" t="s">
        <v>689</v>
      </c>
      <c r="F41" s="245" t="s">
        <v>698</v>
      </c>
      <c r="G41" s="245" t="s">
        <v>693</v>
      </c>
      <c r="H41" s="245" t="s">
        <v>692</v>
      </c>
      <c r="I41" s="245" t="s">
        <v>695</v>
      </c>
      <c r="J41" s="245" t="s">
        <v>696</v>
      </c>
    </row>
    <row r="42" spans="1:10" x14ac:dyDescent="0.25">
      <c r="A42" s="245">
        <v>41</v>
      </c>
      <c r="B42" s="245" t="s">
        <v>738</v>
      </c>
      <c r="C42" s="245" t="s">
        <v>707</v>
      </c>
      <c r="D42" s="245" t="s">
        <v>694</v>
      </c>
      <c r="E42" s="245" t="s">
        <v>690</v>
      </c>
      <c r="F42" s="245" t="s">
        <v>698</v>
      </c>
      <c r="G42" s="245" t="s">
        <v>693</v>
      </c>
      <c r="H42" s="245" t="s">
        <v>692</v>
      </c>
      <c r="I42" s="245" t="s">
        <v>695</v>
      </c>
      <c r="J42" s="245" t="s">
        <v>689</v>
      </c>
    </row>
    <row r="43" spans="1:10" x14ac:dyDescent="0.25">
      <c r="A43" s="245">
        <v>42</v>
      </c>
      <c r="B43" s="245" t="s">
        <v>739</v>
      </c>
      <c r="C43" s="245" t="s">
        <v>707</v>
      </c>
      <c r="D43" s="245" t="s">
        <v>694</v>
      </c>
      <c r="E43" s="245" t="s">
        <v>690</v>
      </c>
      <c r="F43" s="245" t="s">
        <v>698</v>
      </c>
      <c r="G43" s="245" t="s">
        <v>693</v>
      </c>
      <c r="H43" s="245" t="s">
        <v>692</v>
      </c>
      <c r="I43" s="245" t="s">
        <v>689</v>
      </c>
      <c r="J43" s="245" t="s">
        <v>696</v>
      </c>
    </row>
    <row r="44" spans="1:10" x14ac:dyDescent="0.25">
      <c r="A44" s="245">
        <v>43</v>
      </c>
      <c r="B44" s="245" t="s">
        <v>740</v>
      </c>
      <c r="C44" s="245" t="s">
        <v>707</v>
      </c>
      <c r="D44" s="245" t="s">
        <v>694</v>
      </c>
      <c r="E44" s="245" t="s">
        <v>689</v>
      </c>
      <c r="F44" s="245" t="s">
        <v>698</v>
      </c>
      <c r="G44" s="245" t="s">
        <v>693</v>
      </c>
      <c r="H44" s="245" t="s">
        <v>692</v>
      </c>
      <c r="I44" s="245" t="s">
        <v>695</v>
      </c>
      <c r="J44" s="245" t="s">
        <v>691</v>
      </c>
    </row>
    <row r="45" spans="1:10" x14ac:dyDescent="0.25">
      <c r="A45" s="245">
        <v>44</v>
      </c>
      <c r="B45" s="245" t="s">
        <v>741</v>
      </c>
      <c r="C45" s="245" t="s">
        <v>707</v>
      </c>
      <c r="D45" s="245" t="s">
        <v>694</v>
      </c>
      <c r="E45" s="245" t="s">
        <v>689</v>
      </c>
      <c r="F45" s="245" t="s">
        <v>698</v>
      </c>
      <c r="G45" s="245" t="s">
        <v>693</v>
      </c>
      <c r="H45" s="245" t="s">
        <v>692</v>
      </c>
      <c r="I45" s="245" t="s">
        <v>691</v>
      </c>
      <c r="J45" s="245" t="s">
        <v>696</v>
      </c>
    </row>
    <row r="46" spans="1:10" x14ac:dyDescent="0.25">
      <c r="A46" s="245">
        <v>45</v>
      </c>
      <c r="B46" s="245" t="s">
        <v>742</v>
      </c>
      <c r="C46" s="245" t="s">
        <v>707</v>
      </c>
      <c r="D46" s="245" t="s">
        <v>694</v>
      </c>
      <c r="E46" s="245" t="s">
        <v>690</v>
      </c>
      <c r="F46" s="245" t="s">
        <v>698</v>
      </c>
      <c r="G46" s="245" t="s">
        <v>693</v>
      </c>
      <c r="H46" s="245" t="s">
        <v>692</v>
      </c>
      <c r="I46" s="245" t="s">
        <v>689</v>
      </c>
      <c r="J46" s="245" t="s">
        <v>691</v>
      </c>
    </row>
    <row r="47" spans="1:10" x14ac:dyDescent="0.25">
      <c r="A47" s="245">
        <v>46</v>
      </c>
      <c r="B47" s="245" t="s">
        <v>743</v>
      </c>
      <c r="C47" s="245" t="s">
        <v>693</v>
      </c>
      <c r="D47" s="245" t="s">
        <v>690</v>
      </c>
      <c r="E47" s="245" t="s">
        <v>744</v>
      </c>
      <c r="F47" s="245" t="s">
        <v>692</v>
      </c>
      <c r="G47" s="245" t="s">
        <v>691</v>
      </c>
      <c r="H47" s="245" t="s">
        <v>694</v>
      </c>
      <c r="I47" s="245" t="s">
        <v>695</v>
      </c>
      <c r="J47" s="245" t="s">
        <v>696</v>
      </c>
    </row>
    <row r="48" spans="1:10" x14ac:dyDescent="0.25">
      <c r="A48" s="245">
        <v>47</v>
      </c>
      <c r="B48" s="245" t="s">
        <v>745</v>
      </c>
      <c r="C48" s="245" t="s">
        <v>689</v>
      </c>
      <c r="D48" s="245" t="s">
        <v>690</v>
      </c>
      <c r="E48" s="245" t="s">
        <v>691</v>
      </c>
      <c r="F48" s="245" t="s">
        <v>744</v>
      </c>
      <c r="G48" s="245" t="s">
        <v>693</v>
      </c>
      <c r="H48" s="245" t="s">
        <v>694</v>
      </c>
      <c r="I48" s="245" t="s">
        <v>695</v>
      </c>
      <c r="J48" s="245" t="s">
        <v>696</v>
      </c>
    </row>
    <row r="49" spans="1:10" x14ac:dyDescent="0.25">
      <c r="A49" s="245">
        <v>48</v>
      </c>
      <c r="B49" s="245" t="s">
        <v>746</v>
      </c>
      <c r="C49" s="245" t="s">
        <v>689</v>
      </c>
      <c r="D49" s="245" t="s">
        <v>690</v>
      </c>
      <c r="E49" s="245" t="s">
        <v>744</v>
      </c>
      <c r="F49" s="245" t="s">
        <v>692</v>
      </c>
      <c r="G49" s="245" t="s">
        <v>691</v>
      </c>
      <c r="H49" s="245" t="s">
        <v>693</v>
      </c>
      <c r="I49" s="245" t="s">
        <v>695</v>
      </c>
      <c r="J49" s="245" t="s">
        <v>696</v>
      </c>
    </row>
    <row r="50" spans="1:10" x14ac:dyDescent="0.25">
      <c r="A50" s="245">
        <v>49</v>
      </c>
      <c r="B50" s="245" t="s">
        <v>747</v>
      </c>
      <c r="C50" s="245" t="s">
        <v>689</v>
      </c>
      <c r="D50" s="245" t="s">
        <v>690</v>
      </c>
      <c r="E50" s="245" t="s">
        <v>744</v>
      </c>
      <c r="F50" s="245" t="s">
        <v>692</v>
      </c>
      <c r="G50" s="245" t="s">
        <v>691</v>
      </c>
      <c r="H50" s="245" t="s">
        <v>694</v>
      </c>
      <c r="I50" s="245" t="s">
        <v>695</v>
      </c>
      <c r="J50" s="245" t="s">
        <v>696</v>
      </c>
    </row>
    <row r="51" spans="1:10" x14ac:dyDescent="0.25">
      <c r="A51" s="245">
        <v>50</v>
      </c>
      <c r="B51" s="245" t="s">
        <v>748</v>
      </c>
      <c r="C51" s="245" t="s">
        <v>689</v>
      </c>
      <c r="D51" s="245" t="s">
        <v>690</v>
      </c>
      <c r="E51" s="245" t="s">
        <v>744</v>
      </c>
      <c r="F51" s="245" t="s">
        <v>692</v>
      </c>
      <c r="G51" s="245" t="s">
        <v>693</v>
      </c>
      <c r="H51" s="245" t="s">
        <v>694</v>
      </c>
      <c r="I51" s="245" t="s">
        <v>695</v>
      </c>
      <c r="J51" s="245" t="s">
        <v>696</v>
      </c>
    </row>
    <row r="52" spans="1:10" x14ac:dyDescent="0.25">
      <c r="A52" s="245">
        <v>51</v>
      </c>
      <c r="B52" s="245" t="s">
        <v>749</v>
      </c>
      <c r="C52" s="245" t="s">
        <v>689</v>
      </c>
      <c r="D52" s="245" t="s">
        <v>694</v>
      </c>
      <c r="E52" s="245" t="s">
        <v>744</v>
      </c>
      <c r="F52" s="245" t="s">
        <v>692</v>
      </c>
      <c r="G52" s="245" t="s">
        <v>691</v>
      </c>
      <c r="H52" s="245" t="s">
        <v>693</v>
      </c>
      <c r="I52" s="245" t="s">
        <v>695</v>
      </c>
      <c r="J52" s="245" t="s">
        <v>696</v>
      </c>
    </row>
    <row r="53" spans="1:10" x14ac:dyDescent="0.25">
      <c r="A53" s="245">
        <v>52</v>
      </c>
      <c r="B53" s="245" t="s">
        <v>750</v>
      </c>
      <c r="C53" s="245" t="s">
        <v>689</v>
      </c>
      <c r="D53" s="245" t="s">
        <v>690</v>
      </c>
      <c r="E53" s="245" t="s">
        <v>744</v>
      </c>
      <c r="F53" s="245" t="s">
        <v>692</v>
      </c>
      <c r="G53" s="245" t="s">
        <v>693</v>
      </c>
      <c r="H53" s="245" t="s">
        <v>694</v>
      </c>
      <c r="I53" s="245" t="s">
        <v>695</v>
      </c>
      <c r="J53" s="245" t="s">
        <v>691</v>
      </c>
    </row>
    <row r="54" spans="1:10" x14ac:dyDescent="0.25">
      <c r="A54" s="245">
        <v>53</v>
      </c>
      <c r="B54" s="245" t="s">
        <v>751</v>
      </c>
      <c r="C54" s="245" t="s">
        <v>689</v>
      </c>
      <c r="D54" s="245" t="s">
        <v>690</v>
      </c>
      <c r="E54" s="245" t="s">
        <v>744</v>
      </c>
      <c r="F54" s="245" t="s">
        <v>692</v>
      </c>
      <c r="G54" s="245" t="s">
        <v>693</v>
      </c>
      <c r="H54" s="245" t="s">
        <v>694</v>
      </c>
      <c r="I54" s="245" t="s">
        <v>691</v>
      </c>
      <c r="J54" s="245" t="s">
        <v>696</v>
      </c>
    </row>
    <row r="55" spans="1:10" x14ac:dyDescent="0.25">
      <c r="A55" s="245">
        <v>54</v>
      </c>
      <c r="B55" s="245" t="s">
        <v>752</v>
      </c>
      <c r="C55" s="245" t="s">
        <v>693</v>
      </c>
      <c r="D55" s="245" t="s">
        <v>690</v>
      </c>
      <c r="E55" s="245" t="s">
        <v>744</v>
      </c>
      <c r="F55" s="245" t="s">
        <v>698</v>
      </c>
      <c r="G55" s="245" t="s">
        <v>691</v>
      </c>
      <c r="H55" s="245" t="s">
        <v>694</v>
      </c>
      <c r="I55" s="245" t="s">
        <v>695</v>
      </c>
      <c r="J55" s="245" t="s">
        <v>696</v>
      </c>
    </row>
    <row r="56" spans="1:10" x14ac:dyDescent="0.25">
      <c r="A56" s="245">
        <v>55</v>
      </c>
      <c r="B56" s="245" t="s">
        <v>753</v>
      </c>
      <c r="C56" s="245" t="s">
        <v>693</v>
      </c>
      <c r="D56" s="245" t="s">
        <v>690</v>
      </c>
      <c r="E56" s="245" t="s">
        <v>744</v>
      </c>
      <c r="F56" s="245" t="s">
        <v>698</v>
      </c>
      <c r="G56" s="245" t="s">
        <v>691</v>
      </c>
      <c r="H56" s="245" t="s">
        <v>692</v>
      </c>
      <c r="I56" s="245" t="s">
        <v>695</v>
      </c>
      <c r="J56" s="245" t="s">
        <v>696</v>
      </c>
    </row>
    <row r="57" spans="1:10" x14ac:dyDescent="0.25">
      <c r="A57" s="245">
        <v>56</v>
      </c>
      <c r="B57" s="245" t="s">
        <v>754</v>
      </c>
      <c r="C57" s="245" t="s">
        <v>691</v>
      </c>
      <c r="D57" s="245" t="s">
        <v>694</v>
      </c>
      <c r="E57" s="245" t="s">
        <v>744</v>
      </c>
      <c r="F57" s="245" t="s">
        <v>698</v>
      </c>
      <c r="G57" s="245" t="s">
        <v>690</v>
      </c>
      <c r="H57" s="245" t="s">
        <v>692</v>
      </c>
      <c r="I57" s="245" t="s">
        <v>695</v>
      </c>
      <c r="J57" s="245" t="s">
        <v>696</v>
      </c>
    </row>
    <row r="58" spans="1:10" x14ac:dyDescent="0.25">
      <c r="A58" s="245">
        <v>57</v>
      </c>
      <c r="B58" s="245" t="s">
        <v>755</v>
      </c>
      <c r="C58" s="245" t="s">
        <v>693</v>
      </c>
      <c r="D58" s="245" t="s">
        <v>694</v>
      </c>
      <c r="E58" s="245" t="s">
        <v>744</v>
      </c>
      <c r="F58" s="245" t="s">
        <v>698</v>
      </c>
      <c r="G58" s="245" t="s">
        <v>690</v>
      </c>
      <c r="H58" s="245" t="s">
        <v>692</v>
      </c>
      <c r="I58" s="245" t="s">
        <v>695</v>
      </c>
      <c r="J58" s="245" t="s">
        <v>696</v>
      </c>
    </row>
    <row r="59" spans="1:10" x14ac:dyDescent="0.25">
      <c r="A59" s="245">
        <v>58</v>
      </c>
      <c r="B59" s="245" t="s">
        <v>756</v>
      </c>
      <c r="C59" s="245" t="s">
        <v>693</v>
      </c>
      <c r="D59" s="245" t="s">
        <v>694</v>
      </c>
      <c r="E59" s="245" t="s">
        <v>744</v>
      </c>
      <c r="F59" s="245" t="s">
        <v>698</v>
      </c>
      <c r="G59" s="245" t="s">
        <v>691</v>
      </c>
      <c r="H59" s="245" t="s">
        <v>692</v>
      </c>
      <c r="I59" s="245" t="s">
        <v>695</v>
      </c>
      <c r="J59" s="245" t="s">
        <v>696</v>
      </c>
    </row>
    <row r="60" spans="1:10" x14ac:dyDescent="0.25">
      <c r="A60" s="245">
        <v>59</v>
      </c>
      <c r="B60" s="245" t="s">
        <v>757</v>
      </c>
      <c r="C60" s="245" t="s">
        <v>693</v>
      </c>
      <c r="D60" s="245" t="s">
        <v>694</v>
      </c>
      <c r="E60" s="245" t="s">
        <v>744</v>
      </c>
      <c r="F60" s="245" t="s">
        <v>698</v>
      </c>
      <c r="G60" s="245" t="s">
        <v>690</v>
      </c>
      <c r="H60" s="245" t="s">
        <v>692</v>
      </c>
      <c r="I60" s="245" t="s">
        <v>695</v>
      </c>
      <c r="J60" s="245" t="s">
        <v>691</v>
      </c>
    </row>
    <row r="61" spans="1:10" x14ac:dyDescent="0.25">
      <c r="A61" s="245">
        <v>60</v>
      </c>
      <c r="B61" s="245" t="s">
        <v>758</v>
      </c>
      <c r="C61" s="245" t="s">
        <v>693</v>
      </c>
      <c r="D61" s="245" t="s">
        <v>694</v>
      </c>
      <c r="E61" s="245" t="s">
        <v>744</v>
      </c>
      <c r="F61" s="245" t="s">
        <v>698</v>
      </c>
      <c r="G61" s="245" t="s">
        <v>690</v>
      </c>
      <c r="H61" s="245" t="s">
        <v>692</v>
      </c>
      <c r="I61" s="245" t="s">
        <v>691</v>
      </c>
      <c r="J61" s="245" t="s">
        <v>696</v>
      </c>
    </row>
    <row r="62" spans="1:10" x14ac:dyDescent="0.25">
      <c r="A62" s="245">
        <v>61</v>
      </c>
      <c r="B62" s="245" t="s">
        <v>759</v>
      </c>
      <c r="C62" s="245" t="s">
        <v>689</v>
      </c>
      <c r="D62" s="245" t="s">
        <v>690</v>
      </c>
      <c r="E62" s="245" t="s">
        <v>744</v>
      </c>
      <c r="F62" s="245" t="s">
        <v>698</v>
      </c>
      <c r="G62" s="245" t="s">
        <v>691</v>
      </c>
      <c r="H62" s="245" t="s">
        <v>693</v>
      </c>
      <c r="I62" s="245" t="s">
        <v>695</v>
      </c>
      <c r="J62" s="245" t="s">
        <v>696</v>
      </c>
    </row>
    <row r="63" spans="1:10" x14ac:dyDescent="0.25">
      <c r="A63" s="245">
        <v>62</v>
      </c>
      <c r="B63" s="245" t="s">
        <v>760</v>
      </c>
      <c r="C63" s="245" t="s">
        <v>689</v>
      </c>
      <c r="D63" s="245" t="s">
        <v>690</v>
      </c>
      <c r="E63" s="245" t="s">
        <v>744</v>
      </c>
      <c r="F63" s="245" t="s">
        <v>698</v>
      </c>
      <c r="G63" s="245" t="s">
        <v>691</v>
      </c>
      <c r="H63" s="245" t="s">
        <v>694</v>
      </c>
      <c r="I63" s="245" t="s">
        <v>695</v>
      </c>
      <c r="J63" s="245" t="s">
        <v>696</v>
      </c>
    </row>
    <row r="64" spans="1:10" x14ac:dyDescent="0.25">
      <c r="A64" s="245">
        <v>63</v>
      </c>
      <c r="B64" s="245" t="s">
        <v>761</v>
      </c>
      <c r="C64" s="245" t="s">
        <v>689</v>
      </c>
      <c r="D64" s="245" t="s">
        <v>690</v>
      </c>
      <c r="E64" s="245" t="s">
        <v>744</v>
      </c>
      <c r="F64" s="245" t="s">
        <v>698</v>
      </c>
      <c r="G64" s="245" t="s">
        <v>693</v>
      </c>
      <c r="H64" s="245" t="s">
        <v>694</v>
      </c>
      <c r="I64" s="245" t="s">
        <v>695</v>
      </c>
      <c r="J64" s="245" t="s">
        <v>696</v>
      </c>
    </row>
    <row r="65" spans="1:10" x14ac:dyDescent="0.25">
      <c r="A65" s="245">
        <v>64</v>
      </c>
      <c r="B65" s="245" t="s">
        <v>762</v>
      </c>
      <c r="C65" s="245" t="s">
        <v>689</v>
      </c>
      <c r="D65" s="245" t="s">
        <v>694</v>
      </c>
      <c r="E65" s="245" t="s">
        <v>744</v>
      </c>
      <c r="F65" s="245" t="s">
        <v>698</v>
      </c>
      <c r="G65" s="245" t="s">
        <v>691</v>
      </c>
      <c r="H65" s="245" t="s">
        <v>693</v>
      </c>
      <c r="I65" s="245" t="s">
        <v>695</v>
      </c>
      <c r="J65" s="245" t="s">
        <v>696</v>
      </c>
    </row>
    <row r="66" spans="1:10" x14ac:dyDescent="0.25">
      <c r="A66" s="245">
        <v>65</v>
      </c>
      <c r="B66" s="245" t="s">
        <v>763</v>
      </c>
      <c r="C66" s="245" t="s">
        <v>689</v>
      </c>
      <c r="D66" s="245" t="s">
        <v>690</v>
      </c>
      <c r="E66" s="245" t="s">
        <v>744</v>
      </c>
      <c r="F66" s="245" t="s">
        <v>698</v>
      </c>
      <c r="G66" s="245" t="s">
        <v>693</v>
      </c>
      <c r="H66" s="245" t="s">
        <v>694</v>
      </c>
      <c r="I66" s="245" t="s">
        <v>695</v>
      </c>
      <c r="J66" s="245" t="s">
        <v>691</v>
      </c>
    </row>
    <row r="67" spans="1:10" x14ac:dyDescent="0.25">
      <c r="A67" s="245">
        <v>66</v>
      </c>
      <c r="B67" s="245" t="s">
        <v>764</v>
      </c>
      <c r="C67" s="245" t="s">
        <v>689</v>
      </c>
      <c r="D67" s="245" t="s">
        <v>690</v>
      </c>
      <c r="E67" s="245" t="s">
        <v>744</v>
      </c>
      <c r="F67" s="245" t="s">
        <v>698</v>
      </c>
      <c r="G67" s="245" t="s">
        <v>693</v>
      </c>
      <c r="H67" s="245" t="s">
        <v>694</v>
      </c>
      <c r="I67" s="245" t="s">
        <v>691</v>
      </c>
      <c r="J67" s="245" t="s">
        <v>696</v>
      </c>
    </row>
    <row r="68" spans="1:10" x14ac:dyDescent="0.25">
      <c r="A68" s="245">
        <v>67</v>
      </c>
      <c r="B68" s="245" t="s">
        <v>765</v>
      </c>
      <c r="C68" s="245" t="s">
        <v>689</v>
      </c>
      <c r="D68" s="245" t="s">
        <v>690</v>
      </c>
      <c r="E68" s="245" t="s">
        <v>744</v>
      </c>
      <c r="F68" s="245" t="s">
        <v>698</v>
      </c>
      <c r="G68" s="245" t="s">
        <v>691</v>
      </c>
      <c r="H68" s="245" t="s">
        <v>692</v>
      </c>
      <c r="I68" s="245" t="s">
        <v>695</v>
      </c>
      <c r="J68" s="245" t="s">
        <v>696</v>
      </c>
    </row>
    <row r="69" spans="1:10" x14ac:dyDescent="0.25">
      <c r="A69" s="245">
        <v>68</v>
      </c>
      <c r="B69" s="245" t="s">
        <v>766</v>
      </c>
      <c r="C69" s="245" t="s">
        <v>689</v>
      </c>
      <c r="D69" s="245" t="s">
        <v>690</v>
      </c>
      <c r="E69" s="245" t="s">
        <v>744</v>
      </c>
      <c r="F69" s="245" t="s">
        <v>698</v>
      </c>
      <c r="G69" s="245" t="s">
        <v>693</v>
      </c>
      <c r="H69" s="245" t="s">
        <v>692</v>
      </c>
      <c r="I69" s="245" t="s">
        <v>695</v>
      </c>
      <c r="J69" s="245" t="s">
        <v>696</v>
      </c>
    </row>
    <row r="70" spans="1:10" x14ac:dyDescent="0.25">
      <c r="A70" s="245">
        <v>69</v>
      </c>
      <c r="B70" s="245" t="s">
        <v>767</v>
      </c>
      <c r="C70" s="245" t="s">
        <v>689</v>
      </c>
      <c r="D70" s="245" t="s">
        <v>691</v>
      </c>
      <c r="E70" s="245" t="s">
        <v>744</v>
      </c>
      <c r="F70" s="245" t="s">
        <v>698</v>
      </c>
      <c r="G70" s="245" t="s">
        <v>693</v>
      </c>
      <c r="H70" s="245" t="s">
        <v>692</v>
      </c>
      <c r="I70" s="245" t="s">
        <v>695</v>
      </c>
      <c r="J70" s="245" t="s">
        <v>696</v>
      </c>
    </row>
    <row r="71" spans="1:10" x14ac:dyDescent="0.25">
      <c r="A71" s="245">
        <v>70</v>
      </c>
      <c r="B71" s="245" t="s">
        <v>768</v>
      </c>
      <c r="C71" s="245" t="s">
        <v>689</v>
      </c>
      <c r="D71" s="245" t="s">
        <v>690</v>
      </c>
      <c r="E71" s="245" t="s">
        <v>744</v>
      </c>
      <c r="F71" s="245" t="s">
        <v>698</v>
      </c>
      <c r="G71" s="245" t="s">
        <v>693</v>
      </c>
      <c r="H71" s="245" t="s">
        <v>692</v>
      </c>
      <c r="I71" s="245" t="s">
        <v>695</v>
      </c>
      <c r="J71" s="245" t="s">
        <v>691</v>
      </c>
    </row>
    <row r="72" spans="1:10" x14ac:dyDescent="0.25">
      <c r="A72" s="245">
        <v>71</v>
      </c>
      <c r="B72" s="245" t="s">
        <v>769</v>
      </c>
      <c r="C72" s="245" t="s">
        <v>689</v>
      </c>
      <c r="D72" s="245" t="s">
        <v>690</v>
      </c>
      <c r="E72" s="245" t="s">
        <v>744</v>
      </c>
      <c r="F72" s="245" t="s">
        <v>698</v>
      </c>
      <c r="G72" s="245" t="s">
        <v>693</v>
      </c>
      <c r="H72" s="245" t="s">
        <v>692</v>
      </c>
      <c r="I72" s="245" t="s">
        <v>691</v>
      </c>
      <c r="J72" s="245" t="s">
        <v>696</v>
      </c>
    </row>
    <row r="73" spans="1:10" x14ac:dyDescent="0.25">
      <c r="A73" s="245">
        <v>72</v>
      </c>
      <c r="B73" s="245" t="s">
        <v>770</v>
      </c>
      <c r="C73" s="245" t="s">
        <v>689</v>
      </c>
      <c r="D73" s="245" t="s">
        <v>694</v>
      </c>
      <c r="E73" s="245" t="s">
        <v>744</v>
      </c>
      <c r="F73" s="245" t="s">
        <v>698</v>
      </c>
      <c r="G73" s="245" t="s">
        <v>690</v>
      </c>
      <c r="H73" s="245" t="s">
        <v>692</v>
      </c>
      <c r="I73" s="245" t="s">
        <v>695</v>
      </c>
      <c r="J73" s="245" t="s">
        <v>696</v>
      </c>
    </row>
    <row r="74" spans="1:10" x14ac:dyDescent="0.25">
      <c r="A74" s="245">
        <v>73</v>
      </c>
      <c r="B74" s="245" t="s">
        <v>771</v>
      </c>
      <c r="C74" s="245" t="s">
        <v>689</v>
      </c>
      <c r="D74" s="245" t="s">
        <v>694</v>
      </c>
      <c r="E74" s="245" t="s">
        <v>744</v>
      </c>
      <c r="F74" s="245" t="s">
        <v>698</v>
      </c>
      <c r="G74" s="245" t="s">
        <v>691</v>
      </c>
      <c r="H74" s="245" t="s">
        <v>692</v>
      </c>
      <c r="I74" s="245" t="s">
        <v>695</v>
      </c>
      <c r="J74" s="245" t="s">
        <v>696</v>
      </c>
    </row>
    <row r="75" spans="1:10" x14ac:dyDescent="0.25">
      <c r="A75" s="245">
        <v>74</v>
      </c>
      <c r="B75" s="245" t="s">
        <v>772</v>
      </c>
      <c r="C75" s="245" t="s">
        <v>689</v>
      </c>
      <c r="D75" s="245" t="s">
        <v>694</v>
      </c>
      <c r="E75" s="245" t="s">
        <v>744</v>
      </c>
      <c r="F75" s="245" t="s">
        <v>698</v>
      </c>
      <c r="G75" s="245" t="s">
        <v>690</v>
      </c>
      <c r="H75" s="245" t="s">
        <v>692</v>
      </c>
      <c r="I75" s="245" t="s">
        <v>695</v>
      </c>
      <c r="J75" s="245" t="s">
        <v>691</v>
      </c>
    </row>
    <row r="76" spans="1:10" x14ac:dyDescent="0.25">
      <c r="A76" s="245">
        <v>75</v>
      </c>
      <c r="B76" s="245" t="s">
        <v>773</v>
      </c>
      <c r="C76" s="245" t="s">
        <v>689</v>
      </c>
      <c r="D76" s="245" t="s">
        <v>694</v>
      </c>
      <c r="E76" s="245" t="s">
        <v>744</v>
      </c>
      <c r="F76" s="245" t="s">
        <v>698</v>
      </c>
      <c r="G76" s="245" t="s">
        <v>690</v>
      </c>
      <c r="H76" s="245" t="s">
        <v>692</v>
      </c>
      <c r="I76" s="245" t="s">
        <v>691</v>
      </c>
      <c r="J76" s="245" t="s">
        <v>696</v>
      </c>
    </row>
    <row r="77" spans="1:10" x14ac:dyDescent="0.25">
      <c r="A77" s="245">
        <v>76</v>
      </c>
      <c r="B77" s="245" t="s">
        <v>774</v>
      </c>
      <c r="C77" s="245" t="s">
        <v>689</v>
      </c>
      <c r="D77" s="245" t="s">
        <v>694</v>
      </c>
      <c r="E77" s="245" t="s">
        <v>744</v>
      </c>
      <c r="F77" s="245" t="s">
        <v>698</v>
      </c>
      <c r="G77" s="245" t="s">
        <v>693</v>
      </c>
      <c r="H77" s="245" t="s">
        <v>692</v>
      </c>
      <c r="I77" s="245" t="s">
        <v>695</v>
      </c>
      <c r="J77" s="245" t="s">
        <v>696</v>
      </c>
    </row>
    <row r="78" spans="1:10" x14ac:dyDescent="0.25">
      <c r="A78" s="245">
        <v>77</v>
      </c>
      <c r="B78" s="245" t="s">
        <v>775</v>
      </c>
      <c r="C78" s="245" t="s">
        <v>693</v>
      </c>
      <c r="D78" s="245" t="s">
        <v>694</v>
      </c>
      <c r="E78" s="245" t="s">
        <v>744</v>
      </c>
      <c r="F78" s="245" t="s">
        <v>698</v>
      </c>
      <c r="G78" s="245" t="s">
        <v>690</v>
      </c>
      <c r="H78" s="245" t="s">
        <v>692</v>
      </c>
      <c r="I78" s="245" t="s">
        <v>695</v>
      </c>
      <c r="J78" s="245" t="s">
        <v>689</v>
      </c>
    </row>
    <row r="79" spans="1:10" x14ac:dyDescent="0.25">
      <c r="A79" s="245">
        <v>78</v>
      </c>
      <c r="B79" s="245" t="s">
        <v>776</v>
      </c>
      <c r="C79" s="245" t="s">
        <v>693</v>
      </c>
      <c r="D79" s="245" t="s">
        <v>694</v>
      </c>
      <c r="E79" s="245" t="s">
        <v>744</v>
      </c>
      <c r="F79" s="245" t="s">
        <v>698</v>
      </c>
      <c r="G79" s="245" t="s">
        <v>690</v>
      </c>
      <c r="H79" s="245" t="s">
        <v>692</v>
      </c>
      <c r="I79" s="245" t="s">
        <v>689</v>
      </c>
      <c r="J79" s="245" t="s">
        <v>696</v>
      </c>
    </row>
    <row r="80" spans="1:10" x14ac:dyDescent="0.25">
      <c r="A80" s="245">
        <v>79</v>
      </c>
      <c r="B80" s="245" t="s">
        <v>777</v>
      </c>
      <c r="C80" s="245" t="s">
        <v>689</v>
      </c>
      <c r="D80" s="245" t="s">
        <v>694</v>
      </c>
      <c r="E80" s="245" t="s">
        <v>744</v>
      </c>
      <c r="F80" s="245" t="s">
        <v>698</v>
      </c>
      <c r="G80" s="245" t="s">
        <v>693</v>
      </c>
      <c r="H80" s="245" t="s">
        <v>692</v>
      </c>
      <c r="I80" s="245" t="s">
        <v>695</v>
      </c>
      <c r="J80" s="245" t="s">
        <v>691</v>
      </c>
    </row>
    <row r="81" spans="1:10" x14ac:dyDescent="0.25">
      <c r="A81" s="245">
        <v>80</v>
      </c>
      <c r="B81" s="245" t="s">
        <v>778</v>
      </c>
      <c r="C81" s="245" t="s">
        <v>689</v>
      </c>
      <c r="D81" s="245" t="s">
        <v>694</v>
      </c>
      <c r="E81" s="245" t="s">
        <v>744</v>
      </c>
      <c r="F81" s="245" t="s">
        <v>698</v>
      </c>
      <c r="G81" s="245" t="s">
        <v>693</v>
      </c>
      <c r="H81" s="245" t="s">
        <v>692</v>
      </c>
      <c r="I81" s="245" t="s">
        <v>691</v>
      </c>
      <c r="J81" s="245" t="s">
        <v>696</v>
      </c>
    </row>
    <row r="82" spans="1:10" x14ac:dyDescent="0.25">
      <c r="A82" s="245">
        <v>81</v>
      </c>
      <c r="B82" s="245" t="s">
        <v>779</v>
      </c>
      <c r="C82" s="245" t="s">
        <v>693</v>
      </c>
      <c r="D82" s="245" t="s">
        <v>694</v>
      </c>
      <c r="E82" s="245" t="s">
        <v>744</v>
      </c>
      <c r="F82" s="245" t="s">
        <v>698</v>
      </c>
      <c r="G82" s="245" t="s">
        <v>690</v>
      </c>
      <c r="H82" s="245" t="s">
        <v>692</v>
      </c>
      <c r="I82" s="245" t="s">
        <v>689</v>
      </c>
      <c r="J82" s="245" t="s">
        <v>691</v>
      </c>
    </row>
    <row r="83" spans="1:10" x14ac:dyDescent="0.25">
      <c r="A83" s="245">
        <v>82</v>
      </c>
      <c r="B83" s="245" t="s">
        <v>780</v>
      </c>
      <c r="C83" s="245" t="s">
        <v>693</v>
      </c>
      <c r="D83" s="245" t="s">
        <v>690</v>
      </c>
      <c r="E83" s="245" t="s">
        <v>744</v>
      </c>
      <c r="F83" s="245" t="s">
        <v>707</v>
      </c>
      <c r="G83" s="245" t="s">
        <v>691</v>
      </c>
      <c r="H83" s="245" t="s">
        <v>694</v>
      </c>
      <c r="I83" s="245" t="s">
        <v>695</v>
      </c>
      <c r="J83" s="245" t="s">
        <v>696</v>
      </c>
    </row>
    <row r="84" spans="1:10" x14ac:dyDescent="0.25">
      <c r="A84" s="245">
        <v>83</v>
      </c>
      <c r="B84" s="245" t="s">
        <v>781</v>
      </c>
      <c r="C84" s="245" t="s">
        <v>693</v>
      </c>
      <c r="D84" s="245" t="s">
        <v>690</v>
      </c>
      <c r="E84" s="245" t="s">
        <v>744</v>
      </c>
      <c r="F84" s="245" t="s">
        <v>707</v>
      </c>
      <c r="G84" s="245" t="s">
        <v>691</v>
      </c>
      <c r="H84" s="245" t="s">
        <v>692</v>
      </c>
      <c r="I84" s="245" t="s">
        <v>695</v>
      </c>
      <c r="J84" s="245" t="s">
        <v>696</v>
      </c>
    </row>
    <row r="85" spans="1:10" x14ac:dyDescent="0.25">
      <c r="A85" s="245">
        <v>84</v>
      </c>
      <c r="B85" s="245" t="s">
        <v>782</v>
      </c>
      <c r="C85" s="245" t="s">
        <v>691</v>
      </c>
      <c r="D85" s="245" t="s">
        <v>694</v>
      </c>
      <c r="E85" s="245" t="s">
        <v>744</v>
      </c>
      <c r="F85" s="245" t="s">
        <v>707</v>
      </c>
      <c r="G85" s="245" t="s">
        <v>690</v>
      </c>
      <c r="H85" s="245" t="s">
        <v>692</v>
      </c>
      <c r="I85" s="245" t="s">
        <v>695</v>
      </c>
      <c r="J85" s="245" t="s">
        <v>696</v>
      </c>
    </row>
    <row r="86" spans="1:10" x14ac:dyDescent="0.25">
      <c r="A86" s="245">
        <v>85</v>
      </c>
      <c r="B86" s="245" t="s">
        <v>783</v>
      </c>
      <c r="C86" s="245" t="s">
        <v>693</v>
      </c>
      <c r="D86" s="245" t="s">
        <v>694</v>
      </c>
      <c r="E86" s="245" t="s">
        <v>744</v>
      </c>
      <c r="F86" s="245" t="s">
        <v>707</v>
      </c>
      <c r="G86" s="245" t="s">
        <v>690</v>
      </c>
      <c r="H86" s="245" t="s">
        <v>692</v>
      </c>
      <c r="I86" s="245" t="s">
        <v>695</v>
      </c>
      <c r="J86" s="245" t="s">
        <v>696</v>
      </c>
    </row>
    <row r="87" spans="1:10" x14ac:dyDescent="0.25">
      <c r="A87" s="245">
        <v>86</v>
      </c>
      <c r="B87" s="245" t="s">
        <v>784</v>
      </c>
      <c r="C87" s="245" t="s">
        <v>693</v>
      </c>
      <c r="D87" s="245" t="s">
        <v>694</v>
      </c>
      <c r="E87" s="245" t="s">
        <v>744</v>
      </c>
      <c r="F87" s="245" t="s">
        <v>707</v>
      </c>
      <c r="G87" s="245" t="s">
        <v>691</v>
      </c>
      <c r="H87" s="245" t="s">
        <v>692</v>
      </c>
      <c r="I87" s="245" t="s">
        <v>695</v>
      </c>
      <c r="J87" s="245" t="s">
        <v>696</v>
      </c>
    </row>
    <row r="88" spans="1:10" x14ac:dyDescent="0.25">
      <c r="A88" s="245">
        <v>87</v>
      </c>
      <c r="B88" s="245" t="s">
        <v>785</v>
      </c>
      <c r="C88" s="245" t="s">
        <v>693</v>
      </c>
      <c r="D88" s="245" t="s">
        <v>694</v>
      </c>
      <c r="E88" s="245" t="s">
        <v>744</v>
      </c>
      <c r="F88" s="245" t="s">
        <v>707</v>
      </c>
      <c r="G88" s="245" t="s">
        <v>690</v>
      </c>
      <c r="H88" s="245" t="s">
        <v>692</v>
      </c>
      <c r="I88" s="245" t="s">
        <v>695</v>
      </c>
      <c r="J88" s="245" t="s">
        <v>691</v>
      </c>
    </row>
    <row r="89" spans="1:10" x14ac:dyDescent="0.25">
      <c r="A89" s="245">
        <v>88</v>
      </c>
      <c r="B89" s="245" t="s">
        <v>786</v>
      </c>
      <c r="C89" s="245" t="s">
        <v>693</v>
      </c>
      <c r="D89" s="245" t="s">
        <v>694</v>
      </c>
      <c r="E89" s="245" t="s">
        <v>744</v>
      </c>
      <c r="F89" s="245" t="s">
        <v>707</v>
      </c>
      <c r="G89" s="245" t="s">
        <v>690</v>
      </c>
      <c r="H89" s="245" t="s">
        <v>692</v>
      </c>
      <c r="I89" s="245" t="s">
        <v>691</v>
      </c>
      <c r="J89" s="245" t="s">
        <v>696</v>
      </c>
    </row>
    <row r="90" spans="1:10" x14ac:dyDescent="0.25">
      <c r="A90" s="245">
        <v>89</v>
      </c>
      <c r="B90" s="245" t="s">
        <v>787</v>
      </c>
      <c r="C90" s="245" t="s">
        <v>689</v>
      </c>
      <c r="D90" s="245" t="s">
        <v>690</v>
      </c>
      <c r="E90" s="245" t="s">
        <v>744</v>
      </c>
      <c r="F90" s="245" t="s">
        <v>707</v>
      </c>
      <c r="G90" s="245" t="s">
        <v>691</v>
      </c>
      <c r="H90" s="245" t="s">
        <v>693</v>
      </c>
      <c r="I90" s="245" t="s">
        <v>695</v>
      </c>
      <c r="J90" s="245" t="s">
        <v>696</v>
      </c>
    </row>
    <row r="91" spans="1:10" x14ac:dyDescent="0.25">
      <c r="A91" s="245">
        <v>90</v>
      </c>
      <c r="B91" s="245" t="s">
        <v>788</v>
      </c>
      <c r="C91" s="245" t="s">
        <v>689</v>
      </c>
      <c r="D91" s="245" t="s">
        <v>690</v>
      </c>
      <c r="E91" s="245" t="s">
        <v>744</v>
      </c>
      <c r="F91" s="245" t="s">
        <v>707</v>
      </c>
      <c r="G91" s="245" t="s">
        <v>691</v>
      </c>
      <c r="H91" s="245" t="s">
        <v>694</v>
      </c>
      <c r="I91" s="245" t="s">
        <v>695</v>
      </c>
      <c r="J91" s="245" t="s">
        <v>696</v>
      </c>
    </row>
    <row r="92" spans="1:10" x14ac:dyDescent="0.25">
      <c r="A92" s="245">
        <v>91</v>
      </c>
      <c r="B92" s="245" t="s">
        <v>789</v>
      </c>
      <c r="C92" s="245" t="s">
        <v>689</v>
      </c>
      <c r="D92" s="245" t="s">
        <v>690</v>
      </c>
      <c r="E92" s="245" t="s">
        <v>744</v>
      </c>
      <c r="F92" s="245" t="s">
        <v>707</v>
      </c>
      <c r="G92" s="245" t="s">
        <v>693</v>
      </c>
      <c r="H92" s="245" t="s">
        <v>694</v>
      </c>
      <c r="I92" s="245" t="s">
        <v>695</v>
      </c>
      <c r="J92" s="245" t="s">
        <v>696</v>
      </c>
    </row>
    <row r="93" spans="1:10" x14ac:dyDescent="0.25">
      <c r="A93" s="245">
        <v>92</v>
      </c>
      <c r="B93" s="245" t="s">
        <v>790</v>
      </c>
      <c r="C93" s="245" t="s">
        <v>689</v>
      </c>
      <c r="D93" s="245" t="s">
        <v>694</v>
      </c>
      <c r="E93" s="245" t="s">
        <v>744</v>
      </c>
      <c r="F93" s="245" t="s">
        <v>707</v>
      </c>
      <c r="G93" s="245" t="s">
        <v>691</v>
      </c>
      <c r="H93" s="245" t="s">
        <v>693</v>
      </c>
      <c r="I93" s="245" t="s">
        <v>695</v>
      </c>
      <c r="J93" s="245" t="s">
        <v>696</v>
      </c>
    </row>
    <row r="94" spans="1:10" x14ac:dyDescent="0.25">
      <c r="A94" s="245">
        <v>93</v>
      </c>
      <c r="B94" s="245" t="s">
        <v>791</v>
      </c>
      <c r="C94" s="245" t="s">
        <v>689</v>
      </c>
      <c r="D94" s="245" t="s">
        <v>690</v>
      </c>
      <c r="E94" s="245" t="s">
        <v>744</v>
      </c>
      <c r="F94" s="245" t="s">
        <v>707</v>
      </c>
      <c r="G94" s="245" t="s">
        <v>693</v>
      </c>
      <c r="H94" s="245" t="s">
        <v>694</v>
      </c>
      <c r="I94" s="245" t="s">
        <v>695</v>
      </c>
      <c r="J94" s="245" t="s">
        <v>691</v>
      </c>
    </row>
    <row r="95" spans="1:10" x14ac:dyDescent="0.25">
      <c r="A95" s="245">
        <v>94</v>
      </c>
      <c r="B95" s="245" t="s">
        <v>792</v>
      </c>
      <c r="C95" s="245" t="s">
        <v>689</v>
      </c>
      <c r="D95" s="245" t="s">
        <v>690</v>
      </c>
      <c r="E95" s="245" t="s">
        <v>744</v>
      </c>
      <c r="F95" s="245" t="s">
        <v>707</v>
      </c>
      <c r="G95" s="245" t="s">
        <v>693</v>
      </c>
      <c r="H95" s="245" t="s">
        <v>694</v>
      </c>
      <c r="I95" s="245" t="s">
        <v>691</v>
      </c>
      <c r="J95" s="245" t="s">
        <v>696</v>
      </c>
    </row>
    <row r="96" spans="1:10" x14ac:dyDescent="0.25">
      <c r="A96" s="245">
        <v>95</v>
      </c>
      <c r="B96" s="245" t="s">
        <v>793</v>
      </c>
      <c r="C96" s="245" t="s">
        <v>689</v>
      </c>
      <c r="D96" s="245" t="s">
        <v>690</v>
      </c>
      <c r="E96" s="245" t="s">
        <v>744</v>
      </c>
      <c r="F96" s="245" t="s">
        <v>707</v>
      </c>
      <c r="G96" s="245" t="s">
        <v>691</v>
      </c>
      <c r="H96" s="245" t="s">
        <v>692</v>
      </c>
      <c r="I96" s="245" t="s">
        <v>695</v>
      </c>
      <c r="J96" s="245" t="s">
        <v>696</v>
      </c>
    </row>
    <row r="97" spans="1:10" x14ac:dyDescent="0.25">
      <c r="A97" s="245">
        <v>96</v>
      </c>
      <c r="B97" s="245" t="s">
        <v>794</v>
      </c>
      <c r="C97" s="245" t="s">
        <v>689</v>
      </c>
      <c r="D97" s="245" t="s">
        <v>690</v>
      </c>
      <c r="E97" s="245" t="s">
        <v>744</v>
      </c>
      <c r="F97" s="245" t="s">
        <v>707</v>
      </c>
      <c r="G97" s="245" t="s">
        <v>693</v>
      </c>
      <c r="H97" s="245" t="s">
        <v>692</v>
      </c>
      <c r="I97" s="245" t="s">
        <v>695</v>
      </c>
      <c r="J97" s="245" t="s">
        <v>696</v>
      </c>
    </row>
    <row r="98" spans="1:10" x14ac:dyDescent="0.25">
      <c r="A98" s="245">
        <v>97</v>
      </c>
      <c r="B98" s="245" t="s">
        <v>795</v>
      </c>
      <c r="C98" s="245" t="s">
        <v>689</v>
      </c>
      <c r="D98" s="245" t="s">
        <v>691</v>
      </c>
      <c r="E98" s="245" t="s">
        <v>744</v>
      </c>
      <c r="F98" s="245" t="s">
        <v>707</v>
      </c>
      <c r="G98" s="245" t="s">
        <v>693</v>
      </c>
      <c r="H98" s="245" t="s">
        <v>692</v>
      </c>
      <c r="I98" s="245" t="s">
        <v>695</v>
      </c>
      <c r="J98" s="245" t="s">
        <v>696</v>
      </c>
    </row>
    <row r="99" spans="1:10" x14ac:dyDescent="0.25">
      <c r="A99" s="245">
        <v>98</v>
      </c>
      <c r="B99" s="245" t="s">
        <v>796</v>
      </c>
      <c r="C99" s="245" t="s">
        <v>689</v>
      </c>
      <c r="D99" s="245" t="s">
        <v>690</v>
      </c>
      <c r="E99" s="245" t="s">
        <v>744</v>
      </c>
      <c r="F99" s="245" t="s">
        <v>707</v>
      </c>
      <c r="G99" s="245" t="s">
        <v>693</v>
      </c>
      <c r="H99" s="245" t="s">
        <v>692</v>
      </c>
      <c r="I99" s="245" t="s">
        <v>695</v>
      </c>
      <c r="J99" s="245" t="s">
        <v>691</v>
      </c>
    </row>
    <row r="100" spans="1:10" x14ac:dyDescent="0.25">
      <c r="A100" s="245">
        <v>99</v>
      </c>
      <c r="B100" s="245" t="s">
        <v>797</v>
      </c>
      <c r="C100" s="245" t="s">
        <v>689</v>
      </c>
      <c r="D100" s="245" t="s">
        <v>690</v>
      </c>
      <c r="E100" s="245" t="s">
        <v>744</v>
      </c>
      <c r="F100" s="245" t="s">
        <v>707</v>
      </c>
      <c r="G100" s="245" t="s">
        <v>693</v>
      </c>
      <c r="H100" s="245" t="s">
        <v>692</v>
      </c>
      <c r="I100" s="245" t="s">
        <v>691</v>
      </c>
      <c r="J100" s="245" t="s">
        <v>696</v>
      </c>
    </row>
    <row r="101" spans="1:10" x14ac:dyDescent="0.25">
      <c r="A101" s="245">
        <v>100</v>
      </c>
      <c r="B101" s="245" t="s">
        <v>798</v>
      </c>
      <c r="C101" s="245" t="s">
        <v>689</v>
      </c>
      <c r="D101" s="245" t="s">
        <v>694</v>
      </c>
      <c r="E101" s="245" t="s">
        <v>744</v>
      </c>
      <c r="F101" s="245" t="s">
        <v>707</v>
      </c>
      <c r="G101" s="245" t="s">
        <v>690</v>
      </c>
      <c r="H101" s="245" t="s">
        <v>692</v>
      </c>
      <c r="I101" s="245" t="s">
        <v>695</v>
      </c>
      <c r="J101" s="245" t="s">
        <v>696</v>
      </c>
    </row>
    <row r="102" spans="1:10" x14ac:dyDescent="0.25">
      <c r="A102" s="245">
        <v>101</v>
      </c>
      <c r="B102" s="245" t="s">
        <v>799</v>
      </c>
      <c r="C102" s="245" t="s">
        <v>689</v>
      </c>
      <c r="D102" s="245" t="s">
        <v>694</v>
      </c>
      <c r="E102" s="245" t="s">
        <v>744</v>
      </c>
      <c r="F102" s="245" t="s">
        <v>707</v>
      </c>
      <c r="G102" s="245" t="s">
        <v>691</v>
      </c>
      <c r="H102" s="245" t="s">
        <v>692</v>
      </c>
      <c r="I102" s="245" t="s">
        <v>695</v>
      </c>
      <c r="J102" s="245" t="s">
        <v>696</v>
      </c>
    </row>
    <row r="103" spans="1:10" x14ac:dyDescent="0.25">
      <c r="A103" s="245">
        <v>102</v>
      </c>
      <c r="B103" s="245" t="s">
        <v>800</v>
      </c>
      <c r="C103" s="245" t="s">
        <v>689</v>
      </c>
      <c r="D103" s="245" t="s">
        <v>694</v>
      </c>
      <c r="E103" s="245" t="s">
        <v>744</v>
      </c>
      <c r="F103" s="245" t="s">
        <v>707</v>
      </c>
      <c r="G103" s="245" t="s">
        <v>690</v>
      </c>
      <c r="H103" s="245" t="s">
        <v>692</v>
      </c>
      <c r="I103" s="245" t="s">
        <v>695</v>
      </c>
      <c r="J103" s="245" t="s">
        <v>691</v>
      </c>
    </row>
    <row r="104" spans="1:10" x14ac:dyDescent="0.25">
      <c r="A104" s="245">
        <v>103</v>
      </c>
      <c r="B104" s="245" t="s">
        <v>801</v>
      </c>
      <c r="C104" s="245" t="s">
        <v>689</v>
      </c>
      <c r="D104" s="245" t="s">
        <v>694</v>
      </c>
      <c r="E104" s="245" t="s">
        <v>744</v>
      </c>
      <c r="F104" s="245" t="s">
        <v>707</v>
      </c>
      <c r="G104" s="245" t="s">
        <v>690</v>
      </c>
      <c r="H104" s="245" t="s">
        <v>692</v>
      </c>
      <c r="I104" s="245" t="s">
        <v>691</v>
      </c>
      <c r="J104" s="245" t="s">
        <v>696</v>
      </c>
    </row>
    <row r="105" spans="1:10" x14ac:dyDescent="0.25">
      <c r="A105" s="245">
        <v>104</v>
      </c>
      <c r="B105" s="245" t="s">
        <v>802</v>
      </c>
      <c r="C105" s="245" t="s">
        <v>689</v>
      </c>
      <c r="D105" s="245" t="s">
        <v>694</v>
      </c>
      <c r="E105" s="245" t="s">
        <v>744</v>
      </c>
      <c r="F105" s="245" t="s">
        <v>707</v>
      </c>
      <c r="G105" s="245" t="s">
        <v>693</v>
      </c>
      <c r="H105" s="245" t="s">
        <v>692</v>
      </c>
      <c r="I105" s="245" t="s">
        <v>695</v>
      </c>
      <c r="J105" s="245" t="s">
        <v>696</v>
      </c>
    </row>
    <row r="106" spans="1:10" x14ac:dyDescent="0.25">
      <c r="A106" s="245">
        <v>105</v>
      </c>
      <c r="B106" s="245" t="s">
        <v>803</v>
      </c>
      <c r="C106" s="245" t="s">
        <v>693</v>
      </c>
      <c r="D106" s="245" t="s">
        <v>694</v>
      </c>
      <c r="E106" s="245" t="s">
        <v>744</v>
      </c>
      <c r="F106" s="245" t="s">
        <v>707</v>
      </c>
      <c r="G106" s="245" t="s">
        <v>690</v>
      </c>
      <c r="H106" s="245" t="s">
        <v>692</v>
      </c>
      <c r="I106" s="245" t="s">
        <v>695</v>
      </c>
      <c r="J106" s="245" t="s">
        <v>689</v>
      </c>
    </row>
    <row r="107" spans="1:10" x14ac:dyDescent="0.25">
      <c r="A107" s="245">
        <v>106</v>
      </c>
      <c r="B107" s="245" t="s">
        <v>804</v>
      </c>
      <c r="C107" s="245" t="s">
        <v>693</v>
      </c>
      <c r="D107" s="245" t="s">
        <v>694</v>
      </c>
      <c r="E107" s="245" t="s">
        <v>744</v>
      </c>
      <c r="F107" s="245" t="s">
        <v>707</v>
      </c>
      <c r="G107" s="245" t="s">
        <v>690</v>
      </c>
      <c r="H107" s="245" t="s">
        <v>692</v>
      </c>
      <c r="I107" s="245" t="s">
        <v>689</v>
      </c>
      <c r="J107" s="245" t="s">
        <v>696</v>
      </c>
    </row>
    <row r="108" spans="1:10" x14ac:dyDescent="0.25">
      <c r="A108" s="245">
        <v>107</v>
      </c>
      <c r="B108" s="245" t="s">
        <v>805</v>
      </c>
      <c r="C108" s="245" t="s">
        <v>689</v>
      </c>
      <c r="D108" s="245" t="s">
        <v>694</v>
      </c>
      <c r="E108" s="245" t="s">
        <v>744</v>
      </c>
      <c r="F108" s="245" t="s">
        <v>707</v>
      </c>
      <c r="G108" s="245" t="s">
        <v>693</v>
      </c>
      <c r="H108" s="245" t="s">
        <v>692</v>
      </c>
      <c r="I108" s="245" t="s">
        <v>695</v>
      </c>
      <c r="J108" s="245" t="s">
        <v>691</v>
      </c>
    </row>
    <row r="109" spans="1:10" x14ac:dyDescent="0.25">
      <c r="A109" s="245">
        <v>108</v>
      </c>
      <c r="B109" s="245" t="s">
        <v>806</v>
      </c>
      <c r="C109" s="245" t="s">
        <v>689</v>
      </c>
      <c r="D109" s="245" t="s">
        <v>694</v>
      </c>
      <c r="E109" s="245" t="s">
        <v>744</v>
      </c>
      <c r="F109" s="245" t="s">
        <v>707</v>
      </c>
      <c r="G109" s="245" t="s">
        <v>693</v>
      </c>
      <c r="H109" s="245" t="s">
        <v>692</v>
      </c>
      <c r="I109" s="245" t="s">
        <v>691</v>
      </c>
      <c r="J109" s="245" t="s">
        <v>696</v>
      </c>
    </row>
    <row r="110" spans="1:10" x14ac:dyDescent="0.25">
      <c r="A110" s="245">
        <v>109</v>
      </c>
      <c r="B110" s="245" t="s">
        <v>807</v>
      </c>
      <c r="C110" s="245" t="s">
        <v>693</v>
      </c>
      <c r="D110" s="245" t="s">
        <v>694</v>
      </c>
      <c r="E110" s="245" t="s">
        <v>744</v>
      </c>
      <c r="F110" s="245" t="s">
        <v>707</v>
      </c>
      <c r="G110" s="245" t="s">
        <v>690</v>
      </c>
      <c r="H110" s="245" t="s">
        <v>692</v>
      </c>
      <c r="I110" s="245" t="s">
        <v>689</v>
      </c>
      <c r="J110" s="245" t="s">
        <v>691</v>
      </c>
    </row>
    <row r="111" spans="1:10" x14ac:dyDescent="0.25">
      <c r="A111" s="245">
        <v>110</v>
      </c>
      <c r="B111" s="245" t="s">
        <v>808</v>
      </c>
      <c r="C111" s="245" t="s">
        <v>693</v>
      </c>
      <c r="D111" s="245" t="s">
        <v>690</v>
      </c>
      <c r="E111" s="245" t="s">
        <v>744</v>
      </c>
      <c r="F111" s="245" t="s">
        <v>707</v>
      </c>
      <c r="G111" s="245" t="s">
        <v>691</v>
      </c>
      <c r="H111" s="245" t="s">
        <v>698</v>
      </c>
      <c r="I111" s="245" t="s">
        <v>695</v>
      </c>
      <c r="J111" s="245" t="s">
        <v>696</v>
      </c>
    </row>
    <row r="112" spans="1:10" x14ac:dyDescent="0.25">
      <c r="A112" s="245">
        <v>111</v>
      </c>
      <c r="B112" s="245" t="s">
        <v>809</v>
      </c>
      <c r="C112" s="245" t="s">
        <v>691</v>
      </c>
      <c r="D112" s="245" t="s">
        <v>694</v>
      </c>
      <c r="E112" s="245" t="s">
        <v>744</v>
      </c>
      <c r="F112" s="245" t="s">
        <v>707</v>
      </c>
      <c r="G112" s="245" t="s">
        <v>690</v>
      </c>
      <c r="H112" s="245" t="s">
        <v>698</v>
      </c>
      <c r="I112" s="245" t="s">
        <v>695</v>
      </c>
      <c r="J112" s="245" t="s">
        <v>696</v>
      </c>
    </row>
    <row r="113" spans="1:10" x14ac:dyDescent="0.25">
      <c r="A113" s="245">
        <v>112</v>
      </c>
      <c r="B113" s="245" t="s">
        <v>810</v>
      </c>
      <c r="C113" s="245" t="s">
        <v>693</v>
      </c>
      <c r="D113" s="245" t="s">
        <v>694</v>
      </c>
      <c r="E113" s="245" t="s">
        <v>744</v>
      </c>
      <c r="F113" s="245" t="s">
        <v>707</v>
      </c>
      <c r="G113" s="245" t="s">
        <v>690</v>
      </c>
      <c r="H113" s="245" t="s">
        <v>698</v>
      </c>
      <c r="I113" s="245" t="s">
        <v>695</v>
      </c>
      <c r="J113" s="245" t="s">
        <v>696</v>
      </c>
    </row>
    <row r="114" spans="1:10" x14ac:dyDescent="0.25">
      <c r="A114" s="245">
        <v>113</v>
      </c>
      <c r="B114" s="245" t="s">
        <v>811</v>
      </c>
      <c r="C114" s="245" t="s">
        <v>693</v>
      </c>
      <c r="D114" s="245" t="s">
        <v>694</v>
      </c>
      <c r="E114" s="245" t="s">
        <v>744</v>
      </c>
      <c r="F114" s="245" t="s">
        <v>707</v>
      </c>
      <c r="G114" s="245" t="s">
        <v>691</v>
      </c>
      <c r="H114" s="245" t="s">
        <v>698</v>
      </c>
      <c r="I114" s="245" t="s">
        <v>695</v>
      </c>
      <c r="J114" s="245" t="s">
        <v>696</v>
      </c>
    </row>
    <row r="115" spans="1:10" x14ac:dyDescent="0.25">
      <c r="A115" s="245">
        <v>114</v>
      </c>
      <c r="B115" s="245" t="s">
        <v>812</v>
      </c>
      <c r="C115" s="245" t="s">
        <v>693</v>
      </c>
      <c r="D115" s="245" t="s">
        <v>694</v>
      </c>
      <c r="E115" s="245" t="s">
        <v>744</v>
      </c>
      <c r="F115" s="245" t="s">
        <v>707</v>
      </c>
      <c r="G115" s="245" t="s">
        <v>690</v>
      </c>
      <c r="H115" s="245" t="s">
        <v>698</v>
      </c>
      <c r="I115" s="245" t="s">
        <v>695</v>
      </c>
      <c r="J115" s="245" t="s">
        <v>691</v>
      </c>
    </row>
    <row r="116" spans="1:10" x14ac:dyDescent="0.25">
      <c r="A116" s="245">
        <v>115</v>
      </c>
      <c r="B116" s="245" t="s">
        <v>813</v>
      </c>
      <c r="C116" s="245" t="s">
        <v>693</v>
      </c>
      <c r="D116" s="245" t="s">
        <v>694</v>
      </c>
      <c r="E116" s="245" t="s">
        <v>744</v>
      </c>
      <c r="F116" s="245" t="s">
        <v>707</v>
      </c>
      <c r="G116" s="245" t="s">
        <v>690</v>
      </c>
      <c r="H116" s="245" t="s">
        <v>698</v>
      </c>
      <c r="I116" s="245" t="s">
        <v>691</v>
      </c>
      <c r="J116" s="245" t="s">
        <v>696</v>
      </c>
    </row>
    <row r="117" spans="1:10" x14ac:dyDescent="0.25">
      <c r="A117" s="245">
        <v>116</v>
      </c>
      <c r="B117" s="245" t="s">
        <v>814</v>
      </c>
      <c r="C117" s="245" t="s">
        <v>707</v>
      </c>
      <c r="D117" s="245" t="s">
        <v>690</v>
      </c>
      <c r="E117" s="245" t="s">
        <v>744</v>
      </c>
      <c r="F117" s="245" t="s">
        <v>698</v>
      </c>
      <c r="G117" s="245" t="s">
        <v>691</v>
      </c>
      <c r="H117" s="245" t="s">
        <v>692</v>
      </c>
      <c r="I117" s="245" t="s">
        <v>695</v>
      </c>
      <c r="J117" s="245" t="s">
        <v>696</v>
      </c>
    </row>
    <row r="118" spans="1:10" x14ac:dyDescent="0.25">
      <c r="A118" s="245">
        <v>117</v>
      </c>
      <c r="B118" s="245" t="s">
        <v>815</v>
      </c>
      <c r="C118" s="245" t="s">
        <v>707</v>
      </c>
      <c r="D118" s="245" t="s">
        <v>690</v>
      </c>
      <c r="E118" s="245" t="s">
        <v>744</v>
      </c>
      <c r="F118" s="245" t="s">
        <v>698</v>
      </c>
      <c r="G118" s="245" t="s">
        <v>693</v>
      </c>
      <c r="H118" s="245" t="s">
        <v>692</v>
      </c>
      <c r="I118" s="245" t="s">
        <v>695</v>
      </c>
      <c r="J118" s="245" t="s">
        <v>696</v>
      </c>
    </row>
    <row r="119" spans="1:10" x14ac:dyDescent="0.25">
      <c r="A119" s="245">
        <v>118</v>
      </c>
      <c r="B119" s="245" t="s">
        <v>816</v>
      </c>
      <c r="C119" s="245" t="s">
        <v>707</v>
      </c>
      <c r="D119" s="245" t="s">
        <v>691</v>
      </c>
      <c r="E119" s="245" t="s">
        <v>744</v>
      </c>
      <c r="F119" s="245" t="s">
        <v>698</v>
      </c>
      <c r="G119" s="245" t="s">
        <v>693</v>
      </c>
      <c r="H119" s="245" t="s">
        <v>692</v>
      </c>
      <c r="I119" s="245" t="s">
        <v>695</v>
      </c>
      <c r="J119" s="245" t="s">
        <v>696</v>
      </c>
    </row>
    <row r="120" spans="1:10" x14ac:dyDescent="0.25">
      <c r="A120" s="245">
        <v>119</v>
      </c>
      <c r="B120" s="245" t="s">
        <v>817</v>
      </c>
      <c r="C120" s="245" t="s">
        <v>707</v>
      </c>
      <c r="D120" s="245" t="s">
        <v>690</v>
      </c>
      <c r="E120" s="245" t="s">
        <v>744</v>
      </c>
      <c r="F120" s="245" t="s">
        <v>698</v>
      </c>
      <c r="G120" s="245" t="s">
        <v>693</v>
      </c>
      <c r="H120" s="245" t="s">
        <v>692</v>
      </c>
      <c r="I120" s="245" t="s">
        <v>695</v>
      </c>
      <c r="J120" s="245" t="s">
        <v>691</v>
      </c>
    </row>
    <row r="121" spans="1:10" x14ac:dyDescent="0.25">
      <c r="A121" s="245">
        <v>120</v>
      </c>
      <c r="B121" s="245" t="s">
        <v>818</v>
      </c>
      <c r="C121" s="245" t="s">
        <v>707</v>
      </c>
      <c r="D121" s="245" t="s">
        <v>690</v>
      </c>
      <c r="E121" s="245" t="s">
        <v>744</v>
      </c>
      <c r="F121" s="245" t="s">
        <v>698</v>
      </c>
      <c r="G121" s="245" t="s">
        <v>693</v>
      </c>
      <c r="H121" s="245" t="s">
        <v>692</v>
      </c>
      <c r="I121" s="245" t="s">
        <v>691</v>
      </c>
      <c r="J121" s="245" t="s">
        <v>696</v>
      </c>
    </row>
    <row r="122" spans="1:10" x14ac:dyDescent="0.25">
      <c r="A122" s="245">
        <v>121</v>
      </c>
      <c r="B122" s="245" t="s">
        <v>819</v>
      </c>
      <c r="C122" s="245" t="s">
        <v>707</v>
      </c>
      <c r="D122" s="245" t="s">
        <v>694</v>
      </c>
      <c r="E122" s="245" t="s">
        <v>744</v>
      </c>
      <c r="F122" s="245" t="s">
        <v>698</v>
      </c>
      <c r="G122" s="245" t="s">
        <v>690</v>
      </c>
      <c r="H122" s="245" t="s">
        <v>692</v>
      </c>
      <c r="I122" s="245" t="s">
        <v>695</v>
      </c>
      <c r="J122" s="245" t="s">
        <v>696</v>
      </c>
    </row>
    <row r="123" spans="1:10" x14ac:dyDescent="0.25">
      <c r="A123" s="245">
        <v>122</v>
      </c>
      <c r="B123" s="245" t="s">
        <v>820</v>
      </c>
      <c r="C123" s="245" t="s">
        <v>707</v>
      </c>
      <c r="D123" s="245" t="s">
        <v>694</v>
      </c>
      <c r="E123" s="245" t="s">
        <v>744</v>
      </c>
      <c r="F123" s="245" t="s">
        <v>698</v>
      </c>
      <c r="G123" s="245" t="s">
        <v>691</v>
      </c>
      <c r="H123" s="245" t="s">
        <v>692</v>
      </c>
      <c r="I123" s="245" t="s">
        <v>695</v>
      </c>
      <c r="J123" s="245" t="s">
        <v>696</v>
      </c>
    </row>
    <row r="124" spans="1:10" x14ac:dyDescent="0.25">
      <c r="A124" s="245">
        <v>123</v>
      </c>
      <c r="B124" s="245" t="s">
        <v>821</v>
      </c>
      <c r="C124" s="245" t="s">
        <v>707</v>
      </c>
      <c r="D124" s="245" t="s">
        <v>694</v>
      </c>
      <c r="E124" s="245" t="s">
        <v>744</v>
      </c>
      <c r="F124" s="245" t="s">
        <v>698</v>
      </c>
      <c r="G124" s="245" t="s">
        <v>690</v>
      </c>
      <c r="H124" s="245" t="s">
        <v>692</v>
      </c>
      <c r="I124" s="245" t="s">
        <v>695</v>
      </c>
      <c r="J124" s="245" t="s">
        <v>691</v>
      </c>
    </row>
    <row r="125" spans="1:10" x14ac:dyDescent="0.25">
      <c r="A125" s="245">
        <v>124</v>
      </c>
      <c r="B125" s="245" t="s">
        <v>822</v>
      </c>
      <c r="C125" s="245" t="s">
        <v>707</v>
      </c>
      <c r="D125" s="245" t="s">
        <v>694</v>
      </c>
      <c r="E125" s="245" t="s">
        <v>744</v>
      </c>
      <c r="F125" s="245" t="s">
        <v>698</v>
      </c>
      <c r="G125" s="245" t="s">
        <v>690</v>
      </c>
      <c r="H125" s="245" t="s">
        <v>692</v>
      </c>
      <c r="I125" s="245" t="s">
        <v>691</v>
      </c>
      <c r="J125" s="245" t="s">
        <v>696</v>
      </c>
    </row>
    <row r="126" spans="1:10" x14ac:dyDescent="0.25">
      <c r="A126" s="245">
        <v>125</v>
      </c>
      <c r="B126" s="245" t="s">
        <v>823</v>
      </c>
      <c r="C126" s="245" t="s">
        <v>707</v>
      </c>
      <c r="D126" s="245" t="s">
        <v>694</v>
      </c>
      <c r="E126" s="245" t="s">
        <v>744</v>
      </c>
      <c r="F126" s="245" t="s">
        <v>698</v>
      </c>
      <c r="G126" s="245" t="s">
        <v>693</v>
      </c>
      <c r="H126" s="245" t="s">
        <v>692</v>
      </c>
      <c r="I126" s="245" t="s">
        <v>695</v>
      </c>
      <c r="J126" s="245" t="s">
        <v>696</v>
      </c>
    </row>
    <row r="127" spans="1:10" x14ac:dyDescent="0.25">
      <c r="A127" s="245">
        <v>126</v>
      </c>
      <c r="B127" s="245" t="s">
        <v>824</v>
      </c>
      <c r="C127" s="245" t="s">
        <v>707</v>
      </c>
      <c r="D127" s="245" t="s">
        <v>694</v>
      </c>
      <c r="E127" s="245" t="s">
        <v>744</v>
      </c>
      <c r="F127" s="245" t="s">
        <v>698</v>
      </c>
      <c r="G127" s="245" t="s">
        <v>693</v>
      </c>
      <c r="H127" s="245" t="s">
        <v>692</v>
      </c>
      <c r="I127" s="245" t="s">
        <v>695</v>
      </c>
      <c r="J127" s="245" t="s">
        <v>690</v>
      </c>
    </row>
    <row r="128" spans="1:10" x14ac:dyDescent="0.25">
      <c r="A128" s="245">
        <v>127</v>
      </c>
      <c r="B128" s="245" t="s">
        <v>825</v>
      </c>
      <c r="C128" s="245" t="s">
        <v>693</v>
      </c>
      <c r="D128" s="245" t="s">
        <v>694</v>
      </c>
      <c r="E128" s="245" t="s">
        <v>744</v>
      </c>
      <c r="F128" s="245" t="s">
        <v>707</v>
      </c>
      <c r="G128" s="245" t="s">
        <v>690</v>
      </c>
      <c r="H128" s="245" t="s">
        <v>692</v>
      </c>
      <c r="I128" s="245" t="s">
        <v>698</v>
      </c>
      <c r="J128" s="245" t="s">
        <v>696</v>
      </c>
    </row>
    <row r="129" spans="1:10" x14ac:dyDescent="0.25">
      <c r="A129" s="245">
        <v>128</v>
      </c>
      <c r="B129" s="245" t="s">
        <v>826</v>
      </c>
      <c r="C129" s="245" t="s">
        <v>707</v>
      </c>
      <c r="D129" s="245" t="s">
        <v>694</v>
      </c>
      <c r="E129" s="245" t="s">
        <v>744</v>
      </c>
      <c r="F129" s="245" t="s">
        <v>698</v>
      </c>
      <c r="G129" s="245" t="s">
        <v>693</v>
      </c>
      <c r="H129" s="245" t="s">
        <v>692</v>
      </c>
      <c r="I129" s="245" t="s">
        <v>695</v>
      </c>
      <c r="J129" s="245" t="s">
        <v>691</v>
      </c>
    </row>
    <row r="130" spans="1:10" x14ac:dyDescent="0.25">
      <c r="A130" s="245">
        <v>129</v>
      </c>
      <c r="B130" s="245" t="s">
        <v>827</v>
      </c>
      <c r="C130" s="245" t="s">
        <v>707</v>
      </c>
      <c r="D130" s="245" t="s">
        <v>694</v>
      </c>
      <c r="E130" s="245" t="s">
        <v>744</v>
      </c>
      <c r="F130" s="245" t="s">
        <v>698</v>
      </c>
      <c r="G130" s="245" t="s">
        <v>693</v>
      </c>
      <c r="H130" s="245" t="s">
        <v>692</v>
      </c>
      <c r="I130" s="245" t="s">
        <v>691</v>
      </c>
      <c r="J130" s="245" t="s">
        <v>696</v>
      </c>
    </row>
    <row r="131" spans="1:10" x14ac:dyDescent="0.25">
      <c r="A131" s="245">
        <v>130</v>
      </c>
      <c r="B131" s="245" t="s">
        <v>828</v>
      </c>
      <c r="C131" s="245" t="s">
        <v>693</v>
      </c>
      <c r="D131" s="245" t="s">
        <v>694</v>
      </c>
      <c r="E131" s="245" t="s">
        <v>744</v>
      </c>
      <c r="F131" s="245" t="s">
        <v>707</v>
      </c>
      <c r="G131" s="245" t="s">
        <v>690</v>
      </c>
      <c r="H131" s="245" t="s">
        <v>692</v>
      </c>
      <c r="I131" s="245" t="s">
        <v>698</v>
      </c>
      <c r="J131" s="245" t="s">
        <v>691</v>
      </c>
    </row>
    <row r="132" spans="1:10" x14ac:dyDescent="0.25">
      <c r="A132" s="245">
        <v>131</v>
      </c>
      <c r="B132" s="245" t="s">
        <v>829</v>
      </c>
      <c r="C132" s="245" t="s">
        <v>689</v>
      </c>
      <c r="D132" s="245" t="s">
        <v>690</v>
      </c>
      <c r="E132" s="245" t="s">
        <v>744</v>
      </c>
      <c r="F132" s="245" t="s">
        <v>707</v>
      </c>
      <c r="G132" s="245" t="s">
        <v>691</v>
      </c>
      <c r="H132" s="245" t="s">
        <v>698</v>
      </c>
      <c r="I132" s="245" t="s">
        <v>695</v>
      </c>
      <c r="J132" s="245" t="s">
        <v>696</v>
      </c>
    </row>
    <row r="133" spans="1:10" x14ac:dyDescent="0.25">
      <c r="A133" s="245">
        <v>132</v>
      </c>
      <c r="B133" s="245" t="s">
        <v>830</v>
      </c>
      <c r="C133" s="245" t="s">
        <v>689</v>
      </c>
      <c r="D133" s="245" t="s">
        <v>690</v>
      </c>
      <c r="E133" s="245" t="s">
        <v>744</v>
      </c>
      <c r="F133" s="245" t="s">
        <v>707</v>
      </c>
      <c r="G133" s="245" t="s">
        <v>693</v>
      </c>
      <c r="H133" s="245" t="s">
        <v>698</v>
      </c>
      <c r="I133" s="245" t="s">
        <v>695</v>
      </c>
      <c r="J133" s="245" t="s">
        <v>696</v>
      </c>
    </row>
    <row r="134" spans="1:10" x14ac:dyDescent="0.25">
      <c r="A134" s="245">
        <v>133</v>
      </c>
      <c r="B134" s="245" t="s">
        <v>831</v>
      </c>
      <c r="C134" s="245" t="s">
        <v>689</v>
      </c>
      <c r="D134" s="245" t="s">
        <v>691</v>
      </c>
      <c r="E134" s="245" t="s">
        <v>744</v>
      </c>
      <c r="F134" s="245" t="s">
        <v>707</v>
      </c>
      <c r="G134" s="245" t="s">
        <v>693</v>
      </c>
      <c r="H134" s="245" t="s">
        <v>698</v>
      </c>
      <c r="I134" s="245" t="s">
        <v>695</v>
      </c>
      <c r="J134" s="245" t="s">
        <v>696</v>
      </c>
    </row>
    <row r="135" spans="1:10" x14ac:dyDescent="0.25">
      <c r="A135" s="245">
        <v>134</v>
      </c>
      <c r="B135" s="245" t="s">
        <v>832</v>
      </c>
      <c r="C135" s="245" t="s">
        <v>689</v>
      </c>
      <c r="D135" s="245" t="s">
        <v>690</v>
      </c>
      <c r="E135" s="245" t="s">
        <v>744</v>
      </c>
      <c r="F135" s="245" t="s">
        <v>707</v>
      </c>
      <c r="G135" s="245" t="s">
        <v>693</v>
      </c>
      <c r="H135" s="245" t="s">
        <v>698</v>
      </c>
      <c r="I135" s="245" t="s">
        <v>695</v>
      </c>
      <c r="J135" s="245" t="s">
        <v>691</v>
      </c>
    </row>
    <row r="136" spans="1:10" x14ac:dyDescent="0.25">
      <c r="A136" s="245">
        <v>135</v>
      </c>
      <c r="B136" s="245" t="s">
        <v>833</v>
      </c>
      <c r="C136" s="245" t="s">
        <v>689</v>
      </c>
      <c r="D136" s="245" t="s">
        <v>690</v>
      </c>
      <c r="E136" s="245" t="s">
        <v>744</v>
      </c>
      <c r="F136" s="245" t="s">
        <v>707</v>
      </c>
      <c r="G136" s="245" t="s">
        <v>693</v>
      </c>
      <c r="H136" s="245" t="s">
        <v>698</v>
      </c>
      <c r="I136" s="245" t="s">
        <v>691</v>
      </c>
      <c r="J136" s="245" t="s">
        <v>696</v>
      </c>
    </row>
    <row r="137" spans="1:10" x14ac:dyDescent="0.25">
      <c r="A137" s="245">
        <v>136</v>
      </c>
      <c r="B137" s="245" t="s">
        <v>834</v>
      </c>
      <c r="C137" s="245" t="s">
        <v>689</v>
      </c>
      <c r="D137" s="245" t="s">
        <v>694</v>
      </c>
      <c r="E137" s="245" t="s">
        <v>744</v>
      </c>
      <c r="F137" s="245" t="s">
        <v>707</v>
      </c>
      <c r="G137" s="245" t="s">
        <v>690</v>
      </c>
      <c r="H137" s="245" t="s">
        <v>698</v>
      </c>
      <c r="I137" s="245" t="s">
        <v>695</v>
      </c>
      <c r="J137" s="245" t="s">
        <v>696</v>
      </c>
    </row>
    <row r="138" spans="1:10" x14ac:dyDescent="0.25">
      <c r="A138" s="245">
        <v>137</v>
      </c>
      <c r="B138" s="245" t="s">
        <v>835</v>
      </c>
      <c r="C138" s="245" t="s">
        <v>689</v>
      </c>
      <c r="D138" s="245" t="s">
        <v>694</v>
      </c>
      <c r="E138" s="245" t="s">
        <v>744</v>
      </c>
      <c r="F138" s="245" t="s">
        <v>707</v>
      </c>
      <c r="G138" s="245" t="s">
        <v>691</v>
      </c>
      <c r="H138" s="245" t="s">
        <v>698</v>
      </c>
      <c r="I138" s="245" t="s">
        <v>695</v>
      </c>
      <c r="J138" s="245" t="s">
        <v>696</v>
      </c>
    </row>
    <row r="139" spans="1:10" x14ac:dyDescent="0.25">
      <c r="A139" s="245">
        <v>138</v>
      </c>
      <c r="B139" s="245" t="s">
        <v>836</v>
      </c>
      <c r="C139" s="245" t="s">
        <v>689</v>
      </c>
      <c r="D139" s="245" t="s">
        <v>694</v>
      </c>
      <c r="E139" s="245" t="s">
        <v>744</v>
      </c>
      <c r="F139" s="245" t="s">
        <v>707</v>
      </c>
      <c r="G139" s="245" t="s">
        <v>690</v>
      </c>
      <c r="H139" s="245" t="s">
        <v>698</v>
      </c>
      <c r="I139" s="245" t="s">
        <v>695</v>
      </c>
      <c r="J139" s="245" t="s">
        <v>691</v>
      </c>
    </row>
    <row r="140" spans="1:10" x14ac:dyDescent="0.25">
      <c r="A140" s="245">
        <v>139</v>
      </c>
      <c r="B140" s="245" t="s">
        <v>837</v>
      </c>
      <c r="C140" s="245" t="s">
        <v>689</v>
      </c>
      <c r="D140" s="245" t="s">
        <v>694</v>
      </c>
      <c r="E140" s="245" t="s">
        <v>744</v>
      </c>
      <c r="F140" s="245" t="s">
        <v>707</v>
      </c>
      <c r="G140" s="245" t="s">
        <v>690</v>
      </c>
      <c r="H140" s="245" t="s">
        <v>698</v>
      </c>
      <c r="I140" s="245" t="s">
        <v>691</v>
      </c>
      <c r="J140" s="245" t="s">
        <v>696</v>
      </c>
    </row>
    <row r="141" spans="1:10" x14ac:dyDescent="0.25">
      <c r="A141" s="245">
        <v>140</v>
      </c>
      <c r="B141" s="245" t="s">
        <v>838</v>
      </c>
      <c r="C141" s="245" t="s">
        <v>689</v>
      </c>
      <c r="D141" s="245" t="s">
        <v>694</v>
      </c>
      <c r="E141" s="245" t="s">
        <v>744</v>
      </c>
      <c r="F141" s="245" t="s">
        <v>707</v>
      </c>
      <c r="G141" s="245" t="s">
        <v>693</v>
      </c>
      <c r="H141" s="245" t="s">
        <v>698</v>
      </c>
      <c r="I141" s="245" t="s">
        <v>695</v>
      </c>
      <c r="J141" s="245" t="s">
        <v>696</v>
      </c>
    </row>
    <row r="142" spans="1:10" x14ac:dyDescent="0.25">
      <c r="A142" s="245">
        <v>141</v>
      </c>
      <c r="B142" s="245" t="s">
        <v>839</v>
      </c>
      <c r="C142" s="245" t="s">
        <v>693</v>
      </c>
      <c r="D142" s="245" t="s">
        <v>694</v>
      </c>
      <c r="E142" s="245" t="s">
        <v>744</v>
      </c>
      <c r="F142" s="245" t="s">
        <v>707</v>
      </c>
      <c r="G142" s="245" t="s">
        <v>690</v>
      </c>
      <c r="H142" s="245" t="s">
        <v>698</v>
      </c>
      <c r="I142" s="245" t="s">
        <v>695</v>
      </c>
      <c r="J142" s="245" t="s">
        <v>689</v>
      </c>
    </row>
    <row r="143" spans="1:10" x14ac:dyDescent="0.25">
      <c r="A143" s="245">
        <v>142</v>
      </c>
      <c r="B143" s="245" t="s">
        <v>840</v>
      </c>
      <c r="C143" s="245" t="s">
        <v>693</v>
      </c>
      <c r="D143" s="245" t="s">
        <v>694</v>
      </c>
      <c r="E143" s="245" t="s">
        <v>744</v>
      </c>
      <c r="F143" s="245" t="s">
        <v>707</v>
      </c>
      <c r="G143" s="245" t="s">
        <v>690</v>
      </c>
      <c r="H143" s="245" t="s">
        <v>698</v>
      </c>
      <c r="I143" s="245" t="s">
        <v>689</v>
      </c>
      <c r="J143" s="245" t="s">
        <v>696</v>
      </c>
    </row>
    <row r="144" spans="1:10" x14ac:dyDescent="0.25">
      <c r="A144" s="245">
        <v>143</v>
      </c>
      <c r="B144" s="245" t="s">
        <v>841</v>
      </c>
      <c r="C144" s="245" t="s">
        <v>689</v>
      </c>
      <c r="D144" s="245" t="s">
        <v>694</v>
      </c>
      <c r="E144" s="245" t="s">
        <v>744</v>
      </c>
      <c r="F144" s="245" t="s">
        <v>707</v>
      </c>
      <c r="G144" s="245" t="s">
        <v>693</v>
      </c>
      <c r="H144" s="245" t="s">
        <v>698</v>
      </c>
      <c r="I144" s="245" t="s">
        <v>695</v>
      </c>
      <c r="J144" s="245" t="s">
        <v>691</v>
      </c>
    </row>
    <row r="145" spans="1:10" x14ac:dyDescent="0.25">
      <c r="A145" s="245">
        <v>144</v>
      </c>
      <c r="B145" s="245" t="s">
        <v>842</v>
      </c>
      <c r="C145" s="245" t="s">
        <v>689</v>
      </c>
      <c r="D145" s="245" t="s">
        <v>694</v>
      </c>
      <c r="E145" s="245" t="s">
        <v>744</v>
      </c>
      <c r="F145" s="245" t="s">
        <v>707</v>
      </c>
      <c r="G145" s="245" t="s">
        <v>693</v>
      </c>
      <c r="H145" s="245" t="s">
        <v>698</v>
      </c>
      <c r="I145" s="245" t="s">
        <v>691</v>
      </c>
      <c r="J145" s="245" t="s">
        <v>696</v>
      </c>
    </row>
    <row r="146" spans="1:10" x14ac:dyDescent="0.25">
      <c r="A146" s="245">
        <v>145</v>
      </c>
      <c r="B146" s="245" t="s">
        <v>843</v>
      </c>
      <c r="C146" s="245" t="s">
        <v>693</v>
      </c>
      <c r="D146" s="245" t="s">
        <v>694</v>
      </c>
      <c r="E146" s="245" t="s">
        <v>744</v>
      </c>
      <c r="F146" s="245" t="s">
        <v>707</v>
      </c>
      <c r="G146" s="245" t="s">
        <v>690</v>
      </c>
      <c r="H146" s="245" t="s">
        <v>698</v>
      </c>
      <c r="I146" s="245" t="s">
        <v>689</v>
      </c>
      <c r="J146" s="245" t="s">
        <v>691</v>
      </c>
    </row>
    <row r="147" spans="1:10" x14ac:dyDescent="0.25">
      <c r="A147" s="245">
        <v>146</v>
      </c>
      <c r="B147" s="245" t="s">
        <v>844</v>
      </c>
      <c r="C147" s="245" t="s">
        <v>707</v>
      </c>
      <c r="D147" s="245" t="s">
        <v>690</v>
      </c>
      <c r="E147" s="245" t="s">
        <v>744</v>
      </c>
      <c r="F147" s="245" t="s">
        <v>698</v>
      </c>
      <c r="G147" s="245" t="s">
        <v>689</v>
      </c>
      <c r="H147" s="245" t="s">
        <v>692</v>
      </c>
      <c r="I147" s="245" t="s">
        <v>695</v>
      </c>
      <c r="J147" s="245" t="s">
        <v>696</v>
      </c>
    </row>
    <row r="148" spans="1:10" x14ac:dyDescent="0.25">
      <c r="A148" s="245">
        <v>147</v>
      </c>
      <c r="B148" s="245" t="s">
        <v>845</v>
      </c>
      <c r="C148" s="245" t="s">
        <v>707</v>
      </c>
      <c r="D148" s="245" t="s">
        <v>689</v>
      </c>
      <c r="E148" s="245" t="s">
        <v>744</v>
      </c>
      <c r="F148" s="245" t="s">
        <v>698</v>
      </c>
      <c r="G148" s="245" t="s">
        <v>691</v>
      </c>
      <c r="H148" s="245" t="s">
        <v>692</v>
      </c>
      <c r="I148" s="245" t="s">
        <v>695</v>
      </c>
      <c r="J148" s="245" t="s">
        <v>696</v>
      </c>
    </row>
    <row r="149" spans="1:10" x14ac:dyDescent="0.25">
      <c r="A149" s="245">
        <v>148</v>
      </c>
      <c r="B149" s="245" t="s">
        <v>846</v>
      </c>
      <c r="C149" s="245" t="s">
        <v>707</v>
      </c>
      <c r="D149" s="245" t="s">
        <v>690</v>
      </c>
      <c r="E149" s="245" t="s">
        <v>744</v>
      </c>
      <c r="F149" s="245" t="s">
        <v>698</v>
      </c>
      <c r="G149" s="245" t="s">
        <v>689</v>
      </c>
      <c r="H149" s="245" t="s">
        <v>692</v>
      </c>
      <c r="I149" s="245" t="s">
        <v>695</v>
      </c>
      <c r="J149" s="245" t="s">
        <v>691</v>
      </c>
    </row>
    <row r="150" spans="1:10" x14ac:dyDescent="0.25">
      <c r="A150" s="245">
        <v>149</v>
      </c>
      <c r="B150" s="245" t="s">
        <v>847</v>
      </c>
      <c r="C150" s="245" t="s">
        <v>707</v>
      </c>
      <c r="D150" s="245" t="s">
        <v>690</v>
      </c>
      <c r="E150" s="245" t="s">
        <v>744</v>
      </c>
      <c r="F150" s="245" t="s">
        <v>698</v>
      </c>
      <c r="G150" s="245" t="s">
        <v>689</v>
      </c>
      <c r="H150" s="245" t="s">
        <v>692</v>
      </c>
      <c r="I150" s="245" t="s">
        <v>691</v>
      </c>
      <c r="J150" s="245" t="s">
        <v>696</v>
      </c>
    </row>
    <row r="151" spans="1:10" x14ac:dyDescent="0.25">
      <c r="A151" s="245">
        <v>150</v>
      </c>
      <c r="B151" s="245" t="s">
        <v>848</v>
      </c>
      <c r="C151" s="245" t="s">
        <v>707</v>
      </c>
      <c r="D151" s="245" t="s">
        <v>689</v>
      </c>
      <c r="E151" s="245" t="s">
        <v>744</v>
      </c>
      <c r="F151" s="245" t="s">
        <v>698</v>
      </c>
      <c r="G151" s="245" t="s">
        <v>693</v>
      </c>
      <c r="H151" s="245" t="s">
        <v>692</v>
      </c>
      <c r="I151" s="245" t="s">
        <v>695</v>
      </c>
      <c r="J151" s="245" t="s">
        <v>696</v>
      </c>
    </row>
    <row r="152" spans="1:10" x14ac:dyDescent="0.25">
      <c r="A152" s="245">
        <v>151</v>
      </c>
      <c r="B152" s="245" t="s">
        <v>849</v>
      </c>
      <c r="C152" s="245" t="s">
        <v>707</v>
      </c>
      <c r="D152" s="245" t="s">
        <v>690</v>
      </c>
      <c r="E152" s="245" t="s">
        <v>744</v>
      </c>
      <c r="F152" s="245" t="s">
        <v>698</v>
      </c>
      <c r="G152" s="245" t="s">
        <v>693</v>
      </c>
      <c r="H152" s="245" t="s">
        <v>692</v>
      </c>
      <c r="I152" s="245" t="s">
        <v>695</v>
      </c>
      <c r="J152" s="245" t="s">
        <v>689</v>
      </c>
    </row>
    <row r="153" spans="1:10" x14ac:dyDescent="0.25">
      <c r="A153" s="245">
        <v>152</v>
      </c>
      <c r="B153" s="245" t="s">
        <v>850</v>
      </c>
      <c r="C153" s="245" t="s">
        <v>707</v>
      </c>
      <c r="D153" s="245" t="s">
        <v>690</v>
      </c>
      <c r="E153" s="245" t="s">
        <v>744</v>
      </c>
      <c r="F153" s="245" t="s">
        <v>698</v>
      </c>
      <c r="G153" s="245" t="s">
        <v>693</v>
      </c>
      <c r="H153" s="245" t="s">
        <v>692</v>
      </c>
      <c r="I153" s="245" t="s">
        <v>689</v>
      </c>
      <c r="J153" s="245" t="s">
        <v>696</v>
      </c>
    </row>
    <row r="154" spans="1:10" x14ac:dyDescent="0.25">
      <c r="A154" s="245">
        <v>153</v>
      </c>
      <c r="B154" s="245" t="s">
        <v>851</v>
      </c>
      <c r="C154" s="245" t="s">
        <v>707</v>
      </c>
      <c r="D154" s="245" t="s">
        <v>689</v>
      </c>
      <c r="E154" s="245" t="s">
        <v>744</v>
      </c>
      <c r="F154" s="245" t="s">
        <v>698</v>
      </c>
      <c r="G154" s="245" t="s">
        <v>693</v>
      </c>
      <c r="H154" s="245" t="s">
        <v>692</v>
      </c>
      <c r="I154" s="245" t="s">
        <v>695</v>
      </c>
      <c r="J154" s="245" t="s">
        <v>691</v>
      </c>
    </row>
    <row r="155" spans="1:10" x14ac:dyDescent="0.25">
      <c r="A155" s="245">
        <v>154</v>
      </c>
      <c r="B155" s="245" t="s">
        <v>852</v>
      </c>
      <c r="C155" s="245" t="s">
        <v>707</v>
      </c>
      <c r="D155" s="245" t="s">
        <v>689</v>
      </c>
      <c r="E155" s="245" t="s">
        <v>744</v>
      </c>
      <c r="F155" s="245" t="s">
        <v>698</v>
      </c>
      <c r="G155" s="245" t="s">
        <v>693</v>
      </c>
      <c r="H155" s="245" t="s">
        <v>692</v>
      </c>
      <c r="I155" s="245" t="s">
        <v>691</v>
      </c>
      <c r="J155" s="245" t="s">
        <v>696</v>
      </c>
    </row>
    <row r="156" spans="1:10" x14ac:dyDescent="0.25">
      <c r="A156" s="245">
        <v>155</v>
      </c>
      <c r="B156" s="245" t="s">
        <v>853</v>
      </c>
      <c r="C156" s="245" t="s">
        <v>707</v>
      </c>
      <c r="D156" s="245" t="s">
        <v>690</v>
      </c>
      <c r="E156" s="245" t="s">
        <v>744</v>
      </c>
      <c r="F156" s="245" t="s">
        <v>698</v>
      </c>
      <c r="G156" s="245" t="s">
        <v>693</v>
      </c>
      <c r="H156" s="245" t="s">
        <v>692</v>
      </c>
      <c r="I156" s="245" t="s">
        <v>689</v>
      </c>
      <c r="J156" s="245" t="s">
        <v>691</v>
      </c>
    </row>
    <row r="157" spans="1:10" x14ac:dyDescent="0.25">
      <c r="A157" s="245">
        <v>156</v>
      </c>
      <c r="B157" s="245" t="s">
        <v>854</v>
      </c>
      <c r="C157" s="245" t="s">
        <v>707</v>
      </c>
      <c r="D157" s="245" t="s">
        <v>694</v>
      </c>
      <c r="E157" s="245" t="s">
        <v>744</v>
      </c>
      <c r="F157" s="245" t="s">
        <v>698</v>
      </c>
      <c r="G157" s="245" t="s">
        <v>689</v>
      </c>
      <c r="H157" s="245" t="s">
        <v>692</v>
      </c>
      <c r="I157" s="245" t="s">
        <v>695</v>
      </c>
      <c r="J157" s="245" t="s">
        <v>696</v>
      </c>
    </row>
    <row r="158" spans="1:10" x14ac:dyDescent="0.25">
      <c r="A158" s="245">
        <v>157</v>
      </c>
      <c r="B158" s="245" t="s">
        <v>855</v>
      </c>
      <c r="C158" s="245" t="s">
        <v>707</v>
      </c>
      <c r="D158" s="245" t="s">
        <v>694</v>
      </c>
      <c r="E158" s="245" t="s">
        <v>744</v>
      </c>
      <c r="F158" s="245" t="s">
        <v>698</v>
      </c>
      <c r="G158" s="245" t="s">
        <v>690</v>
      </c>
      <c r="H158" s="245" t="s">
        <v>692</v>
      </c>
      <c r="I158" s="245" t="s">
        <v>695</v>
      </c>
      <c r="J158" s="245" t="s">
        <v>689</v>
      </c>
    </row>
    <row r="159" spans="1:10" x14ac:dyDescent="0.25">
      <c r="A159" s="245">
        <v>158</v>
      </c>
      <c r="B159" s="245" t="s">
        <v>856</v>
      </c>
      <c r="C159" s="245" t="s">
        <v>707</v>
      </c>
      <c r="D159" s="245" t="s">
        <v>694</v>
      </c>
      <c r="E159" s="245" t="s">
        <v>744</v>
      </c>
      <c r="F159" s="245" t="s">
        <v>698</v>
      </c>
      <c r="G159" s="245" t="s">
        <v>690</v>
      </c>
      <c r="H159" s="245" t="s">
        <v>692</v>
      </c>
      <c r="I159" s="245" t="s">
        <v>689</v>
      </c>
      <c r="J159" s="245" t="s">
        <v>696</v>
      </c>
    </row>
    <row r="160" spans="1:10" x14ac:dyDescent="0.25">
      <c r="A160" s="245">
        <v>159</v>
      </c>
      <c r="B160" s="245" t="s">
        <v>857</v>
      </c>
      <c r="C160" s="245" t="s">
        <v>707</v>
      </c>
      <c r="D160" s="245" t="s">
        <v>694</v>
      </c>
      <c r="E160" s="245" t="s">
        <v>744</v>
      </c>
      <c r="F160" s="245" t="s">
        <v>698</v>
      </c>
      <c r="G160" s="245" t="s">
        <v>689</v>
      </c>
      <c r="H160" s="245" t="s">
        <v>692</v>
      </c>
      <c r="I160" s="245" t="s">
        <v>695</v>
      </c>
      <c r="J160" s="245" t="s">
        <v>691</v>
      </c>
    </row>
    <row r="161" spans="1:10" x14ac:dyDescent="0.25">
      <c r="A161" s="245">
        <v>160</v>
      </c>
      <c r="B161" s="245" t="s">
        <v>858</v>
      </c>
      <c r="C161" s="245" t="s">
        <v>707</v>
      </c>
      <c r="D161" s="245" t="s">
        <v>694</v>
      </c>
      <c r="E161" s="245" t="s">
        <v>744</v>
      </c>
      <c r="F161" s="245" t="s">
        <v>698</v>
      </c>
      <c r="G161" s="245" t="s">
        <v>689</v>
      </c>
      <c r="H161" s="245" t="s">
        <v>692</v>
      </c>
      <c r="I161" s="245" t="s">
        <v>691</v>
      </c>
      <c r="J161" s="245" t="s">
        <v>696</v>
      </c>
    </row>
    <row r="162" spans="1:10" x14ac:dyDescent="0.25">
      <c r="A162" s="245">
        <v>161</v>
      </c>
      <c r="B162" s="245" t="s">
        <v>859</v>
      </c>
      <c r="C162" s="245" t="s">
        <v>707</v>
      </c>
      <c r="D162" s="245" t="s">
        <v>694</v>
      </c>
      <c r="E162" s="245" t="s">
        <v>744</v>
      </c>
      <c r="F162" s="245" t="s">
        <v>698</v>
      </c>
      <c r="G162" s="245" t="s">
        <v>690</v>
      </c>
      <c r="H162" s="245" t="s">
        <v>692</v>
      </c>
      <c r="I162" s="245" t="s">
        <v>689</v>
      </c>
      <c r="J162" s="245" t="s">
        <v>691</v>
      </c>
    </row>
    <row r="163" spans="1:10" x14ac:dyDescent="0.25">
      <c r="A163" s="245">
        <v>162</v>
      </c>
      <c r="B163" s="245" t="s">
        <v>860</v>
      </c>
      <c r="C163" s="245" t="s">
        <v>707</v>
      </c>
      <c r="D163" s="245" t="s">
        <v>694</v>
      </c>
      <c r="E163" s="245" t="s">
        <v>744</v>
      </c>
      <c r="F163" s="245" t="s">
        <v>698</v>
      </c>
      <c r="G163" s="245" t="s">
        <v>693</v>
      </c>
      <c r="H163" s="245" t="s">
        <v>692</v>
      </c>
      <c r="I163" s="245" t="s">
        <v>695</v>
      </c>
      <c r="J163" s="245" t="s">
        <v>689</v>
      </c>
    </row>
    <row r="164" spans="1:10" x14ac:dyDescent="0.25">
      <c r="A164" s="245">
        <v>163</v>
      </c>
      <c r="B164" s="245" t="s">
        <v>861</v>
      </c>
      <c r="C164" s="245" t="s">
        <v>707</v>
      </c>
      <c r="D164" s="245" t="s">
        <v>694</v>
      </c>
      <c r="E164" s="245" t="s">
        <v>744</v>
      </c>
      <c r="F164" s="245" t="s">
        <v>698</v>
      </c>
      <c r="G164" s="245" t="s">
        <v>693</v>
      </c>
      <c r="H164" s="245" t="s">
        <v>692</v>
      </c>
      <c r="I164" s="245" t="s">
        <v>689</v>
      </c>
      <c r="J164" s="245" t="s">
        <v>696</v>
      </c>
    </row>
    <row r="165" spans="1:10" x14ac:dyDescent="0.25">
      <c r="A165" s="245">
        <v>164</v>
      </c>
      <c r="B165" s="245" t="s">
        <v>862</v>
      </c>
      <c r="C165" s="245" t="s">
        <v>693</v>
      </c>
      <c r="D165" s="245" t="s">
        <v>694</v>
      </c>
      <c r="E165" s="245" t="s">
        <v>744</v>
      </c>
      <c r="F165" s="245" t="s">
        <v>707</v>
      </c>
      <c r="G165" s="245" t="s">
        <v>690</v>
      </c>
      <c r="H165" s="245" t="s">
        <v>692</v>
      </c>
      <c r="I165" s="245" t="s">
        <v>698</v>
      </c>
      <c r="J165" s="245" t="s">
        <v>689</v>
      </c>
    </row>
    <row r="166" spans="1:10" x14ac:dyDescent="0.25">
      <c r="A166" s="245">
        <v>165</v>
      </c>
      <c r="B166" s="245" t="s">
        <v>863</v>
      </c>
      <c r="C166" s="245" t="s">
        <v>707</v>
      </c>
      <c r="D166" s="245" t="s">
        <v>694</v>
      </c>
      <c r="E166" s="245" t="s">
        <v>744</v>
      </c>
      <c r="F166" s="245" t="s">
        <v>698</v>
      </c>
      <c r="G166" s="245" t="s">
        <v>693</v>
      </c>
      <c r="H166" s="245" t="s">
        <v>692</v>
      </c>
      <c r="I166" s="245" t="s">
        <v>689</v>
      </c>
      <c r="J166" s="245" t="s">
        <v>691</v>
      </c>
    </row>
    <row r="167" spans="1:10" x14ac:dyDescent="0.25">
      <c r="A167" s="245">
        <v>166</v>
      </c>
      <c r="B167" s="245" t="s">
        <v>864</v>
      </c>
      <c r="C167" s="245" t="s">
        <v>693</v>
      </c>
      <c r="D167" s="245" t="s">
        <v>690</v>
      </c>
      <c r="E167" s="245" t="s">
        <v>691</v>
      </c>
      <c r="F167" s="245" t="s">
        <v>692</v>
      </c>
      <c r="G167" s="245" t="s">
        <v>865</v>
      </c>
      <c r="H167" s="245" t="s">
        <v>694</v>
      </c>
      <c r="I167" s="245" t="s">
        <v>695</v>
      </c>
      <c r="J167" s="245" t="s">
        <v>696</v>
      </c>
    </row>
    <row r="168" spans="1:10" x14ac:dyDescent="0.25">
      <c r="A168" s="245">
        <v>167</v>
      </c>
      <c r="B168" s="245" t="s">
        <v>866</v>
      </c>
      <c r="C168" s="245" t="s">
        <v>689</v>
      </c>
      <c r="D168" s="245" t="s">
        <v>690</v>
      </c>
      <c r="E168" s="245" t="s">
        <v>691</v>
      </c>
      <c r="F168" s="245" t="s">
        <v>865</v>
      </c>
      <c r="G168" s="245" t="s">
        <v>693</v>
      </c>
      <c r="H168" s="245" t="s">
        <v>694</v>
      </c>
      <c r="I168" s="245" t="s">
        <v>695</v>
      </c>
      <c r="J168" s="245" t="s">
        <v>696</v>
      </c>
    </row>
    <row r="169" spans="1:10" x14ac:dyDescent="0.25">
      <c r="A169" s="245">
        <v>168</v>
      </c>
      <c r="B169" s="245" t="s">
        <v>867</v>
      </c>
      <c r="C169" s="245" t="s">
        <v>689</v>
      </c>
      <c r="D169" s="245" t="s">
        <v>690</v>
      </c>
      <c r="E169" s="245" t="s">
        <v>691</v>
      </c>
      <c r="F169" s="245" t="s">
        <v>692</v>
      </c>
      <c r="G169" s="245" t="s">
        <v>865</v>
      </c>
      <c r="H169" s="245" t="s">
        <v>693</v>
      </c>
      <c r="I169" s="245" t="s">
        <v>695</v>
      </c>
      <c r="J169" s="245" t="s">
        <v>696</v>
      </c>
    </row>
    <row r="170" spans="1:10" x14ac:dyDescent="0.25">
      <c r="A170" s="245">
        <v>169</v>
      </c>
      <c r="B170" s="245" t="s">
        <v>868</v>
      </c>
      <c r="C170" s="245" t="s">
        <v>689</v>
      </c>
      <c r="D170" s="245" t="s">
        <v>690</v>
      </c>
      <c r="E170" s="245" t="s">
        <v>691</v>
      </c>
      <c r="F170" s="245" t="s">
        <v>692</v>
      </c>
      <c r="G170" s="245" t="s">
        <v>865</v>
      </c>
      <c r="H170" s="245" t="s">
        <v>694</v>
      </c>
      <c r="I170" s="245" t="s">
        <v>695</v>
      </c>
      <c r="J170" s="245" t="s">
        <v>696</v>
      </c>
    </row>
    <row r="171" spans="1:10" x14ac:dyDescent="0.25">
      <c r="A171" s="245">
        <v>170</v>
      </c>
      <c r="B171" s="245" t="s">
        <v>869</v>
      </c>
      <c r="C171" s="245" t="s">
        <v>689</v>
      </c>
      <c r="D171" s="245" t="s">
        <v>694</v>
      </c>
      <c r="E171" s="245" t="s">
        <v>690</v>
      </c>
      <c r="F171" s="245" t="s">
        <v>692</v>
      </c>
      <c r="G171" s="245" t="s">
        <v>865</v>
      </c>
      <c r="H171" s="245" t="s">
        <v>693</v>
      </c>
      <c r="I171" s="245" t="s">
        <v>695</v>
      </c>
      <c r="J171" s="245" t="s">
        <v>696</v>
      </c>
    </row>
    <row r="172" spans="1:10" x14ac:dyDescent="0.25">
      <c r="A172" s="245">
        <v>171</v>
      </c>
      <c r="B172" s="245" t="s">
        <v>870</v>
      </c>
      <c r="C172" s="245" t="s">
        <v>689</v>
      </c>
      <c r="D172" s="245" t="s">
        <v>694</v>
      </c>
      <c r="E172" s="245" t="s">
        <v>691</v>
      </c>
      <c r="F172" s="245" t="s">
        <v>692</v>
      </c>
      <c r="G172" s="245" t="s">
        <v>865</v>
      </c>
      <c r="H172" s="245" t="s">
        <v>693</v>
      </c>
      <c r="I172" s="245" t="s">
        <v>695</v>
      </c>
      <c r="J172" s="245" t="s">
        <v>696</v>
      </c>
    </row>
    <row r="173" spans="1:10" x14ac:dyDescent="0.25">
      <c r="A173" s="245">
        <v>172</v>
      </c>
      <c r="B173" s="245" t="s">
        <v>871</v>
      </c>
      <c r="C173" s="245" t="s">
        <v>689</v>
      </c>
      <c r="D173" s="245" t="s">
        <v>694</v>
      </c>
      <c r="E173" s="245" t="s">
        <v>690</v>
      </c>
      <c r="F173" s="245" t="s">
        <v>692</v>
      </c>
      <c r="G173" s="245" t="s">
        <v>865</v>
      </c>
      <c r="H173" s="245" t="s">
        <v>693</v>
      </c>
      <c r="I173" s="245" t="s">
        <v>695</v>
      </c>
      <c r="J173" s="245" t="s">
        <v>691</v>
      </c>
    </row>
    <row r="174" spans="1:10" x14ac:dyDescent="0.25">
      <c r="A174" s="245">
        <v>173</v>
      </c>
      <c r="B174" s="245" t="s">
        <v>872</v>
      </c>
      <c r="C174" s="245" t="s">
        <v>689</v>
      </c>
      <c r="D174" s="245" t="s">
        <v>694</v>
      </c>
      <c r="E174" s="245" t="s">
        <v>690</v>
      </c>
      <c r="F174" s="245" t="s">
        <v>692</v>
      </c>
      <c r="G174" s="245" t="s">
        <v>865</v>
      </c>
      <c r="H174" s="245" t="s">
        <v>693</v>
      </c>
      <c r="I174" s="245" t="s">
        <v>691</v>
      </c>
      <c r="J174" s="245" t="s">
        <v>696</v>
      </c>
    </row>
    <row r="175" spans="1:10" x14ac:dyDescent="0.25">
      <c r="A175" s="245">
        <v>174</v>
      </c>
      <c r="B175" s="245" t="s">
        <v>873</v>
      </c>
      <c r="C175" s="245" t="s">
        <v>693</v>
      </c>
      <c r="D175" s="245" t="s">
        <v>690</v>
      </c>
      <c r="E175" s="245" t="s">
        <v>691</v>
      </c>
      <c r="F175" s="245" t="s">
        <v>698</v>
      </c>
      <c r="G175" s="245" t="s">
        <v>865</v>
      </c>
      <c r="H175" s="245" t="s">
        <v>694</v>
      </c>
      <c r="I175" s="245" t="s">
        <v>695</v>
      </c>
      <c r="J175" s="245" t="s">
        <v>696</v>
      </c>
    </row>
    <row r="176" spans="1:10" x14ac:dyDescent="0.25">
      <c r="A176" s="245">
        <v>175</v>
      </c>
      <c r="B176" s="245" t="s">
        <v>874</v>
      </c>
      <c r="C176" s="245" t="s">
        <v>693</v>
      </c>
      <c r="D176" s="245" t="s">
        <v>690</v>
      </c>
      <c r="E176" s="245" t="s">
        <v>691</v>
      </c>
      <c r="F176" s="245" t="s">
        <v>698</v>
      </c>
      <c r="G176" s="245" t="s">
        <v>865</v>
      </c>
      <c r="H176" s="245" t="s">
        <v>692</v>
      </c>
      <c r="I176" s="245" t="s">
        <v>695</v>
      </c>
      <c r="J176" s="245" t="s">
        <v>696</v>
      </c>
    </row>
    <row r="177" spans="1:10" x14ac:dyDescent="0.25">
      <c r="A177" s="245">
        <v>176</v>
      </c>
      <c r="B177" s="245" t="s">
        <v>875</v>
      </c>
      <c r="C177" s="245" t="s">
        <v>691</v>
      </c>
      <c r="D177" s="245" t="s">
        <v>694</v>
      </c>
      <c r="E177" s="245" t="s">
        <v>690</v>
      </c>
      <c r="F177" s="245" t="s">
        <v>698</v>
      </c>
      <c r="G177" s="245" t="s">
        <v>865</v>
      </c>
      <c r="H177" s="245" t="s">
        <v>692</v>
      </c>
      <c r="I177" s="245" t="s">
        <v>695</v>
      </c>
      <c r="J177" s="245" t="s">
        <v>696</v>
      </c>
    </row>
    <row r="178" spans="1:10" x14ac:dyDescent="0.25">
      <c r="A178" s="245">
        <v>177</v>
      </c>
      <c r="B178" s="245" t="s">
        <v>876</v>
      </c>
      <c r="C178" s="245" t="s">
        <v>693</v>
      </c>
      <c r="D178" s="245" t="s">
        <v>694</v>
      </c>
      <c r="E178" s="245" t="s">
        <v>690</v>
      </c>
      <c r="F178" s="245" t="s">
        <v>698</v>
      </c>
      <c r="G178" s="245" t="s">
        <v>865</v>
      </c>
      <c r="H178" s="245" t="s">
        <v>692</v>
      </c>
      <c r="I178" s="245" t="s">
        <v>695</v>
      </c>
      <c r="J178" s="245" t="s">
        <v>696</v>
      </c>
    </row>
    <row r="179" spans="1:10" x14ac:dyDescent="0.25">
      <c r="A179" s="245">
        <v>178</v>
      </c>
      <c r="B179" s="245" t="s">
        <v>877</v>
      </c>
      <c r="C179" s="245" t="s">
        <v>693</v>
      </c>
      <c r="D179" s="245" t="s">
        <v>694</v>
      </c>
      <c r="E179" s="245" t="s">
        <v>691</v>
      </c>
      <c r="F179" s="245" t="s">
        <v>698</v>
      </c>
      <c r="G179" s="245" t="s">
        <v>865</v>
      </c>
      <c r="H179" s="245" t="s">
        <v>692</v>
      </c>
      <c r="I179" s="245" t="s">
        <v>695</v>
      </c>
      <c r="J179" s="245" t="s">
        <v>696</v>
      </c>
    </row>
    <row r="180" spans="1:10" x14ac:dyDescent="0.25">
      <c r="A180" s="245">
        <v>179</v>
      </c>
      <c r="B180" s="245" t="s">
        <v>878</v>
      </c>
      <c r="C180" s="245" t="s">
        <v>693</v>
      </c>
      <c r="D180" s="245" t="s">
        <v>694</v>
      </c>
      <c r="E180" s="245" t="s">
        <v>690</v>
      </c>
      <c r="F180" s="245" t="s">
        <v>698</v>
      </c>
      <c r="G180" s="245" t="s">
        <v>865</v>
      </c>
      <c r="H180" s="245" t="s">
        <v>692</v>
      </c>
      <c r="I180" s="245" t="s">
        <v>695</v>
      </c>
      <c r="J180" s="245" t="s">
        <v>691</v>
      </c>
    </row>
    <row r="181" spans="1:10" x14ac:dyDescent="0.25">
      <c r="A181" s="245">
        <v>180</v>
      </c>
      <c r="B181" s="245" t="s">
        <v>879</v>
      </c>
      <c r="C181" s="245" t="s">
        <v>693</v>
      </c>
      <c r="D181" s="245" t="s">
        <v>694</v>
      </c>
      <c r="E181" s="245" t="s">
        <v>690</v>
      </c>
      <c r="F181" s="245" t="s">
        <v>698</v>
      </c>
      <c r="G181" s="245" t="s">
        <v>865</v>
      </c>
      <c r="H181" s="245" t="s">
        <v>692</v>
      </c>
      <c r="I181" s="245" t="s">
        <v>691</v>
      </c>
      <c r="J181" s="245" t="s">
        <v>696</v>
      </c>
    </row>
    <row r="182" spans="1:10" x14ac:dyDescent="0.25">
      <c r="A182" s="245">
        <v>181</v>
      </c>
      <c r="B182" s="245" t="s">
        <v>880</v>
      </c>
      <c r="C182" s="245" t="s">
        <v>689</v>
      </c>
      <c r="D182" s="245" t="s">
        <v>690</v>
      </c>
      <c r="E182" s="245" t="s">
        <v>691</v>
      </c>
      <c r="F182" s="245" t="s">
        <v>698</v>
      </c>
      <c r="G182" s="245" t="s">
        <v>865</v>
      </c>
      <c r="H182" s="245" t="s">
        <v>693</v>
      </c>
      <c r="I182" s="245" t="s">
        <v>695</v>
      </c>
      <c r="J182" s="245" t="s">
        <v>696</v>
      </c>
    </row>
    <row r="183" spans="1:10" x14ac:dyDescent="0.25">
      <c r="A183" s="245">
        <v>182</v>
      </c>
      <c r="B183" s="245" t="s">
        <v>881</v>
      </c>
      <c r="C183" s="245" t="s">
        <v>689</v>
      </c>
      <c r="D183" s="245" t="s">
        <v>690</v>
      </c>
      <c r="E183" s="245" t="s">
        <v>691</v>
      </c>
      <c r="F183" s="245" t="s">
        <v>698</v>
      </c>
      <c r="G183" s="245" t="s">
        <v>865</v>
      </c>
      <c r="H183" s="245" t="s">
        <v>694</v>
      </c>
      <c r="I183" s="245" t="s">
        <v>695</v>
      </c>
      <c r="J183" s="245" t="s">
        <v>696</v>
      </c>
    </row>
    <row r="184" spans="1:10" x14ac:dyDescent="0.25">
      <c r="A184" s="245">
        <v>183</v>
      </c>
      <c r="B184" s="245" t="s">
        <v>882</v>
      </c>
      <c r="C184" s="245" t="s">
        <v>689</v>
      </c>
      <c r="D184" s="245" t="s">
        <v>694</v>
      </c>
      <c r="E184" s="245" t="s">
        <v>690</v>
      </c>
      <c r="F184" s="245" t="s">
        <v>698</v>
      </c>
      <c r="G184" s="245" t="s">
        <v>865</v>
      </c>
      <c r="H184" s="245" t="s">
        <v>693</v>
      </c>
      <c r="I184" s="245" t="s">
        <v>695</v>
      </c>
      <c r="J184" s="245" t="s">
        <v>696</v>
      </c>
    </row>
    <row r="185" spans="1:10" x14ac:dyDescent="0.25">
      <c r="A185" s="245">
        <v>184</v>
      </c>
      <c r="B185" s="245" t="s">
        <v>883</v>
      </c>
      <c r="C185" s="245" t="s">
        <v>689</v>
      </c>
      <c r="D185" s="245" t="s">
        <v>694</v>
      </c>
      <c r="E185" s="245" t="s">
        <v>691</v>
      </c>
      <c r="F185" s="245" t="s">
        <v>698</v>
      </c>
      <c r="G185" s="245" t="s">
        <v>865</v>
      </c>
      <c r="H185" s="245" t="s">
        <v>693</v>
      </c>
      <c r="I185" s="245" t="s">
        <v>695</v>
      </c>
      <c r="J185" s="245" t="s">
        <v>696</v>
      </c>
    </row>
    <row r="186" spans="1:10" x14ac:dyDescent="0.25">
      <c r="A186" s="245">
        <v>185</v>
      </c>
      <c r="B186" s="245" t="s">
        <v>884</v>
      </c>
      <c r="C186" s="245" t="s">
        <v>689</v>
      </c>
      <c r="D186" s="245" t="s">
        <v>694</v>
      </c>
      <c r="E186" s="245" t="s">
        <v>690</v>
      </c>
      <c r="F186" s="245" t="s">
        <v>698</v>
      </c>
      <c r="G186" s="245" t="s">
        <v>865</v>
      </c>
      <c r="H186" s="245" t="s">
        <v>693</v>
      </c>
      <c r="I186" s="245" t="s">
        <v>695</v>
      </c>
      <c r="J186" s="245" t="s">
        <v>691</v>
      </c>
    </row>
    <row r="187" spans="1:10" x14ac:dyDescent="0.25">
      <c r="A187" s="245">
        <v>186</v>
      </c>
      <c r="B187" s="245" t="s">
        <v>885</v>
      </c>
      <c r="C187" s="245" t="s">
        <v>689</v>
      </c>
      <c r="D187" s="245" t="s">
        <v>694</v>
      </c>
      <c r="E187" s="245" t="s">
        <v>690</v>
      </c>
      <c r="F187" s="245" t="s">
        <v>698</v>
      </c>
      <c r="G187" s="245" t="s">
        <v>865</v>
      </c>
      <c r="H187" s="245" t="s">
        <v>693</v>
      </c>
      <c r="I187" s="245" t="s">
        <v>691</v>
      </c>
      <c r="J187" s="245" t="s">
        <v>696</v>
      </c>
    </row>
    <row r="188" spans="1:10" x14ac:dyDescent="0.25">
      <c r="A188" s="245">
        <v>187</v>
      </c>
      <c r="B188" s="245" t="s">
        <v>886</v>
      </c>
      <c r="C188" s="245" t="s">
        <v>689</v>
      </c>
      <c r="D188" s="245" t="s">
        <v>690</v>
      </c>
      <c r="E188" s="245" t="s">
        <v>691</v>
      </c>
      <c r="F188" s="245" t="s">
        <v>698</v>
      </c>
      <c r="G188" s="245" t="s">
        <v>865</v>
      </c>
      <c r="H188" s="245" t="s">
        <v>692</v>
      </c>
      <c r="I188" s="245" t="s">
        <v>695</v>
      </c>
      <c r="J188" s="245" t="s">
        <v>696</v>
      </c>
    </row>
    <row r="189" spans="1:10" x14ac:dyDescent="0.25">
      <c r="A189" s="245">
        <v>188</v>
      </c>
      <c r="B189" s="245" t="s">
        <v>887</v>
      </c>
      <c r="C189" s="245" t="s">
        <v>693</v>
      </c>
      <c r="D189" s="245" t="s">
        <v>690</v>
      </c>
      <c r="E189" s="245" t="s">
        <v>689</v>
      </c>
      <c r="F189" s="245" t="s">
        <v>698</v>
      </c>
      <c r="G189" s="245" t="s">
        <v>865</v>
      </c>
      <c r="H189" s="245" t="s">
        <v>692</v>
      </c>
      <c r="I189" s="245" t="s">
        <v>695</v>
      </c>
      <c r="J189" s="245" t="s">
        <v>696</v>
      </c>
    </row>
    <row r="190" spans="1:10" x14ac:dyDescent="0.25">
      <c r="A190" s="245">
        <v>189</v>
      </c>
      <c r="B190" s="245" t="s">
        <v>888</v>
      </c>
      <c r="C190" s="245" t="s">
        <v>693</v>
      </c>
      <c r="D190" s="245" t="s">
        <v>689</v>
      </c>
      <c r="E190" s="245" t="s">
        <v>691</v>
      </c>
      <c r="F190" s="245" t="s">
        <v>698</v>
      </c>
      <c r="G190" s="245" t="s">
        <v>865</v>
      </c>
      <c r="H190" s="245" t="s">
        <v>692</v>
      </c>
      <c r="I190" s="245" t="s">
        <v>695</v>
      </c>
      <c r="J190" s="245" t="s">
        <v>696</v>
      </c>
    </row>
    <row r="191" spans="1:10" x14ac:dyDescent="0.25">
      <c r="A191" s="245">
        <v>190</v>
      </c>
      <c r="B191" s="245" t="s">
        <v>889</v>
      </c>
      <c r="C191" s="245" t="s">
        <v>693</v>
      </c>
      <c r="D191" s="245" t="s">
        <v>690</v>
      </c>
      <c r="E191" s="245" t="s">
        <v>689</v>
      </c>
      <c r="F191" s="245" t="s">
        <v>698</v>
      </c>
      <c r="G191" s="245" t="s">
        <v>865</v>
      </c>
      <c r="H191" s="245" t="s">
        <v>692</v>
      </c>
      <c r="I191" s="245" t="s">
        <v>695</v>
      </c>
      <c r="J191" s="245" t="s">
        <v>691</v>
      </c>
    </row>
    <row r="192" spans="1:10" x14ac:dyDescent="0.25">
      <c r="A192" s="245">
        <v>191</v>
      </c>
      <c r="B192" s="245" t="s">
        <v>890</v>
      </c>
      <c r="C192" s="245" t="s">
        <v>693</v>
      </c>
      <c r="D192" s="245" t="s">
        <v>690</v>
      </c>
      <c r="E192" s="245" t="s">
        <v>689</v>
      </c>
      <c r="F192" s="245" t="s">
        <v>698</v>
      </c>
      <c r="G192" s="245" t="s">
        <v>865</v>
      </c>
      <c r="H192" s="245" t="s">
        <v>692</v>
      </c>
      <c r="I192" s="245" t="s">
        <v>691</v>
      </c>
      <c r="J192" s="245" t="s">
        <v>696</v>
      </c>
    </row>
    <row r="193" spans="1:10" x14ac:dyDescent="0.25">
      <c r="A193" s="245">
        <v>192</v>
      </c>
      <c r="B193" s="245" t="s">
        <v>891</v>
      </c>
      <c r="C193" s="245" t="s">
        <v>689</v>
      </c>
      <c r="D193" s="245" t="s">
        <v>694</v>
      </c>
      <c r="E193" s="245" t="s">
        <v>690</v>
      </c>
      <c r="F193" s="245" t="s">
        <v>698</v>
      </c>
      <c r="G193" s="245" t="s">
        <v>865</v>
      </c>
      <c r="H193" s="245" t="s">
        <v>692</v>
      </c>
      <c r="I193" s="245" t="s">
        <v>695</v>
      </c>
      <c r="J193" s="245" t="s">
        <v>696</v>
      </c>
    </row>
    <row r="194" spans="1:10" x14ac:dyDescent="0.25">
      <c r="A194" s="245">
        <v>193</v>
      </c>
      <c r="B194" s="245" t="s">
        <v>892</v>
      </c>
      <c r="C194" s="245" t="s">
        <v>689</v>
      </c>
      <c r="D194" s="245" t="s">
        <v>694</v>
      </c>
      <c r="E194" s="245" t="s">
        <v>691</v>
      </c>
      <c r="F194" s="245" t="s">
        <v>698</v>
      </c>
      <c r="G194" s="245" t="s">
        <v>865</v>
      </c>
      <c r="H194" s="245" t="s">
        <v>692</v>
      </c>
      <c r="I194" s="245" t="s">
        <v>695</v>
      </c>
      <c r="J194" s="245" t="s">
        <v>696</v>
      </c>
    </row>
    <row r="195" spans="1:10" x14ac:dyDescent="0.25">
      <c r="A195" s="245">
        <v>194</v>
      </c>
      <c r="B195" s="245" t="s">
        <v>893</v>
      </c>
      <c r="C195" s="245" t="s">
        <v>689</v>
      </c>
      <c r="D195" s="245" t="s">
        <v>694</v>
      </c>
      <c r="E195" s="245" t="s">
        <v>690</v>
      </c>
      <c r="F195" s="245" t="s">
        <v>698</v>
      </c>
      <c r="G195" s="245" t="s">
        <v>865</v>
      </c>
      <c r="H195" s="245" t="s">
        <v>692</v>
      </c>
      <c r="I195" s="245" t="s">
        <v>695</v>
      </c>
      <c r="J195" s="245" t="s">
        <v>691</v>
      </c>
    </row>
    <row r="196" spans="1:10" x14ac:dyDescent="0.25">
      <c r="A196" s="245">
        <v>195</v>
      </c>
      <c r="B196" s="245" t="s">
        <v>894</v>
      </c>
      <c r="C196" s="245" t="s">
        <v>689</v>
      </c>
      <c r="D196" s="245" t="s">
        <v>694</v>
      </c>
      <c r="E196" s="245" t="s">
        <v>690</v>
      </c>
      <c r="F196" s="245" t="s">
        <v>698</v>
      </c>
      <c r="G196" s="245" t="s">
        <v>865</v>
      </c>
      <c r="H196" s="245" t="s">
        <v>692</v>
      </c>
      <c r="I196" s="245" t="s">
        <v>691</v>
      </c>
      <c r="J196" s="245" t="s">
        <v>696</v>
      </c>
    </row>
    <row r="197" spans="1:10" x14ac:dyDescent="0.25">
      <c r="A197" s="245">
        <v>196</v>
      </c>
      <c r="B197" s="245" t="s">
        <v>895</v>
      </c>
      <c r="C197" s="245" t="s">
        <v>693</v>
      </c>
      <c r="D197" s="245" t="s">
        <v>694</v>
      </c>
      <c r="E197" s="245" t="s">
        <v>689</v>
      </c>
      <c r="F197" s="245" t="s">
        <v>698</v>
      </c>
      <c r="G197" s="245" t="s">
        <v>865</v>
      </c>
      <c r="H197" s="245" t="s">
        <v>692</v>
      </c>
      <c r="I197" s="245" t="s">
        <v>695</v>
      </c>
      <c r="J197" s="245" t="s">
        <v>696</v>
      </c>
    </row>
    <row r="198" spans="1:10" x14ac:dyDescent="0.25">
      <c r="A198" s="245">
        <v>197</v>
      </c>
      <c r="B198" s="245" t="s">
        <v>896</v>
      </c>
      <c r="C198" s="245" t="s">
        <v>693</v>
      </c>
      <c r="D198" s="245" t="s">
        <v>694</v>
      </c>
      <c r="E198" s="245" t="s">
        <v>690</v>
      </c>
      <c r="F198" s="245" t="s">
        <v>698</v>
      </c>
      <c r="G198" s="245" t="s">
        <v>865</v>
      </c>
      <c r="H198" s="245" t="s">
        <v>692</v>
      </c>
      <c r="I198" s="245" t="s">
        <v>695</v>
      </c>
      <c r="J198" s="245" t="s">
        <v>689</v>
      </c>
    </row>
    <row r="199" spans="1:10" x14ac:dyDescent="0.25">
      <c r="A199" s="245">
        <v>198</v>
      </c>
      <c r="B199" s="245" t="s">
        <v>897</v>
      </c>
      <c r="C199" s="245" t="s">
        <v>693</v>
      </c>
      <c r="D199" s="245" t="s">
        <v>694</v>
      </c>
      <c r="E199" s="245" t="s">
        <v>690</v>
      </c>
      <c r="F199" s="245" t="s">
        <v>698</v>
      </c>
      <c r="G199" s="245" t="s">
        <v>865</v>
      </c>
      <c r="H199" s="245" t="s">
        <v>692</v>
      </c>
      <c r="I199" s="245" t="s">
        <v>689</v>
      </c>
      <c r="J199" s="245" t="s">
        <v>696</v>
      </c>
    </row>
    <row r="200" spans="1:10" x14ac:dyDescent="0.25">
      <c r="A200" s="245">
        <v>199</v>
      </c>
      <c r="B200" s="245" t="s">
        <v>898</v>
      </c>
      <c r="C200" s="245" t="s">
        <v>693</v>
      </c>
      <c r="D200" s="245" t="s">
        <v>694</v>
      </c>
      <c r="E200" s="245" t="s">
        <v>689</v>
      </c>
      <c r="F200" s="245" t="s">
        <v>698</v>
      </c>
      <c r="G200" s="245" t="s">
        <v>865</v>
      </c>
      <c r="H200" s="245" t="s">
        <v>692</v>
      </c>
      <c r="I200" s="245" t="s">
        <v>695</v>
      </c>
      <c r="J200" s="245" t="s">
        <v>691</v>
      </c>
    </row>
    <row r="201" spans="1:10" x14ac:dyDescent="0.25">
      <c r="A201" s="245">
        <v>200</v>
      </c>
      <c r="B201" s="245" t="s">
        <v>899</v>
      </c>
      <c r="C201" s="245" t="s">
        <v>693</v>
      </c>
      <c r="D201" s="245" t="s">
        <v>694</v>
      </c>
      <c r="E201" s="245" t="s">
        <v>689</v>
      </c>
      <c r="F201" s="245" t="s">
        <v>698</v>
      </c>
      <c r="G201" s="245" t="s">
        <v>865</v>
      </c>
      <c r="H201" s="245" t="s">
        <v>692</v>
      </c>
      <c r="I201" s="245" t="s">
        <v>691</v>
      </c>
      <c r="J201" s="245" t="s">
        <v>696</v>
      </c>
    </row>
    <row r="202" spans="1:10" x14ac:dyDescent="0.25">
      <c r="A202" s="245">
        <v>201</v>
      </c>
      <c r="B202" s="245" t="s">
        <v>900</v>
      </c>
      <c r="C202" s="245" t="s">
        <v>693</v>
      </c>
      <c r="D202" s="245" t="s">
        <v>694</v>
      </c>
      <c r="E202" s="245" t="s">
        <v>690</v>
      </c>
      <c r="F202" s="245" t="s">
        <v>698</v>
      </c>
      <c r="G202" s="245" t="s">
        <v>865</v>
      </c>
      <c r="H202" s="245" t="s">
        <v>692</v>
      </c>
      <c r="I202" s="245" t="s">
        <v>689</v>
      </c>
      <c r="J202" s="245" t="s">
        <v>691</v>
      </c>
    </row>
    <row r="203" spans="1:10" x14ac:dyDescent="0.25">
      <c r="A203" s="245">
        <v>202</v>
      </c>
      <c r="B203" s="245" t="s">
        <v>901</v>
      </c>
      <c r="C203" s="245" t="s">
        <v>693</v>
      </c>
      <c r="D203" s="245" t="s">
        <v>690</v>
      </c>
      <c r="E203" s="245" t="s">
        <v>691</v>
      </c>
      <c r="F203" s="245" t="s">
        <v>707</v>
      </c>
      <c r="G203" s="245" t="s">
        <v>865</v>
      </c>
      <c r="H203" s="245" t="s">
        <v>694</v>
      </c>
      <c r="I203" s="245" t="s">
        <v>695</v>
      </c>
      <c r="J203" s="245" t="s">
        <v>696</v>
      </c>
    </row>
    <row r="204" spans="1:10" x14ac:dyDescent="0.25">
      <c r="A204" s="245">
        <v>203</v>
      </c>
      <c r="B204" s="245" t="s">
        <v>902</v>
      </c>
      <c r="C204" s="245" t="s">
        <v>693</v>
      </c>
      <c r="D204" s="245" t="s">
        <v>690</v>
      </c>
      <c r="E204" s="245" t="s">
        <v>691</v>
      </c>
      <c r="F204" s="245" t="s">
        <v>707</v>
      </c>
      <c r="G204" s="245" t="s">
        <v>865</v>
      </c>
      <c r="H204" s="245" t="s">
        <v>692</v>
      </c>
      <c r="I204" s="245" t="s">
        <v>695</v>
      </c>
      <c r="J204" s="245" t="s">
        <v>696</v>
      </c>
    </row>
    <row r="205" spans="1:10" x14ac:dyDescent="0.25">
      <c r="A205" s="245">
        <v>204</v>
      </c>
      <c r="B205" s="245" t="s">
        <v>903</v>
      </c>
      <c r="C205" s="245" t="s">
        <v>691</v>
      </c>
      <c r="D205" s="245" t="s">
        <v>694</v>
      </c>
      <c r="E205" s="245" t="s">
        <v>690</v>
      </c>
      <c r="F205" s="245" t="s">
        <v>707</v>
      </c>
      <c r="G205" s="245" t="s">
        <v>865</v>
      </c>
      <c r="H205" s="245" t="s">
        <v>692</v>
      </c>
      <c r="I205" s="245" t="s">
        <v>695</v>
      </c>
      <c r="J205" s="245" t="s">
        <v>696</v>
      </c>
    </row>
    <row r="206" spans="1:10" x14ac:dyDescent="0.25">
      <c r="A206" s="245">
        <v>205</v>
      </c>
      <c r="B206" s="245" t="s">
        <v>904</v>
      </c>
      <c r="C206" s="245" t="s">
        <v>693</v>
      </c>
      <c r="D206" s="245" t="s">
        <v>694</v>
      </c>
      <c r="E206" s="245" t="s">
        <v>690</v>
      </c>
      <c r="F206" s="245" t="s">
        <v>707</v>
      </c>
      <c r="G206" s="245" t="s">
        <v>865</v>
      </c>
      <c r="H206" s="245" t="s">
        <v>692</v>
      </c>
      <c r="I206" s="245" t="s">
        <v>695</v>
      </c>
      <c r="J206" s="245" t="s">
        <v>696</v>
      </c>
    </row>
    <row r="207" spans="1:10" x14ac:dyDescent="0.25">
      <c r="A207" s="245">
        <v>206</v>
      </c>
      <c r="B207" s="245" t="s">
        <v>905</v>
      </c>
      <c r="C207" s="245" t="s">
        <v>693</v>
      </c>
      <c r="D207" s="245" t="s">
        <v>694</v>
      </c>
      <c r="E207" s="245" t="s">
        <v>691</v>
      </c>
      <c r="F207" s="245" t="s">
        <v>707</v>
      </c>
      <c r="G207" s="245" t="s">
        <v>865</v>
      </c>
      <c r="H207" s="245" t="s">
        <v>692</v>
      </c>
      <c r="I207" s="245" t="s">
        <v>695</v>
      </c>
      <c r="J207" s="245" t="s">
        <v>696</v>
      </c>
    </row>
    <row r="208" spans="1:10" x14ac:dyDescent="0.25">
      <c r="A208" s="245">
        <v>207</v>
      </c>
      <c r="B208" s="245" t="s">
        <v>906</v>
      </c>
      <c r="C208" s="245" t="s">
        <v>693</v>
      </c>
      <c r="D208" s="245" t="s">
        <v>694</v>
      </c>
      <c r="E208" s="245" t="s">
        <v>690</v>
      </c>
      <c r="F208" s="245" t="s">
        <v>707</v>
      </c>
      <c r="G208" s="245" t="s">
        <v>865</v>
      </c>
      <c r="H208" s="245" t="s">
        <v>692</v>
      </c>
      <c r="I208" s="245" t="s">
        <v>695</v>
      </c>
      <c r="J208" s="245" t="s">
        <v>691</v>
      </c>
    </row>
    <row r="209" spans="1:10" x14ac:dyDescent="0.25">
      <c r="A209" s="245">
        <v>208</v>
      </c>
      <c r="B209" s="245" t="s">
        <v>907</v>
      </c>
      <c r="C209" s="245" t="s">
        <v>693</v>
      </c>
      <c r="D209" s="245" t="s">
        <v>694</v>
      </c>
      <c r="E209" s="245" t="s">
        <v>690</v>
      </c>
      <c r="F209" s="245" t="s">
        <v>707</v>
      </c>
      <c r="G209" s="245" t="s">
        <v>865</v>
      </c>
      <c r="H209" s="245" t="s">
        <v>692</v>
      </c>
      <c r="I209" s="245" t="s">
        <v>691</v>
      </c>
      <c r="J209" s="245" t="s">
        <v>696</v>
      </c>
    </row>
    <row r="210" spans="1:10" x14ac:dyDescent="0.25">
      <c r="A210" s="245">
        <v>209</v>
      </c>
      <c r="B210" s="245" t="s">
        <v>908</v>
      </c>
      <c r="C210" s="245" t="s">
        <v>689</v>
      </c>
      <c r="D210" s="245" t="s">
        <v>690</v>
      </c>
      <c r="E210" s="245" t="s">
        <v>691</v>
      </c>
      <c r="F210" s="245" t="s">
        <v>707</v>
      </c>
      <c r="G210" s="245" t="s">
        <v>865</v>
      </c>
      <c r="H210" s="245" t="s">
        <v>693</v>
      </c>
      <c r="I210" s="245" t="s">
        <v>695</v>
      </c>
      <c r="J210" s="245" t="s">
        <v>696</v>
      </c>
    </row>
    <row r="211" spans="1:10" x14ac:dyDescent="0.25">
      <c r="A211" s="245">
        <v>210</v>
      </c>
      <c r="B211" s="245" t="s">
        <v>909</v>
      </c>
      <c r="C211" s="245" t="s">
        <v>689</v>
      </c>
      <c r="D211" s="245" t="s">
        <v>690</v>
      </c>
      <c r="E211" s="245" t="s">
        <v>691</v>
      </c>
      <c r="F211" s="245" t="s">
        <v>707</v>
      </c>
      <c r="G211" s="245" t="s">
        <v>865</v>
      </c>
      <c r="H211" s="245" t="s">
        <v>694</v>
      </c>
      <c r="I211" s="245" t="s">
        <v>695</v>
      </c>
      <c r="J211" s="245" t="s">
        <v>696</v>
      </c>
    </row>
    <row r="212" spans="1:10" x14ac:dyDescent="0.25">
      <c r="A212" s="245">
        <v>211</v>
      </c>
      <c r="B212" s="245" t="s">
        <v>910</v>
      </c>
      <c r="C212" s="245" t="s">
        <v>689</v>
      </c>
      <c r="D212" s="245" t="s">
        <v>694</v>
      </c>
      <c r="E212" s="245" t="s">
        <v>690</v>
      </c>
      <c r="F212" s="245" t="s">
        <v>707</v>
      </c>
      <c r="G212" s="245" t="s">
        <v>865</v>
      </c>
      <c r="H212" s="245" t="s">
        <v>693</v>
      </c>
      <c r="I212" s="245" t="s">
        <v>695</v>
      </c>
      <c r="J212" s="245" t="s">
        <v>696</v>
      </c>
    </row>
    <row r="213" spans="1:10" x14ac:dyDescent="0.25">
      <c r="A213" s="245">
        <v>212</v>
      </c>
      <c r="B213" s="245" t="s">
        <v>911</v>
      </c>
      <c r="C213" s="245" t="s">
        <v>689</v>
      </c>
      <c r="D213" s="245" t="s">
        <v>694</v>
      </c>
      <c r="E213" s="245" t="s">
        <v>691</v>
      </c>
      <c r="F213" s="245" t="s">
        <v>707</v>
      </c>
      <c r="G213" s="245" t="s">
        <v>865</v>
      </c>
      <c r="H213" s="245" t="s">
        <v>693</v>
      </c>
      <c r="I213" s="245" t="s">
        <v>695</v>
      </c>
      <c r="J213" s="245" t="s">
        <v>696</v>
      </c>
    </row>
    <row r="214" spans="1:10" x14ac:dyDescent="0.25">
      <c r="A214" s="245">
        <v>213</v>
      </c>
      <c r="B214" s="245" t="s">
        <v>912</v>
      </c>
      <c r="C214" s="245" t="s">
        <v>689</v>
      </c>
      <c r="D214" s="245" t="s">
        <v>694</v>
      </c>
      <c r="E214" s="245" t="s">
        <v>690</v>
      </c>
      <c r="F214" s="245" t="s">
        <v>707</v>
      </c>
      <c r="G214" s="245" t="s">
        <v>865</v>
      </c>
      <c r="H214" s="245" t="s">
        <v>693</v>
      </c>
      <c r="I214" s="245" t="s">
        <v>695</v>
      </c>
      <c r="J214" s="245" t="s">
        <v>691</v>
      </c>
    </row>
    <row r="215" spans="1:10" x14ac:dyDescent="0.25">
      <c r="A215" s="245">
        <v>214</v>
      </c>
      <c r="B215" s="245" t="s">
        <v>913</v>
      </c>
      <c r="C215" s="245" t="s">
        <v>689</v>
      </c>
      <c r="D215" s="245" t="s">
        <v>694</v>
      </c>
      <c r="E215" s="245" t="s">
        <v>690</v>
      </c>
      <c r="F215" s="245" t="s">
        <v>707</v>
      </c>
      <c r="G215" s="245" t="s">
        <v>865</v>
      </c>
      <c r="H215" s="245" t="s">
        <v>693</v>
      </c>
      <c r="I215" s="245" t="s">
        <v>691</v>
      </c>
      <c r="J215" s="245" t="s">
        <v>696</v>
      </c>
    </row>
    <row r="216" spans="1:10" x14ac:dyDescent="0.25">
      <c r="A216" s="245">
        <v>215</v>
      </c>
      <c r="B216" s="245" t="s">
        <v>914</v>
      </c>
      <c r="C216" s="245" t="s">
        <v>689</v>
      </c>
      <c r="D216" s="245" t="s">
        <v>690</v>
      </c>
      <c r="E216" s="245" t="s">
        <v>691</v>
      </c>
      <c r="F216" s="245" t="s">
        <v>707</v>
      </c>
      <c r="G216" s="245" t="s">
        <v>865</v>
      </c>
      <c r="H216" s="245" t="s">
        <v>692</v>
      </c>
      <c r="I216" s="245" t="s">
        <v>695</v>
      </c>
      <c r="J216" s="245" t="s">
        <v>696</v>
      </c>
    </row>
    <row r="217" spans="1:10" x14ac:dyDescent="0.25">
      <c r="A217" s="245">
        <v>216</v>
      </c>
      <c r="B217" s="245" t="s">
        <v>915</v>
      </c>
      <c r="C217" s="245" t="s">
        <v>693</v>
      </c>
      <c r="D217" s="245" t="s">
        <v>690</v>
      </c>
      <c r="E217" s="245" t="s">
        <v>689</v>
      </c>
      <c r="F217" s="245" t="s">
        <v>707</v>
      </c>
      <c r="G217" s="245" t="s">
        <v>865</v>
      </c>
      <c r="H217" s="245" t="s">
        <v>692</v>
      </c>
      <c r="I217" s="245" t="s">
        <v>695</v>
      </c>
      <c r="J217" s="245" t="s">
        <v>696</v>
      </c>
    </row>
    <row r="218" spans="1:10" x14ac:dyDescent="0.25">
      <c r="A218" s="245">
        <v>217</v>
      </c>
      <c r="B218" s="245" t="s">
        <v>916</v>
      </c>
      <c r="C218" s="245" t="s">
        <v>693</v>
      </c>
      <c r="D218" s="245" t="s">
        <v>689</v>
      </c>
      <c r="E218" s="245" t="s">
        <v>691</v>
      </c>
      <c r="F218" s="245" t="s">
        <v>707</v>
      </c>
      <c r="G218" s="245" t="s">
        <v>865</v>
      </c>
      <c r="H218" s="245" t="s">
        <v>692</v>
      </c>
      <c r="I218" s="245" t="s">
        <v>695</v>
      </c>
      <c r="J218" s="245" t="s">
        <v>696</v>
      </c>
    </row>
    <row r="219" spans="1:10" x14ac:dyDescent="0.25">
      <c r="A219" s="245">
        <v>218</v>
      </c>
      <c r="B219" s="245" t="s">
        <v>917</v>
      </c>
      <c r="C219" s="245" t="s">
        <v>693</v>
      </c>
      <c r="D219" s="245" t="s">
        <v>690</v>
      </c>
      <c r="E219" s="245" t="s">
        <v>689</v>
      </c>
      <c r="F219" s="245" t="s">
        <v>707</v>
      </c>
      <c r="G219" s="245" t="s">
        <v>865</v>
      </c>
      <c r="H219" s="245" t="s">
        <v>692</v>
      </c>
      <c r="I219" s="245" t="s">
        <v>695</v>
      </c>
      <c r="J219" s="245" t="s">
        <v>691</v>
      </c>
    </row>
    <row r="220" spans="1:10" x14ac:dyDescent="0.25">
      <c r="A220" s="245">
        <v>219</v>
      </c>
      <c r="B220" s="245" t="s">
        <v>918</v>
      </c>
      <c r="C220" s="245" t="s">
        <v>693</v>
      </c>
      <c r="D220" s="245" t="s">
        <v>690</v>
      </c>
      <c r="E220" s="245" t="s">
        <v>689</v>
      </c>
      <c r="F220" s="245" t="s">
        <v>707</v>
      </c>
      <c r="G220" s="245" t="s">
        <v>865</v>
      </c>
      <c r="H220" s="245" t="s">
        <v>692</v>
      </c>
      <c r="I220" s="245" t="s">
        <v>691</v>
      </c>
      <c r="J220" s="245" t="s">
        <v>696</v>
      </c>
    </row>
    <row r="221" spans="1:10" x14ac:dyDescent="0.25">
      <c r="A221" s="245">
        <v>220</v>
      </c>
      <c r="B221" s="245" t="s">
        <v>919</v>
      </c>
      <c r="C221" s="245" t="s">
        <v>689</v>
      </c>
      <c r="D221" s="245" t="s">
        <v>694</v>
      </c>
      <c r="E221" s="245" t="s">
        <v>690</v>
      </c>
      <c r="F221" s="245" t="s">
        <v>707</v>
      </c>
      <c r="G221" s="245" t="s">
        <v>865</v>
      </c>
      <c r="H221" s="245" t="s">
        <v>692</v>
      </c>
      <c r="I221" s="245" t="s">
        <v>695</v>
      </c>
      <c r="J221" s="245" t="s">
        <v>696</v>
      </c>
    </row>
    <row r="222" spans="1:10" x14ac:dyDescent="0.25">
      <c r="A222" s="245">
        <v>221</v>
      </c>
      <c r="B222" s="245" t="s">
        <v>920</v>
      </c>
      <c r="C222" s="245" t="s">
        <v>689</v>
      </c>
      <c r="D222" s="245" t="s">
        <v>694</v>
      </c>
      <c r="E222" s="245" t="s">
        <v>691</v>
      </c>
      <c r="F222" s="245" t="s">
        <v>707</v>
      </c>
      <c r="G222" s="245" t="s">
        <v>865</v>
      </c>
      <c r="H222" s="245" t="s">
        <v>692</v>
      </c>
      <c r="I222" s="245" t="s">
        <v>695</v>
      </c>
      <c r="J222" s="245" t="s">
        <v>696</v>
      </c>
    </row>
    <row r="223" spans="1:10" x14ac:dyDescent="0.25">
      <c r="A223" s="245">
        <v>222</v>
      </c>
      <c r="B223" s="245" t="s">
        <v>921</v>
      </c>
      <c r="C223" s="245" t="s">
        <v>689</v>
      </c>
      <c r="D223" s="245" t="s">
        <v>694</v>
      </c>
      <c r="E223" s="245" t="s">
        <v>690</v>
      </c>
      <c r="F223" s="245" t="s">
        <v>707</v>
      </c>
      <c r="G223" s="245" t="s">
        <v>865</v>
      </c>
      <c r="H223" s="245" t="s">
        <v>692</v>
      </c>
      <c r="I223" s="245" t="s">
        <v>695</v>
      </c>
      <c r="J223" s="245" t="s">
        <v>691</v>
      </c>
    </row>
    <row r="224" spans="1:10" x14ac:dyDescent="0.25">
      <c r="A224" s="245">
        <v>223</v>
      </c>
      <c r="B224" s="245" t="s">
        <v>922</v>
      </c>
      <c r="C224" s="245" t="s">
        <v>689</v>
      </c>
      <c r="D224" s="245" t="s">
        <v>694</v>
      </c>
      <c r="E224" s="245" t="s">
        <v>690</v>
      </c>
      <c r="F224" s="245" t="s">
        <v>707</v>
      </c>
      <c r="G224" s="245" t="s">
        <v>865</v>
      </c>
      <c r="H224" s="245" t="s">
        <v>692</v>
      </c>
      <c r="I224" s="245" t="s">
        <v>691</v>
      </c>
      <c r="J224" s="245" t="s">
        <v>696</v>
      </c>
    </row>
    <row r="225" spans="1:10" x14ac:dyDescent="0.25">
      <c r="A225" s="245">
        <v>224</v>
      </c>
      <c r="B225" s="245" t="s">
        <v>923</v>
      </c>
      <c r="C225" s="245" t="s">
        <v>693</v>
      </c>
      <c r="D225" s="245" t="s">
        <v>694</v>
      </c>
      <c r="E225" s="245" t="s">
        <v>689</v>
      </c>
      <c r="F225" s="245" t="s">
        <v>707</v>
      </c>
      <c r="G225" s="245" t="s">
        <v>865</v>
      </c>
      <c r="H225" s="245" t="s">
        <v>692</v>
      </c>
      <c r="I225" s="245" t="s">
        <v>695</v>
      </c>
      <c r="J225" s="245" t="s">
        <v>696</v>
      </c>
    </row>
    <row r="226" spans="1:10" x14ac:dyDescent="0.25">
      <c r="A226" s="245">
        <v>225</v>
      </c>
      <c r="B226" s="245" t="s">
        <v>924</v>
      </c>
      <c r="C226" s="245" t="s">
        <v>693</v>
      </c>
      <c r="D226" s="245" t="s">
        <v>694</v>
      </c>
      <c r="E226" s="245" t="s">
        <v>690</v>
      </c>
      <c r="F226" s="245" t="s">
        <v>707</v>
      </c>
      <c r="G226" s="245" t="s">
        <v>865</v>
      </c>
      <c r="H226" s="245" t="s">
        <v>692</v>
      </c>
      <c r="I226" s="245" t="s">
        <v>695</v>
      </c>
      <c r="J226" s="245" t="s">
        <v>689</v>
      </c>
    </row>
    <row r="227" spans="1:10" x14ac:dyDescent="0.25">
      <c r="A227" s="245">
        <v>226</v>
      </c>
      <c r="B227" s="245" t="s">
        <v>925</v>
      </c>
      <c r="C227" s="245" t="s">
        <v>693</v>
      </c>
      <c r="D227" s="245" t="s">
        <v>694</v>
      </c>
      <c r="E227" s="245" t="s">
        <v>690</v>
      </c>
      <c r="F227" s="245" t="s">
        <v>707</v>
      </c>
      <c r="G227" s="245" t="s">
        <v>865</v>
      </c>
      <c r="H227" s="245" t="s">
        <v>692</v>
      </c>
      <c r="I227" s="245" t="s">
        <v>689</v>
      </c>
      <c r="J227" s="245" t="s">
        <v>696</v>
      </c>
    </row>
    <row r="228" spans="1:10" x14ac:dyDescent="0.25">
      <c r="A228" s="245">
        <v>227</v>
      </c>
      <c r="B228" s="245" t="s">
        <v>926</v>
      </c>
      <c r="C228" s="245" t="s">
        <v>693</v>
      </c>
      <c r="D228" s="245" t="s">
        <v>694</v>
      </c>
      <c r="E228" s="245" t="s">
        <v>689</v>
      </c>
      <c r="F228" s="245" t="s">
        <v>707</v>
      </c>
      <c r="G228" s="245" t="s">
        <v>865</v>
      </c>
      <c r="H228" s="245" t="s">
        <v>692</v>
      </c>
      <c r="I228" s="245" t="s">
        <v>695</v>
      </c>
      <c r="J228" s="245" t="s">
        <v>691</v>
      </c>
    </row>
    <row r="229" spans="1:10" x14ac:dyDescent="0.25">
      <c r="A229" s="245">
        <v>228</v>
      </c>
      <c r="B229" s="245" t="s">
        <v>927</v>
      </c>
      <c r="C229" s="245" t="s">
        <v>693</v>
      </c>
      <c r="D229" s="245" t="s">
        <v>694</v>
      </c>
      <c r="E229" s="245" t="s">
        <v>689</v>
      </c>
      <c r="F229" s="245" t="s">
        <v>707</v>
      </c>
      <c r="G229" s="245" t="s">
        <v>865</v>
      </c>
      <c r="H229" s="245" t="s">
        <v>692</v>
      </c>
      <c r="I229" s="245" t="s">
        <v>691</v>
      </c>
      <c r="J229" s="245" t="s">
        <v>696</v>
      </c>
    </row>
    <row r="230" spans="1:10" x14ac:dyDescent="0.25">
      <c r="A230" s="245">
        <v>229</v>
      </c>
      <c r="B230" s="245" t="s">
        <v>928</v>
      </c>
      <c r="C230" s="245" t="s">
        <v>693</v>
      </c>
      <c r="D230" s="245" t="s">
        <v>694</v>
      </c>
      <c r="E230" s="245" t="s">
        <v>690</v>
      </c>
      <c r="F230" s="245" t="s">
        <v>707</v>
      </c>
      <c r="G230" s="245" t="s">
        <v>865</v>
      </c>
      <c r="H230" s="245" t="s">
        <v>692</v>
      </c>
      <c r="I230" s="245" t="s">
        <v>689</v>
      </c>
      <c r="J230" s="245" t="s">
        <v>691</v>
      </c>
    </row>
    <row r="231" spans="1:10" x14ac:dyDescent="0.25">
      <c r="A231" s="245">
        <v>230</v>
      </c>
      <c r="B231" s="245" t="s">
        <v>929</v>
      </c>
      <c r="C231" s="245" t="s">
        <v>693</v>
      </c>
      <c r="D231" s="245" t="s">
        <v>690</v>
      </c>
      <c r="E231" s="245" t="s">
        <v>691</v>
      </c>
      <c r="F231" s="245" t="s">
        <v>707</v>
      </c>
      <c r="G231" s="245" t="s">
        <v>865</v>
      </c>
      <c r="H231" s="245" t="s">
        <v>698</v>
      </c>
      <c r="I231" s="245" t="s">
        <v>695</v>
      </c>
      <c r="J231" s="245" t="s">
        <v>696</v>
      </c>
    </row>
    <row r="232" spans="1:10" x14ac:dyDescent="0.25">
      <c r="A232" s="245">
        <v>231</v>
      </c>
      <c r="B232" s="245" t="s">
        <v>930</v>
      </c>
      <c r="C232" s="245" t="s">
        <v>691</v>
      </c>
      <c r="D232" s="245" t="s">
        <v>694</v>
      </c>
      <c r="E232" s="245" t="s">
        <v>690</v>
      </c>
      <c r="F232" s="245" t="s">
        <v>707</v>
      </c>
      <c r="G232" s="245" t="s">
        <v>865</v>
      </c>
      <c r="H232" s="245" t="s">
        <v>698</v>
      </c>
      <c r="I232" s="245" t="s">
        <v>695</v>
      </c>
      <c r="J232" s="245" t="s">
        <v>696</v>
      </c>
    </row>
    <row r="233" spans="1:10" x14ac:dyDescent="0.25">
      <c r="A233" s="245">
        <v>232</v>
      </c>
      <c r="B233" s="245" t="s">
        <v>931</v>
      </c>
      <c r="C233" s="245" t="s">
        <v>693</v>
      </c>
      <c r="D233" s="245" t="s">
        <v>694</v>
      </c>
      <c r="E233" s="245" t="s">
        <v>690</v>
      </c>
      <c r="F233" s="245" t="s">
        <v>707</v>
      </c>
      <c r="G233" s="245" t="s">
        <v>865</v>
      </c>
      <c r="H233" s="245" t="s">
        <v>698</v>
      </c>
      <c r="I233" s="245" t="s">
        <v>695</v>
      </c>
      <c r="J233" s="245" t="s">
        <v>696</v>
      </c>
    </row>
    <row r="234" spans="1:10" x14ac:dyDescent="0.25">
      <c r="A234" s="245">
        <v>233</v>
      </c>
      <c r="B234" s="245" t="s">
        <v>932</v>
      </c>
      <c r="C234" s="245" t="s">
        <v>693</v>
      </c>
      <c r="D234" s="245" t="s">
        <v>694</v>
      </c>
      <c r="E234" s="245" t="s">
        <v>691</v>
      </c>
      <c r="F234" s="245" t="s">
        <v>707</v>
      </c>
      <c r="G234" s="245" t="s">
        <v>865</v>
      </c>
      <c r="H234" s="245" t="s">
        <v>698</v>
      </c>
      <c r="I234" s="245" t="s">
        <v>695</v>
      </c>
      <c r="J234" s="245" t="s">
        <v>696</v>
      </c>
    </row>
    <row r="235" spans="1:10" x14ac:dyDescent="0.25">
      <c r="A235" s="245">
        <v>234</v>
      </c>
      <c r="B235" s="245" t="s">
        <v>933</v>
      </c>
      <c r="C235" s="245" t="s">
        <v>693</v>
      </c>
      <c r="D235" s="245" t="s">
        <v>694</v>
      </c>
      <c r="E235" s="245" t="s">
        <v>690</v>
      </c>
      <c r="F235" s="245" t="s">
        <v>707</v>
      </c>
      <c r="G235" s="245" t="s">
        <v>865</v>
      </c>
      <c r="H235" s="245" t="s">
        <v>698</v>
      </c>
      <c r="I235" s="245" t="s">
        <v>695</v>
      </c>
      <c r="J235" s="245" t="s">
        <v>691</v>
      </c>
    </row>
    <row r="236" spans="1:10" x14ac:dyDescent="0.25">
      <c r="A236" s="245">
        <v>235</v>
      </c>
      <c r="B236" s="245" t="s">
        <v>934</v>
      </c>
      <c r="C236" s="245" t="s">
        <v>693</v>
      </c>
      <c r="D236" s="245" t="s">
        <v>694</v>
      </c>
      <c r="E236" s="245" t="s">
        <v>690</v>
      </c>
      <c r="F236" s="245" t="s">
        <v>707</v>
      </c>
      <c r="G236" s="245" t="s">
        <v>865</v>
      </c>
      <c r="H236" s="245" t="s">
        <v>698</v>
      </c>
      <c r="I236" s="245" t="s">
        <v>691</v>
      </c>
      <c r="J236" s="245" t="s">
        <v>696</v>
      </c>
    </row>
    <row r="237" spans="1:10" x14ac:dyDescent="0.25">
      <c r="A237" s="245">
        <v>236</v>
      </c>
      <c r="B237" s="245" t="s">
        <v>935</v>
      </c>
      <c r="C237" s="245" t="s">
        <v>707</v>
      </c>
      <c r="D237" s="245" t="s">
        <v>690</v>
      </c>
      <c r="E237" s="245" t="s">
        <v>691</v>
      </c>
      <c r="F237" s="245" t="s">
        <v>698</v>
      </c>
      <c r="G237" s="245" t="s">
        <v>865</v>
      </c>
      <c r="H237" s="245" t="s">
        <v>692</v>
      </c>
      <c r="I237" s="245" t="s">
        <v>695</v>
      </c>
      <c r="J237" s="245" t="s">
        <v>696</v>
      </c>
    </row>
    <row r="238" spans="1:10" x14ac:dyDescent="0.25">
      <c r="A238" s="245">
        <v>237</v>
      </c>
      <c r="B238" s="245" t="s">
        <v>936</v>
      </c>
      <c r="C238" s="245" t="s">
        <v>693</v>
      </c>
      <c r="D238" s="245" t="s">
        <v>690</v>
      </c>
      <c r="E238" s="245" t="s">
        <v>692</v>
      </c>
      <c r="F238" s="245" t="s">
        <v>707</v>
      </c>
      <c r="G238" s="245" t="s">
        <v>865</v>
      </c>
      <c r="H238" s="245" t="s">
        <v>698</v>
      </c>
      <c r="I238" s="245" t="s">
        <v>695</v>
      </c>
      <c r="J238" s="245" t="s">
        <v>696</v>
      </c>
    </row>
    <row r="239" spans="1:10" x14ac:dyDescent="0.25">
      <c r="A239" s="245">
        <v>238</v>
      </c>
      <c r="B239" s="245" t="s">
        <v>937</v>
      </c>
      <c r="C239" s="245" t="s">
        <v>693</v>
      </c>
      <c r="D239" s="245" t="s">
        <v>692</v>
      </c>
      <c r="E239" s="245" t="s">
        <v>691</v>
      </c>
      <c r="F239" s="245" t="s">
        <v>707</v>
      </c>
      <c r="G239" s="245" t="s">
        <v>865</v>
      </c>
      <c r="H239" s="245" t="s">
        <v>698</v>
      </c>
      <c r="I239" s="245" t="s">
        <v>695</v>
      </c>
      <c r="J239" s="245" t="s">
        <v>696</v>
      </c>
    </row>
    <row r="240" spans="1:10" x14ac:dyDescent="0.25">
      <c r="A240" s="245">
        <v>239</v>
      </c>
      <c r="B240" s="245" t="s">
        <v>938</v>
      </c>
      <c r="C240" s="245" t="s">
        <v>693</v>
      </c>
      <c r="D240" s="245" t="s">
        <v>690</v>
      </c>
      <c r="E240" s="245" t="s">
        <v>692</v>
      </c>
      <c r="F240" s="245" t="s">
        <v>707</v>
      </c>
      <c r="G240" s="245" t="s">
        <v>865</v>
      </c>
      <c r="H240" s="245" t="s">
        <v>698</v>
      </c>
      <c r="I240" s="245" t="s">
        <v>695</v>
      </c>
      <c r="J240" s="245" t="s">
        <v>691</v>
      </c>
    </row>
    <row r="241" spans="1:10" x14ac:dyDescent="0.25">
      <c r="A241" s="245">
        <v>240</v>
      </c>
      <c r="B241" s="245" t="s">
        <v>939</v>
      </c>
      <c r="C241" s="245" t="s">
        <v>693</v>
      </c>
      <c r="D241" s="245" t="s">
        <v>690</v>
      </c>
      <c r="E241" s="245" t="s">
        <v>692</v>
      </c>
      <c r="F241" s="245" t="s">
        <v>707</v>
      </c>
      <c r="G241" s="245" t="s">
        <v>865</v>
      </c>
      <c r="H241" s="245" t="s">
        <v>698</v>
      </c>
      <c r="I241" s="245" t="s">
        <v>691</v>
      </c>
      <c r="J241" s="245" t="s">
        <v>696</v>
      </c>
    </row>
    <row r="242" spans="1:10" x14ac:dyDescent="0.25">
      <c r="A242" s="245">
        <v>241</v>
      </c>
      <c r="B242" s="245" t="s">
        <v>940</v>
      </c>
      <c r="C242" s="245" t="s">
        <v>707</v>
      </c>
      <c r="D242" s="245" t="s">
        <v>694</v>
      </c>
      <c r="E242" s="245" t="s">
        <v>690</v>
      </c>
      <c r="F242" s="245" t="s">
        <v>698</v>
      </c>
      <c r="G242" s="245" t="s">
        <v>865</v>
      </c>
      <c r="H242" s="245" t="s">
        <v>692</v>
      </c>
      <c r="I242" s="245" t="s">
        <v>695</v>
      </c>
      <c r="J242" s="245" t="s">
        <v>696</v>
      </c>
    </row>
    <row r="243" spans="1:10" x14ac:dyDescent="0.25">
      <c r="A243" s="245">
        <v>242</v>
      </c>
      <c r="B243" s="245" t="s">
        <v>941</v>
      </c>
      <c r="C243" s="245" t="s">
        <v>707</v>
      </c>
      <c r="D243" s="245" t="s">
        <v>694</v>
      </c>
      <c r="E243" s="245" t="s">
        <v>691</v>
      </c>
      <c r="F243" s="245" t="s">
        <v>698</v>
      </c>
      <c r="G243" s="245" t="s">
        <v>865</v>
      </c>
      <c r="H243" s="245" t="s">
        <v>692</v>
      </c>
      <c r="I243" s="245" t="s">
        <v>695</v>
      </c>
      <c r="J243" s="245" t="s">
        <v>696</v>
      </c>
    </row>
    <row r="244" spans="1:10" x14ac:dyDescent="0.25">
      <c r="A244" s="245">
        <v>243</v>
      </c>
      <c r="B244" s="245" t="s">
        <v>942</v>
      </c>
      <c r="C244" s="245" t="s">
        <v>707</v>
      </c>
      <c r="D244" s="245" t="s">
        <v>694</v>
      </c>
      <c r="E244" s="245" t="s">
        <v>690</v>
      </c>
      <c r="F244" s="245" t="s">
        <v>698</v>
      </c>
      <c r="G244" s="245" t="s">
        <v>865</v>
      </c>
      <c r="H244" s="245" t="s">
        <v>692</v>
      </c>
      <c r="I244" s="245" t="s">
        <v>695</v>
      </c>
      <c r="J244" s="245" t="s">
        <v>691</v>
      </c>
    </row>
    <row r="245" spans="1:10" x14ac:dyDescent="0.25">
      <c r="A245" s="245">
        <v>244</v>
      </c>
      <c r="B245" s="245" t="s">
        <v>943</v>
      </c>
      <c r="C245" s="245" t="s">
        <v>707</v>
      </c>
      <c r="D245" s="245" t="s">
        <v>694</v>
      </c>
      <c r="E245" s="245" t="s">
        <v>690</v>
      </c>
      <c r="F245" s="245" t="s">
        <v>698</v>
      </c>
      <c r="G245" s="245" t="s">
        <v>865</v>
      </c>
      <c r="H245" s="245" t="s">
        <v>692</v>
      </c>
      <c r="I245" s="245" t="s">
        <v>691</v>
      </c>
      <c r="J245" s="245" t="s">
        <v>696</v>
      </c>
    </row>
    <row r="246" spans="1:10" x14ac:dyDescent="0.25">
      <c r="A246" s="245">
        <v>245</v>
      </c>
      <c r="B246" s="245" t="s">
        <v>944</v>
      </c>
      <c r="C246" s="245" t="s">
        <v>693</v>
      </c>
      <c r="D246" s="245" t="s">
        <v>694</v>
      </c>
      <c r="E246" s="245" t="s">
        <v>692</v>
      </c>
      <c r="F246" s="245" t="s">
        <v>707</v>
      </c>
      <c r="G246" s="245" t="s">
        <v>865</v>
      </c>
      <c r="H246" s="245" t="s">
        <v>698</v>
      </c>
      <c r="I246" s="245" t="s">
        <v>695</v>
      </c>
      <c r="J246" s="245" t="s">
        <v>696</v>
      </c>
    </row>
    <row r="247" spans="1:10" x14ac:dyDescent="0.25">
      <c r="A247" s="245">
        <v>246</v>
      </c>
      <c r="B247" s="245" t="s">
        <v>945</v>
      </c>
      <c r="C247" s="245" t="s">
        <v>707</v>
      </c>
      <c r="D247" s="245" t="s">
        <v>694</v>
      </c>
      <c r="E247" s="245" t="s">
        <v>690</v>
      </c>
      <c r="F247" s="245" t="s">
        <v>698</v>
      </c>
      <c r="G247" s="245" t="s">
        <v>865</v>
      </c>
      <c r="H247" s="245" t="s">
        <v>692</v>
      </c>
      <c r="I247" s="245" t="s">
        <v>695</v>
      </c>
      <c r="J247" s="245" t="s">
        <v>693</v>
      </c>
    </row>
    <row r="248" spans="1:10" x14ac:dyDescent="0.25">
      <c r="A248" s="245">
        <v>247</v>
      </c>
      <c r="B248" s="245" t="s">
        <v>946</v>
      </c>
      <c r="C248" s="245" t="s">
        <v>693</v>
      </c>
      <c r="D248" s="245" t="s">
        <v>694</v>
      </c>
      <c r="E248" s="245" t="s">
        <v>690</v>
      </c>
      <c r="F248" s="245" t="s">
        <v>707</v>
      </c>
      <c r="G248" s="245" t="s">
        <v>865</v>
      </c>
      <c r="H248" s="245" t="s">
        <v>692</v>
      </c>
      <c r="I248" s="245" t="s">
        <v>698</v>
      </c>
      <c r="J248" s="245" t="s">
        <v>696</v>
      </c>
    </row>
    <row r="249" spans="1:10" x14ac:dyDescent="0.25">
      <c r="A249" s="245">
        <v>248</v>
      </c>
      <c r="B249" s="245" t="s">
        <v>947</v>
      </c>
      <c r="C249" s="245" t="s">
        <v>693</v>
      </c>
      <c r="D249" s="245" t="s">
        <v>694</v>
      </c>
      <c r="E249" s="245" t="s">
        <v>692</v>
      </c>
      <c r="F249" s="245" t="s">
        <v>707</v>
      </c>
      <c r="G249" s="245" t="s">
        <v>865</v>
      </c>
      <c r="H249" s="245" t="s">
        <v>698</v>
      </c>
      <c r="I249" s="245" t="s">
        <v>695</v>
      </c>
      <c r="J249" s="245" t="s">
        <v>691</v>
      </c>
    </row>
    <row r="250" spans="1:10" x14ac:dyDescent="0.25">
      <c r="A250" s="245">
        <v>249</v>
      </c>
      <c r="B250" s="245" t="s">
        <v>948</v>
      </c>
      <c r="C250" s="245" t="s">
        <v>693</v>
      </c>
      <c r="D250" s="245" t="s">
        <v>694</v>
      </c>
      <c r="E250" s="245" t="s">
        <v>692</v>
      </c>
      <c r="F250" s="245" t="s">
        <v>707</v>
      </c>
      <c r="G250" s="245" t="s">
        <v>865</v>
      </c>
      <c r="H250" s="245" t="s">
        <v>698</v>
      </c>
      <c r="I250" s="245" t="s">
        <v>691</v>
      </c>
      <c r="J250" s="245" t="s">
        <v>696</v>
      </c>
    </row>
    <row r="251" spans="1:10" x14ac:dyDescent="0.25">
      <c r="A251" s="245">
        <v>250</v>
      </c>
      <c r="B251" s="245" t="s">
        <v>949</v>
      </c>
      <c r="C251" s="245" t="s">
        <v>693</v>
      </c>
      <c r="D251" s="245" t="s">
        <v>694</v>
      </c>
      <c r="E251" s="245" t="s">
        <v>690</v>
      </c>
      <c r="F251" s="245" t="s">
        <v>707</v>
      </c>
      <c r="G251" s="245" t="s">
        <v>865</v>
      </c>
      <c r="H251" s="245" t="s">
        <v>692</v>
      </c>
      <c r="I251" s="245" t="s">
        <v>698</v>
      </c>
      <c r="J251" s="245" t="s">
        <v>691</v>
      </c>
    </row>
    <row r="252" spans="1:10" x14ac:dyDescent="0.25">
      <c r="A252" s="245">
        <v>251</v>
      </c>
      <c r="B252" s="245" t="s">
        <v>950</v>
      </c>
      <c r="C252" s="245" t="s">
        <v>689</v>
      </c>
      <c r="D252" s="245" t="s">
        <v>690</v>
      </c>
      <c r="E252" s="245" t="s">
        <v>691</v>
      </c>
      <c r="F252" s="245" t="s">
        <v>707</v>
      </c>
      <c r="G252" s="245" t="s">
        <v>865</v>
      </c>
      <c r="H252" s="245" t="s">
        <v>698</v>
      </c>
      <c r="I252" s="245" t="s">
        <v>695</v>
      </c>
      <c r="J252" s="245" t="s">
        <v>696</v>
      </c>
    </row>
    <row r="253" spans="1:10" x14ac:dyDescent="0.25">
      <c r="A253" s="245">
        <v>252</v>
      </c>
      <c r="B253" s="245" t="s">
        <v>951</v>
      </c>
      <c r="C253" s="245" t="s">
        <v>693</v>
      </c>
      <c r="D253" s="245" t="s">
        <v>690</v>
      </c>
      <c r="E253" s="245" t="s">
        <v>689</v>
      </c>
      <c r="F253" s="245" t="s">
        <v>707</v>
      </c>
      <c r="G253" s="245" t="s">
        <v>865</v>
      </c>
      <c r="H253" s="245" t="s">
        <v>698</v>
      </c>
      <c r="I253" s="245" t="s">
        <v>695</v>
      </c>
      <c r="J253" s="245" t="s">
        <v>696</v>
      </c>
    </row>
    <row r="254" spans="1:10" x14ac:dyDescent="0.25">
      <c r="A254" s="245">
        <v>253</v>
      </c>
      <c r="B254" s="245" t="s">
        <v>952</v>
      </c>
      <c r="C254" s="245" t="s">
        <v>693</v>
      </c>
      <c r="D254" s="245" t="s">
        <v>689</v>
      </c>
      <c r="E254" s="245" t="s">
        <v>691</v>
      </c>
      <c r="F254" s="245" t="s">
        <v>707</v>
      </c>
      <c r="G254" s="245" t="s">
        <v>865</v>
      </c>
      <c r="H254" s="245" t="s">
        <v>698</v>
      </c>
      <c r="I254" s="245" t="s">
        <v>695</v>
      </c>
      <c r="J254" s="245" t="s">
        <v>696</v>
      </c>
    </row>
    <row r="255" spans="1:10" x14ac:dyDescent="0.25">
      <c r="A255" s="245">
        <v>254</v>
      </c>
      <c r="B255" s="245" t="s">
        <v>953</v>
      </c>
      <c r="C255" s="245" t="s">
        <v>693</v>
      </c>
      <c r="D255" s="245" t="s">
        <v>690</v>
      </c>
      <c r="E255" s="245" t="s">
        <v>689</v>
      </c>
      <c r="F255" s="245" t="s">
        <v>707</v>
      </c>
      <c r="G255" s="245" t="s">
        <v>865</v>
      </c>
      <c r="H255" s="245" t="s">
        <v>698</v>
      </c>
      <c r="I255" s="245" t="s">
        <v>695</v>
      </c>
      <c r="J255" s="245" t="s">
        <v>691</v>
      </c>
    </row>
    <row r="256" spans="1:10" x14ac:dyDescent="0.25">
      <c r="A256" s="245">
        <v>255</v>
      </c>
      <c r="B256" s="245" t="s">
        <v>954</v>
      </c>
      <c r="C256" s="245" t="s">
        <v>693</v>
      </c>
      <c r="D256" s="245" t="s">
        <v>690</v>
      </c>
      <c r="E256" s="245" t="s">
        <v>689</v>
      </c>
      <c r="F256" s="245" t="s">
        <v>707</v>
      </c>
      <c r="G256" s="245" t="s">
        <v>865</v>
      </c>
      <c r="H256" s="245" t="s">
        <v>698</v>
      </c>
      <c r="I256" s="245" t="s">
        <v>691</v>
      </c>
      <c r="J256" s="245" t="s">
        <v>696</v>
      </c>
    </row>
    <row r="257" spans="1:10" x14ac:dyDescent="0.25">
      <c r="A257" s="245">
        <v>256</v>
      </c>
      <c r="B257" s="245" t="s">
        <v>955</v>
      </c>
      <c r="C257" s="245" t="s">
        <v>689</v>
      </c>
      <c r="D257" s="245" t="s">
        <v>694</v>
      </c>
      <c r="E257" s="245" t="s">
        <v>690</v>
      </c>
      <c r="F257" s="245" t="s">
        <v>707</v>
      </c>
      <c r="G257" s="245" t="s">
        <v>865</v>
      </c>
      <c r="H257" s="245" t="s">
        <v>698</v>
      </c>
      <c r="I257" s="245" t="s">
        <v>695</v>
      </c>
      <c r="J257" s="245" t="s">
        <v>696</v>
      </c>
    </row>
    <row r="258" spans="1:10" x14ac:dyDescent="0.25">
      <c r="A258" s="245">
        <v>257</v>
      </c>
      <c r="B258" s="245" t="s">
        <v>956</v>
      </c>
      <c r="C258" s="245" t="s">
        <v>689</v>
      </c>
      <c r="D258" s="245" t="s">
        <v>694</v>
      </c>
      <c r="E258" s="245" t="s">
        <v>691</v>
      </c>
      <c r="F258" s="245" t="s">
        <v>707</v>
      </c>
      <c r="G258" s="245" t="s">
        <v>865</v>
      </c>
      <c r="H258" s="245" t="s">
        <v>698</v>
      </c>
      <c r="I258" s="245" t="s">
        <v>695</v>
      </c>
      <c r="J258" s="245" t="s">
        <v>696</v>
      </c>
    </row>
    <row r="259" spans="1:10" x14ac:dyDescent="0.25">
      <c r="A259" s="245">
        <v>258</v>
      </c>
      <c r="B259" s="245" t="s">
        <v>957</v>
      </c>
      <c r="C259" s="245" t="s">
        <v>689</v>
      </c>
      <c r="D259" s="245" t="s">
        <v>694</v>
      </c>
      <c r="E259" s="245" t="s">
        <v>690</v>
      </c>
      <c r="F259" s="245" t="s">
        <v>707</v>
      </c>
      <c r="G259" s="245" t="s">
        <v>865</v>
      </c>
      <c r="H259" s="245" t="s">
        <v>698</v>
      </c>
      <c r="I259" s="245" t="s">
        <v>695</v>
      </c>
      <c r="J259" s="245" t="s">
        <v>691</v>
      </c>
    </row>
    <row r="260" spans="1:10" x14ac:dyDescent="0.25">
      <c r="A260" s="245">
        <v>259</v>
      </c>
      <c r="B260" s="245" t="s">
        <v>958</v>
      </c>
      <c r="C260" s="245" t="s">
        <v>689</v>
      </c>
      <c r="D260" s="245" t="s">
        <v>694</v>
      </c>
      <c r="E260" s="245" t="s">
        <v>690</v>
      </c>
      <c r="F260" s="245" t="s">
        <v>707</v>
      </c>
      <c r="G260" s="245" t="s">
        <v>865</v>
      </c>
      <c r="H260" s="245" t="s">
        <v>698</v>
      </c>
      <c r="I260" s="245" t="s">
        <v>691</v>
      </c>
      <c r="J260" s="245" t="s">
        <v>696</v>
      </c>
    </row>
    <row r="261" spans="1:10" x14ac:dyDescent="0.25">
      <c r="A261" s="245">
        <v>260</v>
      </c>
      <c r="B261" s="245" t="s">
        <v>959</v>
      </c>
      <c r="C261" s="245" t="s">
        <v>693</v>
      </c>
      <c r="D261" s="245" t="s">
        <v>694</v>
      </c>
      <c r="E261" s="245" t="s">
        <v>689</v>
      </c>
      <c r="F261" s="245" t="s">
        <v>707</v>
      </c>
      <c r="G261" s="245" t="s">
        <v>865</v>
      </c>
      <c r="H261" s="245" t="s">
        <v>698</v>
      </c>
      <c r="I261" s="245" t="s">
        <v>695</v>
      </c>
      <c r="J261" s="245" t="s">
        <v>696</v>
      </c>
    </row>
    <row r="262" spans="1:10" x14ac:dyDescent="0.25">
      <c r="A262" s="245">
        <v>261</v>
      </c>
      <c r="B262" s="245" t="s">
        <v>960</v>
      </c>
      <c r="C262" s="245" t="s">
        <v>693</v>
      </c>
      <c r="D262" s="245" t="s">
        <v>694</v>
      </c>
      <c r="E262" s="245" t="s">
        <v>690</v>
      </c>
      <c r="F262" s="245" t="s">
        <v>707</v>
      </c>
      <c r="G262" s="245" t="s">
        <v>865</v>
      </c>
      <c r="H262" s="245" t="s">
        <v>698</v>
      </c>
      <c r="I262" s="245" t="s">
        <v>695</v>
      </c>
      <c r="J262" s="245" t="s">
        <v>689</v>
      </c>
    </row>
    <row r="263" spans="1:10" x14ac:dyDescent="0.25">
      <c r="A263" s="245">
        <v>262</v>
      </c>
      <c r="B263" s="245" t="s">
        <v>961</v>
      </c>
      <c r="C263" s="245" t="s">
        <v>693</v>
      </c>
      <c r="D263" s="245" t="s">
        <v>694</v>
      </c>
      <c r="E263" s="245" t="s">
        <v>690</v>
      </c>
      <c r="F263" s="245" t="s">
        <v>707</v>
      </c>
      <c r="G263" s="245" t="s">
        <v>865</v>
      </c>
      <c r="H263" s="245" t="s">
        <v>698</v>
      </c>
      <c r="I263" s="245" t="s">
        <v>689</v>
      </c>
      <c r="J263" s="245" t="s">
        <v>696</v>
      </c>
    </row>
    <row r="264" spans="1:10" x14ac:dyDescent="0.25">
      <c r="A264" s="245">
        <v>263</v>
      </c>
      <c r="B264" s="245" t="s">
        <v>962</v>
      </c>
      <c r="C264" s="245" t="s">
        <v>693</v>
      </c>
      <c r="D264" s="245" t="s">
        <v>694</v>
      </c>
      <c r="E264" s="245" t="s">
        <v>689</v>
      </c>
      <c r="F264" s="245" t="s">
        <v>707</v>
      </c>
      <c r="G264" s="245" t="s">
        <v>865</v>
      </c>
      <c r="H264" s="245" t="s">
        <v>698</v>
      </c>
      <c r="I264" s="245" t="s">
        <v>695</v>
      </c>
      <c r="J264" s="245" t="s">
        <v>691</v>
      </c>
    </row>
    <row r="265" spans="1:10" x14ac:dyDescent="0.25">
      <c r="A265" s="245">
        <v>264</v>
      </c>
      <c r="B265" s="245" t="s">
        <v>963</v>
      </c>
      <c r="C265" s="245" t="s">
        <v>693</v>
      </c>
      <c r="D265" s="245" t="s">
        <v>694</v>
      </c>
      <c r="E265" s="245" t="s">
        <v>689</v>
      </c>
      <c r="F265" s="245" t="s">
        <v>707</v>
      </c>
      <c r="G265" s="245" t="s">
        <v>865</v>
      </c>
      <c r="H265" s="245" t="s">
        <v>698</v>
      </c>
      <c r="I265" s="245" t="s">
        <v>691</v>
      </c>
      <c r="J265" s="245" t="s">
        <v>696</v>
      </c>
    </row>
    <row r="266" spans="1:10" x14ac:dyDescent="0.25">
      <c r="A266" s="245">
        <v>265</v>
      </c>
      <c r="B266" s="245" t="s">
        <v>964</v>
      </c>
      <c r="C266" s="245" t="s">
        <v>693</v>
      </c>
      <c r="D266" s="245" t="s">
        <v>694</v>
      </c>
      <c r="E266" s="245" t="s">
        <v>690</v>
      </c>
      <c r="F266" s="245" t="s">
        <v>707</v>
      </c>
      <c r="G266" s="245" t="s">
        <v>865</v>
      </c>
      <c r="H266" s="245" t="s">
        <v>698</v>
      </c>
      <c r="I266" s="245" t="s">
        <v>689</v>
      </c>
      <c r="J266" s="245" t="s">
        <v>691</v>
      </c>
    </row>
    <row r="267" spans="1:10" x14ac:dyDescent="0.25">
      <c r="A267" s="245">
        <v>266</v>
      </c>
      <c r="B267" s="245" t="s">
        <v>965</v>
      </c>
      <c r="C267" s="245" t="s">
        <v>707</v>
      </c>
      <c r="D267" s="245" t="s">
        <v>690</v>
      </c>
      <c r="E267" s="245" t="s">
        <v>689</v>
      </c>
      <c r="F267" s="245" t="s">
        <v>698</v>
      </c>
      <c r="G267" s="245" t="s">
        <v>865</v>
      </c>
      <c r="H267" s="245" t="s">
        <v>692</v>
      </c>
      <c r="I267" s="245" t="s">
        <v>695</v>
      </c>
      <c r="J267" s="245" t="s">
        <v>696</v>
      </c>
    </row>
    <row r="268" spans="1:10" x14ac:dyDescent="0.25">
      <c r="A268" s="245">
        <v>267</v>
      </c>
      <c r="B268" s="245" t="s">
        <v>966</v>
      </c>
      <c r="C268" s="245" t="s">
        <v>707</v>
      </c>
      <c r="D268" s="245" t="s">
        <v>689</v>
      </c>
      <c r="E268" s="245" t="s">
        <v>691</v>
      </c>
      <c r="F268" s="245" t="s">
        <v>698</v>
      </c>
      <c r="G268" s="245" t="s">
        <v>865</v>
      </c>
      <c r="H268" s="245" t="s">
        <v>692</v>
      </c>
      <c r="I268" s="245" t="s">
        <v>695</v>
      </c>
      <c r="J268" s="245" t="s">
        <v>696</v>
      </c>
    </row>
    <row r="269" spans="1:10" x14ac:dyDescent="0.25">
      <c r="A269" s="245">
        <v>268</v>
      </c>
      <c r="B269" s="245" t="s">
        <v>967</v>
      </c>
      <c r="C269" s="245" t="s">
        <v>707</v>
      </c>
      <c r="D269" s="245" t="s">
        <v>690</v>
      </c>
      <c r="E269" s="245" t="s">
        <v>689</v>
      </c>
      <c r="F269" s="245" t="s">
        <v>698</v>
      </c>
      <c r="G269" s="245" t="s">
        <v>865</v>
      </c>
      <c r="H269" s="245" t="s">
        <v>692</v>
      </c>
      <c r="I269" s="245" t="s">
        <v>695</v>
      </c>
      <c r="J269" s="245" t="s">
        <v>691</v>
      </c>
    </row>
    <row r="270" spans="1:10" x14ac:dyDescent="0.25">
      <c r="A270" s="245">
        <v>269</v>
      </c>
      <c r="B270" s="245" t="s">
        <v>968</v>
      </c>
      <c r="C270" s="245" t="s">
        <v>707</v>
      </c>
      <c r="D270" s="245" t="s">
        <v>690</v>
      </c>
      <c r="E270" s="245" t="s">
        <v>689</v>
      </c>
      <c r="F270" s="245" t="s">
        <v>698</v>
      </c>
      <c r="G270" s="245" t="s">
        <v>865</v>
      </c>
      <c r="H270" s="245" t="s">
        <v>692</v>
      </c>
      <c r="I270" s="245" t="s">
        <v>691</v>
      </c>
      <c r="J270" s="245" t="s">
        <v>696</v>
      </c>
    </row>
    <row r="271" spans="1:10" x14ac:dyDescent="0.25">
      <c r="A271" s="245">
        <v>270</v>
      </c>
      <c r="B271" s="245" t="s">
        <v>969</v>
      </c>
      <c r="C271" s="245" t="s">
        <v>693</v>
      </c>
      <c r="D271" s="245" t="s">
        <v>689</v>
      </c>
      <c r="E271" s="245" t="s">
        <v>692</v>
      </c>
      <c r="F271" s="245" t="s">
        <v>707</v>
      </c>
      <c r="G271" s="245" t="s">
        <v>865</v>
      </c>
      <c r="H271" s="245" t="s">
        <v>698</v>
      </c>
      <c r="I271" s="245" t="s">
        <v>695</v>
      </c>
      <c r="J271" s="245" t="s">
        <v>696</v>
      </c>
    </row>
    <row r="272" spans="1:10" x14ac:dyDescent="0.25">
      <c r="A272" s="245">
        <v>271</v>
      </c>
      <c r="B272" s="245" t="s">
        <v>970</v>
      </c>
      <c r="C272" s="245" t="s">
        <v>693</v>
      </c>
      <c r="D272" s="245" t="s">
        <v>690</v>
      </c>
      <c r="E272" s="245" t="s">
        <v>692</v>
      </c>
      <c r="F272" s="245" t="s">
        <v>707</v>
      </c>
      <c r="G272" s="245" t="s">
        <v>865</v>
      </c>
      <c r="H272" s="245" t="s">
        <v>698</v>
      </c>
      <c r="I272" s="245" t="s">
        <v>695</v>
      </c>
      <c r="J272" s="245" t="s">
        <v>689</v>
      </c>
    </row>
    <row r="273" spans="1:10" x14ac:dyDescent="0.25">
      <c r="A273" s="245">
        <v>272</v>
      </c>
      <c r="B273" s="245" t="s">
        <v>971</v>
      </c>
      <c r="C273" s="245" t="s">
        <v>693</v>
      </c>
      <c r="D273" s="245" t="s">
        <v>690</v>
      </c>
      <c r="E273" s="245" t="s">
        <v>689</v>
      </c>
      <c r="F273" s="245" t="s">
        <v>707</v>
      </c>
      <c r="G273" s="245" t="s">
        <v>865</v>
      </c>
      <c r="H273" s="245" t="s">
        <v>692</v>
      </c>
      <c r="I273" s="245" t="s">
        <v>698</v>
      </c>
      <c r="J273" s="245" t="s">
        <v>696</v>
      </c>
    </row>
    <row r="274" spans="1:10" x14ac:dyDescent="0.25">
      <c r="A274" s="245">
        <v>273</v>
      </c>
      <c r="B274" s="245" t="s">
        <v>972</v>
      </c>
      <c r="C274" s="245" t="s">
        <v>693</v>
      </c>
      <c r="D274" s="245" t="s">
        <v>689</v>
      </c>
      <c r="E274" s="245" t="s">
        <v>692</v>
      </c>
      <c r="F274" s="245" t="s">
        <v>707</v>
      </c>
      <c r="G274" s="245" t="s">
        <v>865</v>
      </c>
      <c r="H274" s="245" t="s">
        <v>698</v>
      </c>
      <c r="I274" s="245" t="s">
        <v>695</v>
      </c>
      <c r="J274" s="245" t="s">
        <v>691</v>
      </c>
    </row>
    <row r="275" spans="1:10" x14ac:dyDescent="0.25">
      <c r="A275" s="245">
        <v>274</v>
      </c>
      <c r="B275" s="245" t="s">
        <v>973</v>
      </c>
      <c r="C275" s="245" t="s">
        <v>693</v>
      </c>
      <c r="D275" s="245" t="s">
        <v>689</v>
      </c>
      <c r="E275" s="245" t="s">
        <v>692</v>
      </c>
      <c r="F275" s="245" t="s">
        <v>707</v>
      </c>
      <c r="G275" s="245" t="s">
        <v>865</v>
      </c>
      <c r="H275" s="245" t="s">
        <v>698</v>
      </c>
      <c r="I275" s="245" t="s">
        <v>691</v>
      </c>
      <c r="J275" s="245" t="s">
        <v>696</v>
      </c>
    </row>
    <row r="276" spans="1:10" x14ac:dyDescent="0.25">
      <c r="A276" s="245">
        <v>275</v>
      </c>
      <c r="B276" s="245" t="s">
        <v>974</v>
      </c>
      <c r="C276" s="245" t="s">
        <v>693</v>
      </c>
      <c r="D276" s="245" t="s">
        <v>690</v>
      </c>
      <c r="E276" s="245" t="s">
        <v>689</v>
      </c>
      <c r="F276" s="245" t="s">
        <v>707</v>
      </c>
      <c r="G276" s="245" t="s">
        <v>865</v>
      </c>
      <c r="H276" s="245" t="s">
        <v>692</v>
      </c>
      <c r="I276" s="245" t="s">
        <v>698</v>
      </c>
      <c r="J276" s="245" t="s">
        <v>691</v>
      </c>
    </row>
    <row r="277" spans="1:10" x14ac:dyDescent="0.25">
      <c r="A277" s="245">
        <v>276</v>
      </c>
      <c r="B277" s="245" t="s">
        <v>975</v>
      </c>
      <c r="C277" s="245" t="s">
        <v>707</v>
      </c>
      <c r="D277" s="245" t="s">
        <v>694</v>
      </c>
      <c r="E277" s="245" t="s">
        <v>689</v>
      </c>
      <c r="F277" s="245" t="s">
        <v>698</v>
      </c>
      <c r="G277" s="245" t="s">
        <v>865</v>
      </c>
      <c r="H277" s="245" t="s">
        <v>692</v>
      </c>
      <c r="I277" s="245" t="s">
        <v>695</v>
      </c>
      <c r="J277" s="245" t="s">
        <v>696</v>
      </c>
    </row>
    <row r="278" spans="1:10" x14ac:dyDescent="0.25">
      <c r="A278" s="245">
        <v>277</v>
      </c>
      <c r="B278" s="245" t="s">
        <v>976</v>
      </c>
      <c r="C278" s="245" t="s">
        <v>707</v>
      </c>
      <c r="D278" s="245" t="s">
        <v>694</v>
      </c>
      <c r="E278" s="245" t="s">
        <v>690</v>
      </c>
      <c r="F278" s="245" t="s">
        <v>698</v>
      </c>
      <c r="G278" s="245" t="s">
        <v>865</v>
      </c>
      <c r="H278" s="245" t="s">
        <v>692</v>
      </c>
      <c r="I278" s="245" t="s">
        <v>695</v>
      </c>
      <c r="J278" s="245" t="s">
        <v>689</v>
      </c>
    </row>
    <row r="279" spans="1:10" x14ac:dyDescent="0.25">
      <c r="A279" s="245">
        <v>278</v>
      </c>
      <c r="B279" s="245" t="s">
        <v>977</v>
      </c>
      <c r="C279" s="245" t="s">
        <v>707</v>
      </c>
      <c r="D279" s="245" t="s">
        <v>694</v>
      </c>
      <c r="E279" s="245" t="s">
        <v>690</v>
      </c>
      <c r="F279" s="245" t="s">
        <v>698</v>
      </c>
      <c r="G279" s="245" t="s">
        <v>865</v>
      </c>
      <c r="H279" s="245" t="s">
        <v>692</v>
      </c>
      <c r="I279" s="245" t="s">
        <v>689</v>
      </c>
      <c r="J279" s="245" t="s">
        <v>696</v>
      </c>
    </row>
    <row r="280" spans="1:10" x14ac:dyDescent="0.25">
      <c r="A280" s="245">
        <v>279</v>
      </c>
      <c r="B280" s="245" t="s">
        <v>978</v>
      </c>
      <c r="C280" s="245" t="s">
        <v>707</v>
      </c>
      <c r="D280" s="245" t="s">
        <v>694</v>
      </c>
      <c r="E280" s="245" t="s">
        <v>689</v>
      </c>
      <c r="F280" s="245" t="s">
        <v>698</v>
      </c>
      <c r="G280" s="245" t="s">
        <v>865</v>
      </c>
      <c r="H280" s="245" t="s">
        <v>692</v>
      </c>
      <c r="I280" s="245" t="s">
        <v>695</v>
      </c>
      <c r="J280" s="245" t="s">
        <v>691</v>
      </c>
    </row>
    <row r="281" spans="1:10" x14ac:dyDescent="0.25">
      <c r="A281" s="245">
        <v>280</v>
      </c>
      <c r="B281" s="245" t="s">
        <v>979</v>
      </c>
      <c r="C281" s="245" t="s">
        <v>707</v>
      </c>
      <c r="D281" s="245" t="s">
        <v>694</v>
      </c>
      <c r="E281" s="245" t="s">
        <v>689</v>
      </c>
      <c r="F281" s="245" t="s">
        <v>698</v>
      </c>
      <c r="G281" s="245" t="s">
        <v>865</v>
      </c>
      <c r="H281" s="245" t="s">
        <v>692</v>
      </c>
      <c r="I281" s="245" t="s">
        <v>691</v>
      </c>
      <c r="J281" s="245" t="s">
        <v>696</v>
      </c>
    </row>
    <row r="282" spans="1:10" x14ac:dyDescent="0.25">
      <c r="A282" s="245">
        <v>281</v>
      </c>
      <c r="B282" s="245" t="s">
        <v>980</v>
      </c>
      <c r="C282" s="245" t="s">
        <v>707</v>
      </c>
      <c r="D282" s="245" t="s">
        <v>694</v>
      </c>
      <c r="E282" s="245" t="s">
        <v>690</v>
      </c>
      <c r="F282" s="245" t="s">
        <v>698</v>
      </c>
      <c r="G282" s="245" t="s">
        <v>865</v>
      </c>
      <c r="H282" s="245" t="s">
        <v>692</v>
      </c>
      <c r="I282" s="245" t="s">
        <v>689</v>
      </c>
      <c r="J282" s="245" t="s">
        <v>691</v>
      </c>
    </row>
    <row r="283" spans="1:10" x14ac:dyDescent="0.25">
      <c r="A283" s="245">
        <v>282</v>
      </c>
      <c r="B283" s="245" t="s">
        <v>981</v>
      </c>
      <c r="C283" s="245" t="s">
        <v>693</v>
      </c>
      <c r="D283" s="245" t="s">
        <v>694</v>
      </c>
      <c r="E283" s="245" t="s">
        <v>692</v>
      </c>
      <c r="F283" s="245" t="s">
        <v>707</v>
      </c>
      <c r="G283" s="245" t="s">
        <v>865</v>
      </c>
      <c r="H283" s="245" t="s">
        <v>698</v>
      </c>
      <c r="I283" s="245" t="s">
        <v>695</v>
      </c>
      <c r="J283" s="245" t="s">
        <v>689</v>
      </c>
    </row>
    <row r="284" spans="1:10" x14ac:dyDescent="0.25">
      <c r="A284" s="245">
        <v>283</v>
      </c>
      <c r="B284" s="245" t="s">
        <v>982</v>
      </c>
      <c r="C284" s="245" t="s">
        <v>693</v>
      </c>
      <c r="D284" s="245" t="s">
        <v>694</v>
      </c>
      <c r="E284" s="245" t="s">
        <v>689</v>
      </c>
      <c r="F284" s="245" t="s">
        <v>707</v>
      </c>
      <c r="G284" s="245" t="s">
        <v>865</v>
      </c>
      <c r="H284" s="245" t="s">
        <v>692</v>
      </c>
      <c r="I284" s="245" t="s">
        <v>698</v>
      </c>
      <c r="J284" s="245" t="s">
        <v>696</v>
      </c>
    </row>
    <row r="285" spans="1:10" x14ac:dyDescent="0.25">
      <c r="A285" s="245">
        <v>284</v>
      </c>
      <c r="B285" s="245" t="s">
        <v>983</v>
      </c>
      <c r="C285" s="245" t="s">
        <v>693</v>
      </c>
      <c r="D285" s="245" t="s">
        <v>694</v>
      </c>
      <c r="E285" s="245" t="s">
        <v>690</v>
      </c>
      <c r="F285" s="245" t="s">
        <v>707</v>
      </c>
      <c r="G285" s="245" t="s">
        <v>865</v>
      </c>
      <c r="H285" s="245" t="s">
        <v>692</v>
      </c>
      <c r="I285" s="245" t="s">
        <v>698</v>
      </c>
      <c r="J285" s="245" t="s">
        <v>689</v>
      </c>
    </row>
    <row r="286" spans="1:10" x14ac:dyDescent="0.25">
      <c r="A286" s="245">
        <v>285</v>
      </c>
      <c r="B286" s="245" t="s">
        <v>984</v>
      </c>
      <c r="C286" s="245" t="s">
        <v>693</v>
      </c>
      <c r="D286" s="245" t="s">
        <v>694</v>
      </c>
      <c r="E286" s="245" t="s">
        <v>689</v>
      </c>
      <c r="F286" s="245" t="s">
        <v>707</v>
      </c>
      <c r="G286" s="245" t="s">
        <v>865</v>
      </c>
      <c r="H286" s="245" t="s">
        <v>692</v>
      </c>
      <c r="I286" s="245" t="s">
        <v>698</v>
      </c>
      <c r="J286" s="245" t="s">
        <v>691</v>
      </c>
    </row>
    <row r="287" spans="1:10" x14ac:dyDescent="0.25">
      <c r="A287" s="245">
        <v>286</v>
      </c>
      <c r="B287" s="245" t="s">
        <v>985</v>
      </c>
      <c r="C287" s="245" t="s">
        <v>693</v>
      </c>
      <c r="D287" s="245" t="s">
        <v>690</v>
      </c>
      <c r="E287" s="245" t="s">
        <v>744</v>
      </c>
      <c r="F287" s="245" t="s">
        <v>865</v>
      </c>
      <c r="G287" s="245" t="s">
        <v>691</v>
      </c>
      <c r="H287" s="245" t="s">
        <v>694</v>
      </c>
      <c r="I287" s="245" t="s">
        <v>695</v>
      </c>
      <c r="J287" s="245" t="s">
        <v>696</v>
      </c>
    </row>
    <row r="288" spans="1:10" x14ac:dyDescent="0.25">
      <c r="A288" s="245">
        <v>287</v>
      </c>
      <c r="B288" s="245" t="s">
        <v>986</v>
      </c>
      <c r="C288" s="245" t="s">
        <v>693</v>
      </c>
      <c r="D288" s="245" t="s">
        <v>690</v>
      </c>
      <c r="E288" s="245" t="s">
        <v>744</v>
      </c>
      <c r="F288" s="245" t="s">
        <v>865</v>
      </c>
      <c r="G288" s="245" t="s">
        <v>691</v>
      </c>
      <c r="H288" s="245" t="s">
        <v>692</v>
      </c>
      <c r="I288" s="245" t="s">
        <v>695</v>
      </c>
      <c r="J288" s="245" t="s">
        <v>696</v>
      </c>
    </row>
    <row r="289" spans="1:10" x14ac:dyDescent="0.25">
      <c r="A289" s="245">
        <v>288</v>
      </c>
      <c r="B289" s="245" t="s">
        <v>987</v>
      </c>
      <c r="C289" s="245" t="s">
        <v>691</v>
      </c>
      <c r="D289" s="245" t="s">
        <v>690</v>
      </c>
      <c r="E289" s="245" t="s">
        <v>744</v>
      </c>
      <c r="F289" s="245" t="s">
        <v>692</v>
      </c>
      <c r="G289" s="245" t="s">
        <v>865</v>
      </c>
      <c r="H289" s="245" t="s">
        <v>694</v>
      </c>
      <c r="I289" s="245" t="s">
        <v>695</v>
      </c>
      <c r="J289" s="245" t="s">
        <v>696</v>
      </c>
    </row>
    <row r="290" spans="1:10" x14ac:dyDescent="0.25">
      <c r="A290" s="245">
        <v>289</v>
      </c>
      <c r="B290" s="245" t="s">
        <v>988</v>
      </c>
      <c r="C290" s="245" t="s">
        <v>693</v>
      </c>
      <c r="D290" s="245" t="s">
        <v>690</v>
      </c>
      <c r="E290" s="245" t="s">
        <v>744</v>
      </c>
      <c r="F290" s="245" t="s">
        <v>692</v>
      </c>
      <c r="G290" s="245" t="s">
        <v>865</v>
      </c>
      <c r="H290" s="245" t="s">
        <v>694</v>
      </c>
      <c r="I290" s="245" t="s">
        <v>695</v>
      </c>
      <c r="J290" s="245" t="s">
        <v>696</v>
      </c>
    </row>
    <row r="291" spans="1:10" x14ac:dyDescent="0.25">
      <c r="A291" s="245">
        <v>290</v>
      </c>
      <c r="B291" s="245" t="s">
        <v>989</v>
      </c>
      <c r="C291" s="245" t="s">
        <v>693</v>
      </c>
      <c r="D291" s="245" t="s">
        <v>694</v>
      </c>
      <c r="E291" s="245" t="s">
        <v>744</v>
      </c>
      <c r="F291" s="245" t="s">
        <v>865</v>
      </c>
      <c r="G291" s="245" t="s">
        <v>691</v>
      </c>
      <c r="H291" s="245" t="s">
        <v>692</v>
      </c>
      <c r="I291" s="245" t="s">
        <v>695</v>
      </c>
      <c r="J291" s="245" t="s">
        <v>696</v>
      </c>
    </row>
    <row r="292" spans="1:10" x14ac:dyDescent="0.25">
      <c r="A292" s="245">
        <v>291</v>
      </c>
      <c r="B292" s="245" t="s">
        <v>990</v>
      </c>
      <c r="C292" s="245" t="s">
        <v>693</v>
      </c>
      <c r="D292" s="245" t="s">
        <v>690</v>
      </c>
      <c r="E292" s="245" t="s">
        <v>744</v>
      </c>
      <c r="F292" s="245" t="s">
        <v>692</v>
      </c>
      <c r="G292" s="245" t="s">
        <v>865</v>
      </c>
      <c r="H292" s="245" t="s">
        <v>694</v>
      </c>
      <c r="I292" s="245" t="s">
        <v>695</v>
      </c>
      <c r="J292" s="245" t="s">
        <v>691</v>
      </c>
    </row>
    <row r="293" spans="1:10" x14ac:dyDescent="0.25">
      <c r="A293" s="245">
        <v>292</v>
      </c>
      <c r="B293" s="245" t="s">
        <v>991</v>
      </c>
      <c r="C293" s="245" t="s">
        <v>693</v>
      </c>
      <c r="D293" s="245" t="s">
        <v>690</v>
      </c>
      <c r="E293" s="245" t="s">
        <v>744</v>
      </c>
      <c r="F293" s="245" t="s">
        <v>692</v>
      </c>
      <c r="G293" s="245" t="s">
        <v>865</v>
      </c>
      <c r="H293" s="245" t="s">
        <v>694</v>
      </c>
      <c r="I293" s="245" t="s">
        <v>691</v>
      </c>
      <c r="J293" s="245" t="s">
        <v>696</v>
      </c>
    </row>
    <row r="294" spans="1:10" x14ac:dyDescent="0.25">
      <c r="A294" s="245">
        <v>293</v>
      </c>
      <c r="B294" s="245" t="s">
        <v>992</v>
      </c>
      <c r="C294" s="245" t="s">
        <v>689</v>
      </c>
      <c r="D294" s="245" t="s">
        <v>690</v>
      </c>
      <c r="E294" s="245" t="s">
        <v>744</v>
      </c>
      <c r="F294" s="245" t="s">
        <v>865</v>
      </c>
      <c r="G294" s="245" t="s">
        <v>691</v>
      </c>
      <c r="H294" s="245" t="s">
        <v>693</v>
      </c>
      <c r="I294" s="245" t="s">
        <v>695</v>
      </c>
      <c r="J294" s="245" t="s">
        <v>696</v>
      </c>
    </row>
    <row r="295" spans="1:10" x14ac:dyDescent="0.25">
      <c r="A295" s="245">
        <v>294</v>
      </c>
      <c r="B295" s="245" t="s">
        <v>993</v>
      </c>
      <c r="C295" s="245" t="s">
        <v>689</v>
      </c>
      <c r="D295" s="245" t="s">
        <v>690</v>
      </c>
      <c r="E295" s="245" t="s">
        <v>744</v>
      </c>
      <c r="F295" s="245" t="s">
        <v>865</v>
      </c>
      <c r="G295" s="245" t="s">
        <v>691</v>
      </c>
      <c r="H295" s="245" t="s">
        <v>694</v>
      </c>
      <c r="I295" s="245" t="s">
        <v>695</v>
      </c>
      <c r="J295" s="245" t="s">
        <v>696</v>
      </c>
    </row>
    <row r="296" spans="1:10" x14ac:dyDescent="0.25">
      <c r="A296" s="245">
        <v>295</v>
      </c>
      <c r="B296" s="245" t="s">
        <v>994</v>
      </c>
      <c r="C296" s="245" t="s">
        <v>689</v>
      </c>
      <c r="D296" s="245" t="s">
        <v>690</v>
      </c>
      <c r="E296" s="245" t="s">
        <v>744</v>
      </c>
      <c r="F296" s="245" t="s">
        <v>865</v>
      </c>
      <c r="G296" s="245" t="s">
        <v>693</v>
      </c>
      <c r="H296" s="245" t="s">
        <v>694</v>
      </c>
      <c r="I296" s="245" t="s">
        <v>695</v>
      </c>
      <c r="J296" s="245" t="s">
        <v>696</v>
      </c>
    </row>
    <row r="297" spans="1:10" x14ac:dyDescent="0.25">
      <c r="A297" s="245">
        <v>296</v>
      </c>
      <c r="B297" s="245" t="s">
        <v>995</v>
      </c>
      <c r="C297" s="245" t="s">
        <v>689</v>
      </c>
      <c r="D297" s="245" t="s">
        <v>694</v>
      </c>
      <c r="E297" s="245" t="s">
        <v>744</v>
      </c>
      <c r="F297" s="245" t="s">
        <v>865</v>
      </c>
      <c r="G297" s="245" t="s">
        <v>691</v>
      </c>
      <c r="H297" s="245" t="s">
        <v>693</v>
      </c>
      <c r="I297" s="245" t="s">
        <v>695</v>
      </c>
      <c r="J297" s="245" t="s">
        <v>696</v>
      </c>
    </row>
    <row r="298" spans="1:10" x14ac:dyDescent="0.25">
      <c r="A298" s="245">
        <v>297</v>
      </c>
      <c r="B298" s="245" t="s">
        <v>996</v>
      </c>
      <c r="C298" s="245" t="s">
        <v>689</v>
      </c>
      <c r="D298" s="245" t="s">
        <v>690</v>
      </c>
      <c r="E298" s="245" t="s">
        <v>744</v>
      </c>
      <c r="F298" s="245" t="s">
        <v>865</v>
      </c>
      <c r="G298" s="245" t="s">
        <v>693</v>
      </c>
      <c r="H298" s="245" t="s">
        <v>694</v>
      </c>
      <c r="I298" s="245" t="s">
        <v>695</v>
      </c>
      <c r="J298" s="245" t="s">
        <v>691</v>
      </c>
    </row>
    <row r="299" spans="1:10" x14ac:dyDescent="0.25">
      <c r="A299" s="245">
        <v>298</v>
      </c>
      <c r="B299" s="245" t="s">
        <v>997</v>
      </c>
      <c r="C299" s="245" t="s">
        <v>689</v>
      </c>
      <c r="D299" s="245" t="s">
        <v>690</v>
      </c>
      <c r="E299" s="245" t="s">
        <v>744</v>
      </c>
      <c r="F299" s="245" t="s">
        <v>865</v>
      </c>
      <c r="G299" s="245" t="s">
        <v>693</v>
      </c>
      <c r="H299" s="245" t="s">
        <v>694</v>
      </c>
      <c r="I299" s="245" t="s">
        <v>691</v>
      </c>
      <c r="J299" s="245" t="s">
        <v>696</v>
      </c>
    </row>
    <row r="300" spans="1:10" x14ac:dyDescent="0.25">
      <c r="A300" s="245">
        <v>299</v>
      </c>
      <c r="B300" s="245" t="s">
        <v>998</v>
      </c>
      <c r="C300" s="245" t="s">
        <v>689</v>
      </c>
      <c r="D300" s="245" t="s">
        <v>690</v>
      </c>
      <c r="E300" s="245" t="s">
        <v>744</v>
      </c>
      <c r="F300" s="245" t="s">
        <v>865</v>
      </c>
      <c r="G300" s="245" t="s">
        <v>691</v>
      </c>
      <c r="H300" s="245" t="s">
        <v>692</v>
      </c>
      <c r="I300" s="245" t="s">
        <v>695</v>
      </c>
      <c r="J300" s="245" t="s">
        <v>696</v>
      </c>
    </row>
    <row r="301" spans="1:10" x14ac:dyDescent="0.25">
      <c r="A301" s="245">
        <v>300</v>
      </c>
      <c r="B301" s="245" t="s">
        <v>999</v>
      </c>
      <c r="C301" s="245" t="s">
        <v>689</v>
      </c>
      <c r="D301" s="245" t="s">
        <v>690</v>
      </c>
      <c r="E301" s="245" t="s">
        <v>744</v>
      </c>
      <c r="F301" s="245" t="s">
        <v>692</v>
      </c>
      <c r="G301" s="245" t="s">
        <v>865</v>
      </c>
      <c r="H301" s="245" t="s">
        <v>693</v>
      </c>
      <c r="I301" s="245" t="s">
        <v>695</v>
      </c>
      <c r="J301" s="245" t="s">
        <v>696</v>
      </c>
    </row>
    <row r="302" spans="1:10" x14ac:dyDescent="0.25">
      <c r="A302" s="245">
        <v>301</v>
      </c>
      <c r="B302" s="245" t="s">
        <v>1000</v>
      </c>
      <c r="C302" s="245" t="s">
        <v>689</v>
      </c>
      <c r="D302" s="245" t="s">
        <v>691</v>
      </c>
      <c r="E302" s="245" t="s">
        <v>744</v>
      </c>
      <c r="F302" s="245" t="s">
        <v>692</v>
      </c>
      <c r="G302" s="245" t="s">
        <v>865</v>
      </c>
      <c r="H302" s="245" t="s">
        <v>693</v>
      </c>
      <c r="I302" s="245" t="s">
        <v>695</v>
      </c>
      <c r="J302" s="245" t="s">
        <v>696</v>
      </c>
    </row>
    <row r="303" spans="1:10" x14ac:dyDescent="0.25">
      <c r="A303" s="245">
        <v>302</v>
      </c>
      <c r="B303" s="245" t="s">
        <v>1001</v>
      </c>
      <c r="C303" s="245" t="s">
        <v>689</v>
      </c>
      <c r="D303" s="245" t="s">
        <v>690</v>
      </c>
      <c r="E303" s="245" t="s">
        <v>744</v>
      </c>
      <c r="F303" s="245" t="s">
        <v>692</v>
      </c>
      <c r="G303" s="245" t="s">
        <v>865</v>
      </c>
      <c r="H303" s="245" t="s">
        <v>693</v>
      </c>
      <c r="I303" s="245" t="s">
        <v>695</v>
      </c>
      <c r="J303" s="245" t="s">
        <v>691</v>
      </c>
    </row>
    <row r="304" spans="1:10" x14ac:dyDescent="0.25">
      <c r="A304" s="245">
        <v>303</v>
      </c>
      <c r="B304" s="245" t="s">
        <v>1002</v>
      </c>
      <c r="C304" s="245" t="s">
        <v>689</v>
      </c>
      <c r="D304" s="245" t="s">
        <v>690</v>
      </c>
      <c r="E304" s="245" t="s">
        <v>744</v>
      </c>
      <c r="F304" s="245" t="s">
        <v>692</v>
      </c>
      <c r="G304" s="245" t="s">
        <v>865</v>
      </c>
      <c r="H304" s="245" t="s">
        <v>693</v>
      </c>
      <c r="I304" s="245" t="s">
        <v>691</v>
      </c>
      <c r="J304" s="245" t="s">
        <v>696</v>
      </c>
    </row>
    <row r="305" spans="1:10" x14ac:dyDescent="0.25">
      <c r="A305" s="245">
        <v>304</v>
      </c>
      <c r="B305" s="245" t="s">
        <v>1003</v>
      </c>
      <c r="C305" s="245" t="s">
        <v>689</v>
      </c>
      <c r="D305" s="245" t="s">
        <v>690</v>
      </c>
      <c r="E305" s="245" t="s">
        <v>744</v>
      </c>
      <c r="F305" s="245" t="s">
        <v>692</v>
      </c>
      <c r="G305" s="245" t="s">
        <v>865</v>
      </c>
      <c r="H305" s="245" t="s">
        <v>694</v>
      </c>
      <c r="I305" s="245" t="s">
        <v>695</v>
      </c>
      <c r="J305" s="245" t="s">
        <v>696</v>
      </c>
    </row>
    <row r="306" spans="1:10" x14ac:dyDescent="0.25">
      <c r="A306" s="245">
        <v>305</v>
      </c>
      <c r="B306" s="245" t="s">
        <v>1004</v>
      </c>
      <c r="C306" s="245" t="s">
        <v>689</v>
      </c>
      <c r="D306" s="245" t="s">
        <v>694</v>
      </c>
      <c r="E306" s="245" t="s">
        <v>744</v>
      </c>
      <c r="F306" s="245" t="s">
        <v>865</v>
      </c>
      <c r="G306" s="245" t="s">
        <v>691</v>
      </c>
      <c r="H306" s="245" t="s">
        <v>692</v>
      </c>
      <c r="I306" s="245" t="s">
        <v>695</v>
      </c>
      <c r="J306" s="245" t="s">
        <v>696</v>
      </c>
    </row>
    <row r="307" spans="1:10" x14ac:dyDescent="0.25">
      <c r="A307" s="245">
        <v>306</v>
      </c>
      <c r="B307" s="245" t="s">
        <v>1005</v>
      </c>
      <c r="C307" s="245" t="s">
        <v>689</v>
      </c>
      <c r="D307" s="245" t="s">
        <v>690</v>
      </c>
      <c r="E307" s="245" t="s">
        <v>744</v>
      </c>
      <c r="F307" s="245" t="s">
        <v>692</v>
      </c>
      <c r="G307" s="245" t="s">
        <v>865</v>
      </c>
      <c r="H307" s="245" t="s">
        <v>694</v>
      </c>
      <c r="I307" s="245" t="s">
        <v>695</v>
      </c>
      <c r="J307" s="245" t="s">
        <v>691</v>
      </c>
    </row>
    <row r="308" spans="1:10" x14ac:dyDescent="0.25">
      <c r="A308" s="245">
        <v>307</v>
      </c>
      <c r="B308" s="245" t="s">
        <v>1006</v>
      </c>
      <c r="C308" s="245" t="s">
        <v>689</v>
      </c>
      <c r="D308" s="245" t="s">
        <v>690</v>
      </c>
      <c r="E308" s="245" t="s">
        <v>744</v>
      </c>
      <c r="F308" s="245" t="s">
        <v>692</v>
      </c>
      <c r="G308" s="245" t="s">
        <v>865</v>
      </c>
      <c r="H308" s="245" t="s">
        <v>694</v>
      </c>
      <c r="I308" s="245" t="s">
        <v>691</v>
      </c>
      <c r="J308" s="245" t="s">
        <v>696</v>
      </c>
    </row>
    <row r="309" spans="1:10" x14ac:dyDescent="0.25">
      <c r="A309" s="245">
        <v>308</v>
      </c>
      <c r="B309" s="245" t="s">
        <v>1007</v>
      </c>
      <c r="C309" s="245" t="s">
        <v>689</v>
      </c>
      <c r="D309" s="245" t="s">
        <v>694</v>
      </c>
      <c r="E309" s="245" t="s">
        <v>744</v>
      </c>
      <c r="F309" s="245" t="s">
        <v>692</v>
      </c>
      <c r="G309" s="245" t="s">
        <v>865</v>
      </c>
      <c r="H309" s="245" t="s">
        <v>693</v>
      </c>
      <c r="I309" s="245" t="s">
        <v>695</v>
      </c>
      <c r="J309" s="245" t="s">
        <v>696</v>
      </c>
    </row>
    <row r="310" spans="1:10" x14ac:dyDescent="0.25">
      <c r="A310" s="245">
        <v>309</v>
      </c>
      <c r="B310" s="245" t="s">
        <v>1008</v>
      </c>
      <c r="C310" s="245" t="s">
        <v>693</v>
      </c>
      <c r="D310" s="245" t="s">
        <v>690</v>
      </c>
      <c r="E310" s="245" t="s">
        <v>744</v>
      </c>
      <c r="F310" s="245" t="s">
        <v>692</v>
      </c>
      <c r="G310" s="245" t="s">
        <v>865</v>
      </c>
      <c r="H310" s="245" t="s">
        <v>694</v>
      </c>
      <c r="I310" s="245" t="s">
        <v>695</v>
      </c>
      <c r="J310" s="245" t="s">
        <v>689</v>
      </c>
    </row>
    <row r="311" spans="1:10" x14ac:dyDescent="0.25">
      <c r="A311" s="245">
        <v>310</v>
      </c>
      <c r="B311" s="245" t="s">
        <v>1009</v>
      </c>
      <c r="C311" s="245" t="s">
        <v>693</v>
      </c>
      <c r="D311" s="245" t="s">
        <v>690</v>
      </c>
      <c r="E311" s="245" t="s">
        <v>744</v>
      </c>
      <c r="F311" s="245" t="s">
        <v>692</v>
      </c>
      <c r="G311" s="245" t="s">
        <v>865</v>
      </c>
      <c r="H311" s="245" t="s">
        <v>694</v>
      </c>
      <c r="I311" s="245" t="s">
        <v>689</v>
      </c>
      <c r="J311" s="245" t="s">
        <v>696</v>
      </c>
    </row>
    <row r="312" spans="1:10" x14ac:dyDescent="0.25">
      <c r="A312" s="245">
        <v>311</v>
      </c>
      <c r="B312" s="245" t="s">
        <v>1010</v>
      </c>
      <c r="C312" s="245" t="s">
        <v>689</v>
      </c>
      <c r="D312" s="245" t="s">
        <v>694</v>
      </c>
      <c r="E312" s="245" t="s">
        <v>744</v>
      </c>
      <c r="F312" s="245" t="s">
        <v>692</v>
      </c>
      <c r="G312" s="245" t="s">
        <v>865</v>
      </c>
      <c r="H312" s="245" t="s">
        <v>693</v>
      </c>
      <c r="I312" s="245" t="s">
        <v>695</v>
      </c>
      <c r="J312" s="245" t="s">
        <v>691</v>
      </c>
    </row>
    <row r="313" spans="1:10" x14ac:dyDescent="0.25">
      <c r="A313" s="245">
        <v>312</v>
      </c>
      <c r="B313" s="245" t="s">
        <v>1011</v>
      </c>
      <c r="C313" s="245" t="s">
        <v>689</v>
      </c>
      <c r="D313" s="245" t="s">
        <v>694</v>
      </c>
      <c r="E313" s="245" t="s">
        <v>744</v>
      </c>
      <c r="F313" s="245" t="s">
        <v>692</v>
      </c>
      <c r="G313" s="245" t="s">
        <v>865</v>
      </c>
      <c r="H313" s="245" t="s">
        <v>693</v>
      </c>
      <c r="I313" s="245" t="s">
        <v>691</v>
      </c>
      <c r="J313" s="245" t="s">
        <v>696</v>
      </c>
    </row>
    <row r="314" spans="1:10" x14ac:dyDescent="0.25">
      <c r="A314" s="245">
        <v>313</v>
      </c>
      <c r="B314" s="245" t="s">
        <v>1012</v>
      </c>
      <c r="C314" s="245" t="s">
        <v>693</v>
      </c>
      <c r="D314" s="245" t="s">
        <v>690</v>
      </c>
      <c r="E314" s="245" t="s">
        <v>744</v>
      </c>
      <c r="F314" s="245" t="s">
        <v>692</v>
      </c>
      <c r="G314" s="245" t="s">
        <v>865</v>
      </c>
      <c r="H314" s="245" t="s">
        <v>694</v>
      </c>
      <c r="I314" s="245" t="s">
        <v>689</v>
      </c>
      <c r="J314" s="245" t="s">
        <v>691</v>
      </c>
    </row>
    <row r="315" spans="1:10" x14ac:dyDescent="0.25">
      <c r="A315" s="245">
        <v>314</v>
      </c>
      <c r="B315" s="245" t="s">
        <v>1013</v>
      </c>
      <c r="C315" s="245" t="s">
        <v>691</v>
      </c>
      <c r="D315" s="245" t="s">
        <v>690</v>
      </c>
      <c r="E315" s="245" t="s">
        <v>744</v>
      </c>
      <c r="F315" s="245" t="s">
        <v>698</v>
      </c>
      <c r="G315" s="245" t="s">
        <v>865</v>
      </c>
      <c r="H315" s="245" t="s">
        <v>693</v>
      </c>
      <c r="I315" s="245" t="s">
        <v>695</v>
      </c>
      <c r="J315" s="245" t="s">
        <v>696</v>
      </c>
    </row>
    <row r="316" spans="1:10" x14ac:dyDescent="0.25">
      <c r="A316" s="245">
        <v>315</v>
      </c>
      <c r="B316" s="245" t="s">
        <v>1014</v>
      </c>
      <c r="C316" s="245" t="s">
        <v>691</v>
      </c>
      <c r="D316" s="245" t="s">
        <v>690</v>
      </c>
      <c r="E316" s="245" t="s">
        <v>744</v>
      </c>
      <c r="F316" s="245" t="s">
        <v>698</v>
      </c>
      <c r="G316" s="245" t="s">
        <v>865</v>
      </c>
      <c r="H316" s="245" t="s">
        <v>694</v>
      </c>
      <c r="I316" s="245" t="s">
        <v>695</v>
      </c>
      <c r="J316" s="245" t="s">
        <v>696</v>
      </c>
    </row>
    <row r="317" spans="1:10" x14ac:dyDescent="0.25">
      <c r="A317" s="245">
        <v>316</v>
      </c>
      <c r="B317" s="245" t="s">
        <v>1015</v>
      </c>
      <c r="C317" s="245" t="s">
        <v>693</v>
      </c>
      <c r="D317" s="245" t="s">
        <v>690</v>
      </c>
      <c r="E317" s="245" t="s">
        <v>744</v>
      </c>
      <c r="F317" s="245" t="s">
        <v>698</v>
      </c>
      <c r="G317" s="245" t="s">
        <v>865</v>
      </c>
      <c r="H317" s="245" t="s">
        <v>694</v>
      </c>
      <c r="I317" s="245" t="s">
        <v>695</v>
      </c>
      <c r="J317" s="245" t="s">
        <v>696</v>
      </c>
    </row>
    <row r="318" spans="1:10" x14ac:dyDescent="0.25">
      <c r="A318" s="245">
        <v>317</v>
      </c>
      <c r="B318" s="245" t="s">
        <v>1016</v>
      </c>
      <c r="C318" s="245" t="s">
        <v>691</v>
      </c>
      <c r="D318" s="245" t="s">
        <v>694</v>
      </c>
      <c r="E318" s="245" t="s">
        <v>744</v>
      </c>
      <c r="F318" s="245" t="s">
        <v>698</v>
      </c>
      <c r="G318" s="245" t="s">
        <v>865</v>
      </c>
      <c r="H318" s="245" t="s">
        <v>693</v>
      </c>
      <c r="I318" s="245" t="s">
        <v>695</v>
      </c>
      <c r="J318" s="245" t="s">
        <v>696</v>
      </c>
    </row>
    <row r="319" spans="1:10" x14ac:dyDescent="0.25">
      <c r="A319" s="245">
        <v>318</v>
      </c>
      <c r="B319" s="245" t="s">
        <v>1017</v>
      </c>
      <c r="C319" s="245" t="s">
        <v>693</v>
      </c>
      <c r="D319" s="245" t="s">
        <v>690</v>
      </c>
      <c r="E319" s="245" t="s">
        <v>744</v>
      </c>
      <c r="F319" s="245" t="s">
        <v>698</v>
      </c>
      <c r="G319" s="245" t="s">
        <v>865</v>
      </c>
      <c r="H319" s="245" t="s">
        <v>694</v>
      </c>
      <c r="I319" s="245" t="s">
        <v>695</v>
      </c>
      <c r="J319" s="245" t="s">
        <v>691</v>
      </c>
    </row>
    <row r="320" spans="1:10" x14ac:dyDescent="0.25">
      <c r="A320" s="245">
        <v>319</v>
      </c>
      <c r="B320" s="245" t="s">
        <v>1018</v>
      </c>
      <c r="C320" s="245" t="s">
        <v>693</v>
      </c>
      <c r="D320" s="245" t="s">
        <v>690</v>
      </c>
      <c r="E320" s="245" t="s">
        <v>744</v>
      </c>
      <c r="F320" s="245" t="s">
        <v>698</v>
      </c>
      <c r="G320" s="245" t="s">
        <v>865</v>
      </c>
      <c r="H320" s="245" t="s">
        <v>694</v>
      </c>
      <c r="I320" s="245" t="s">
        <v>691</v>
      </c>
      <c r="J320" s="245" t="s">
        <v>696</v>
      </c>
    </row>
    <row r="321" spans="1:10" x14ac:dyDescent="0.25">
      <c r="A321" s="245">
        <v>320</v>
      </c>
      <c r="B321" s="245" t="s">
        <v>1019</v>
      </c>
      <c r="C321" s="245" t="s">
        <v>691</v>
      </c>
      <c r="D321" s="245" t="s">
        <v>690</v>
      </c>
      <c r="E321" s="245" t="s">
        <v>744</v>
      </c>
      <c r="F321" s="245" t="s">
        <v>698</v>
      </c>
      <c r="G321" s="245" t="s">
        <v>865</v>
      </c>
      <c r="H321" s="245" t="s">
        <v>692</v>
      </c>
      <c r="I321" s="245" t="s">
        <v>695</v>
      </c>
      <c r="J321" s="245" t="s">
        <v>696</v>
      </c>
    </row>
    <row r="322" spans="1:10" x14ac:dyDescent="0.25">
      <c r="A322" s="245">
        <v>321</v>
      </c>
      <c r="B322" s="245" t="s">
        <v>1020</v>
      </c>
      <c r="C322" s="245" t="s">
        <v>693</v>
      </c>
      <c r="D322" s="245" t="s">
        <v>690</v>
      </c>
      <c r="E322" s="245" t="s">
        <v>744</v>
      </c>
      <c r="F322" s="245" t="s">
        <v>698</v>
      </c>
      <c r="G322" s="245" t="s">
        <v>865</v>
      </c>
      <c r="H322" s="245" t="s">
        <v>692</v>
      </c>
      <c r="I322" s="245" t="s">
        <v>695</v>
      </c>
      <c r="J322" s="245" t="s">
        <v>696</v>
      </c>
    </row>
    <row r="323" spans="1:10" x14ac:dyDescent="0.25">
      <c r="A323" s="245">
        <v>322</v>
      </c>
      <c r="B323" s="245" t="s">
        <v>1021</v>
      </c>
      <c r="C323" s="245" t="s">
        <v>693</v>
      </c>
      <c r="D323" s="245" t="s">
        <v>691</v>
      </c>
      <c r="E323" s="245" t="s">
        <v>744</v>
      </c>
      <c r="F323" s="245" t="s">
        <v>698</v>
      </c>
      <c r="G323" s="245" t="s">
        <v>865</v>
      </c>
      <c r="H323" s="245" t="s">
        <v>692</v>
      </c>
      <c r="I323" s="245" t="s">
        <v>695</v>
      </c>
      <c r="J323" s="245" t="s">
        <v>696</v>
      </c>
    </row>
    <row r="324" spans="1:10" x14ac:dyDescent="0.25">
      <c r="A324" s="245">
        <v>323</v>
      </c>
      <c r="B324" s="245" t="s">
        <v>1022</v>
      </c>
      <c r="C324" s="245" t="s">
        <v>693</v>
      </c>
      <c r="D324" s="245" t="s">
        <v>690</v>
      </c>
      <c r="E324" s="245" t="s">
        <v>744</v>
      </c>
      <c r="F324" s="245" t="s">
        <v>698</v>
      </c>
      <c r="G324" s="245" t="s">
        <v>865</v>
      </c>
      <c r="H324" s="245" t="s">
        <v>692</v>
      </c>
      <c r="I324" s="245" t="s">
        <v>695</v>
      </c>
      <c r="J324" s="245" t="s">
        <v>691</v>
      </c>
    </row>
    <row r="325" spans="1:10" x14ac:dyDescent="0.25">
      <c r="A325" s="245">
        <v>324</v>
      </c>
      <c r="B325" s="245" t="s">
        <v>1023</v>
      </c>
      <c r="C325" s="245" t="s">
        <v>693</v>
      </c>
      <c r="D325" s="245" t="s">
        <v>690</v>
      </c>
      <c r="E325" s="245" t="s">
        <v>744</v>
      </c>
      <c r="F325" s="245" t="s">
        <v>698</v>
      </c>
      <c r="G325" s="245" t="s">
        <v>865</v>
      </c>
      <c r="H325" s="245" t="s">
        <v>692</v>
      </c>
      <c r="I325" s="245" t="s">
        <v>691</v>
      </c>
      <c r="J325" s="245" t="s">
        <v>696</v>
      </c>
    </row>
    <row r="326" spans="1:10" x14ac:dyDescent="0.25">
      <c r="A326" s="245">
        <v>325</v>
      </c>
      <c r="B326" s="245" t="s">
        <v>1024</v>
      </c>
      <c r="C326" s="245" t="s">
        <v>692</v>
      </c>
      <c r="D326" s="245" t="s">
        <v>690</v>
      </c>
      <c r="E326" s="245" t="s">
        <v>744</v>
      </c>
      <c r="F326" s="245" t="s">
        <v>698</v>
      </c>
      <c r="G326" s="245" t="s">
        <v>865</v>
      </c>
      <c r="H326" s="245" t="s">
        <v>694</v>
      </c>
      <c r="I326" s="245" t="s">
        <v>695</v>
      </c>
      <c r="J326" s="245" t="s">
        <v>696</v>
      </c>
    </row>
    <row r="327" spans="1:10" x14ac:dyDescent="0.25">
      <c r="A327" s="245">
        <v>326</v>
      </c>
      <c r="B327" s="245" t="s">
        <v>1025</v>
      </c>
      <c r="C327" s="245" t="s">
        <v>691</v>
      </c>
      <c r="D327" s="245" t="s">
        <v>694</v>
      </c>
      <c r="E327" s="245" t="s">
        <v>744</v>
      </c>
      <c r="F327" s="245" t="s">
        <v>698</v>
      </c>
      <c r="G327" s="245" t="s">
        <v>865</v>
      </c>
      <c r="H327" s="245" t="s">
        <v>692</v>
      </c>
      <c r="I327" s="245" t="s">
        <v>695</v>
      </c>
      <c r="J327" s="245" t="s">
        <v>696</v>
      </c>
    </row>
    <row r="328" spans="1:10" x14ac:dyDescent="0.25">
      <c r="A328" s="245">
        <v>327</v>
      </c>
      <c r="B328" s="245" t="s">
        <v>1026</v>
      </c>
      <c r="C328" s="245" t="s">
        <v>692</v>
      </c>
      <c r="D328" s="245" t="s">
        <v>690</v>
      </c>
      <c r="E328" s="245" t="s">
        <v>744</v>
      </c>
      <c r="F328" s="245" t="s">
        <v>698</v>
      </c>
      <c r="G328" s="245" t="s">
        <v>865</v>
      </c>
      <c r="H328" s="245" t="s">
        <v>694</v>
      </c>
      <c r="I328" s="245" t="s">
        <v>695</v>
      </c>
      <c r="J328" s="245" t="s">
        <v>691</v>
      </c>
    </row>
    <row r="329" spans="1:10" x14ac:dyDescent="0.25">
      <c r="A329" s="245">
        <v>328</v>
      </c>
      <c r="B329" s="245" t="s">
        <v>1027</v>
      </c>
      <c r="C329" s="245" t="s">
        <v>692</v>
      </c>
      <c r="D329" s="245" t="s">
        <v>690</v>
      </c>
      <c r="E329" s="245" t="s">
        <v>744</v>
      </c>
      <c r="F329" s="245" t="s">
        <v>698</v>
      </c>
      <c r="G329" s="245" t="s">
        <v>865</v>
      </c>
      <c r="H329" s="245" t="s">
        <v>694</v>
      </c>
      <c r="I329" s="245" t="s">
        <v>691</v>
      </c>
      <c r="J329" s="245" t="s">
        <v>696</v>
      </c>
    </row>
    <row r="330" spans="1:10" x14ac:dyDescent="0.25">
      <c r="A330" s="245">
        <v>329</v>
      </c>
      <c r="B330" s="245" t="s">
        <v>1028</v>
      </c>
      <c r="C330" s="245" t="s">
        <v>693</v>
      </c>
      <c r="D330" s="245" t="s">
        <v>694</v>
      </c>
      <c r="E330" s="245" t="s">
        <v>744</v>
      </c>
      <c r="F330" s="245" t="s">
        <v>698</v>
      </c>
      <c r="G330" s="245" t="s">
        <v>865</v>
      </c>
      <c r="H330" s="245" t="s">
        <v>692</v>
      </c>
      <c r="I330" s="245" t="s">
        <v>695</v>
      </c>
      <c r="J330" s="245" t="s">
        <v>696</v>
      </c>
    </row>
    <row r="331" spans="1:10" x14ac:dyDescent="0.25">
      <c r="A331" s="245">
        <v>330</v>
      </c>
      <c r="B331" s="245" t="s">
        <v>1029</v>
      </c>
      <c r="C331" s="245" t="s">
        <v>693</v>
      </c>
      <c r="D331" s="245" t="s">
        <v>694</v>
      </c>
      <c r="E331" s="245" t="s">
        <v>744</v>
      </c>
      <c r="F331" s="245" t="s">
        <v>698</v>
      </c>
      <c r="G331" s="245" t="s">
        <v>865</v>
      </c>
      <c r="H331" s="245" t="s">
        <v>692</v>
      </c>
      <c r="I331" s="245" t="s">
        <v>695</v>
      </c>
      <c r="J331" s="245" t="s">
        <v>690</v>
      </c>
    </row>
    <row r="332" spans="1:10" x14ac:dyDescent="0.25">
      <c r="A332" s="245">
        <v>331</v>
      </c>
      <c r="B332" s="245" t="s">
        <v>1030</v>
      </c>
      <c r="C332" s="245" t="s">
        <v>693</v>
      </c>
      <c r="D332" s="245" t="s">
        <v>694</v>
      </c>
      <c r="E332" s="245" t="s">
        <v>744</v>
      </c>
      <c r="F332" s="245" t="s">
        <v>698</v>
      </c>
      <c r="G332" s="245" t="s">
        <v>865</v>
      </c>
      <c r="H332" s="245" t="s">
        <v>692</v>
      </c>
      <c r="I332" s="245" t="s">
        <v>690</v>
      </c>
      <c r="J332" s="245" t="s">
        <v>696</v>
      </c>
    </row>
    <row r="333" spans="1:10" x14ac:dyDescent="0.25">
      <c r="A333" s="245">
        <v>332</v>
      </c>
      <c r="B333" s="245" t="s">
        <v>1031</v>
      </c>
      <c r="C333" s="245" t="s">
        <v>693</v>
      </c>
      <c r="D333" s="245" t="s">
        <v>694</v>
      </c>
      <c r="E333" s="245" t="s">
        <v>744</v>
      </c>
      <c r="F333" s="245" t="s">
        <v>698</v>
      </c>
      <c r="G333" s="245" t="s">
        <v>865</v>
      </c>
      <c r="H333" s="245" t="s">
        <v>692</v>
      </c>
      <c r="I333" s="245" t="s">
        <v>695</v>
      </c>
      <c r="J333" s="245" t="s">
        <v>691</v>
      </c>
    </row>
    <row r="334" spans="1:10" x14ac:dyDescent="0.25">
      <c r="A334" s="245">
        <v>333</v>
      </c>
      <c r="B334" s="245" t="s">
        <v>1032</v>
      </c>
      <c r="C334" s="245" t="s">
        <v>693</v>
      </c>
      <c r="D334" s="245" t="s">
        <v>694</v>
      </c>
      <c r="E334" s="245" t="s">
        <v>744</v>
      </c>
      <c r="F334" s="245" t="s">
        <v>698</v>
      </c>
      <c r="G334" s="245" t="s">
        <v>865</v>
      </c>
      <c r="H334" s="245" t="s">
        <v>692</v>
      </c>
      <c r="I334" s="245" t="s">
        <v>691</v>
      </c>
      <c r="J334" s="245" t="s">
        <v>696</v>
      </c>
    </row>
    <row r="335" spans="1:10" x14ac:dyDescent="0.25">
      <c r="A335" s="245">
        <v>334</v>
      </c>
      <c r="B335" s="245" t="s">
        <v>1033</v>
      </c>
      <c r="C335" s="245" t="s">
        <v>693</v>
      </c>
      <c r="D335" s="245" t="s">
        <v>694</v>
      </c>
      <c r="E335" s="245" t="s">
        <v>744</v>
      </c>
      <c r="F335" s="245" t="s">
        <v>698</v>
      </c>
      <c r="G335" s="245" t="s">
        <v>865</v>
      </c>
      <c r="H335" s="245" t="s">
        <v>692</v>
      </c>
      <c r="I335" s="245" t="s">
        <v>691</v>
      </c>
      <c r="J335" s="245" t="s">
        <v>690</v>
      </c>
    </row>
    <row r="336" spans="1:10" x14ac:dyDescent="0.25">
      <c r="A336" s="245">
        <v>335</v>
      </c>
      <c r="B336" s="245" t="s">
        <v>1034</v>
      </c>
      <c r="C336" s="245" t="s">
        <v>689</v>
      </c>
      <c r="D336" s="245" t="s">
        <v>690</v>
      </c>
      <c r="E336" s="245" t="s">
        <v>744</v>
      </c>
      <c r="F336" s="245" t="s">
        <v>865</v>
      </c>
      <c r="G336" s="245" t="s">
        <v>691</v>
      </c>
      <c r="H336" s="245" t="s">
        <v>698</v>
      </c>
      <c r="I336" s="245" t="s">
        <v>695</v>
      </c>
      <c r="J336" s="245" t="s">
        <v>696</v>
      </c>
    </row>
    <row r="337" spans="1:10" x14ac:dyDescent="0.25">
      <c r="A337" s="245">
        <v>336</v>
      </c>
      <c r="B337" s="245" t="s">
        <v>1035</v>
      </c>
      <c r="C337" s="245" t="s">
        <v>689</v>
      </c>
      <c r="D337" s="245" t="s">
        <v>690</v>
      </c>
      <c r="E337" s="245" t="s">
        <v>744</v>
      </c>
      <c r="F337" s="245" t="s">
        <v>698</v>
      </c>
      <c r="G337" s="245" t="s">
        <v>865</v>
      </c>
      <c r="H337" s="245" t="s">
        <v>693</v>
      </c>
      <c r="I337" s="245" t="s">
        <v>695</v>
      </c>
      <c r="J337" s="245" t="s">
        <v>696</v>
      </c>
    </row>
    <row r="338" spans="1:10" x14ac:dyDescent="0.25">
      <c r="A338" s="245">
        <v>337</v>
      </c>
      <c r="B338" s="245" t="s">
        <v>1036</v>
      </c>
      <c r="C338" s="245" t="s">
        <v>689</v>
      </c>
      <c r="D338" s="245" t="s">
        <v>691</v>
      </c>
      <c r="E338" s="245" t="s">
        <v>744</v>
      </c>
      <c r="F338" s="245" t="s">
        <v>698</v>
      </c>
      <c r="G338" s="245" t="s">
        <v>865</v>
      </c>
      <c r="H338" s="245" t="s">
        <v>693</v>
      </c>
      <c r="I338" s="245" t="s">
        <v>695</v>
      </c>
      <c r="J338" s="245" t="s">
        <v>696</v>
      </c>
    </row>
    <row r="339" spans="1:10" x14ac:dyDescent="0.25">
      <c r="A339" s="245">
        <v>338</v>
      </c>
      <c r="B339" s="245" t="s">
        <v>1037</v>
      </c>
      <c r="C339" s="245" t="s">
        <v>689</v>
      </c>
      <c r="D339" s="245" t="s">
        <v>690</v>
      </c>
      <c r="E339" s="245" t="s">
        <v>744</v>
      </c>
      <c r="F339" s="245" t="s">
        <v>698</v>
      </c>
      <c r="G339" s="245" t="s">
        <v>865</v>
      </c>
      <c r="H339" s="245" t="s">
        <v>693</v>
      </c>
      <c r="I339" s="245" t="s">
        <v>695</v>
      </c>
      <c r="J339" s="245" t="s">
        <v>691</v>
      </c>
    </row>
    <row r="340" spans="1:10" x14ac:dyDescent="0.25">
      <c r="A340" s="245">
        <v>339</v>
      </c>
      <c r="B340" s="245" t="s">
        <v>1038</v>
      </c>
      <c r="C340" s="245" t="s">
        <v>689</v>
      </c>
      <c r="D340" s="245" t="s">
        <v>690</v>
      </c>
      <c r="E340" s="245" t="s">
        <v>744</v>
      </c>
      <c r="F340" s="245" t="s">
        <v>698</v>
      </c>
      <c r="G340" s="245" t="s">
        <v>865</v>
      </c>
      <c r="H340" s="245" t="s">
        <v>693</v>
      </c>
      <c r="I340" s="245" t="s">
        <v>691</v>
      </c>
      <c r="J340" s="245" t="s">
        <v>696</v>
      </c>
    </row>
    <row r="341" spans="1:10" x14ac:dyDescent="0.25">
      <c r="A341" s="245">
        <v>340</v>
      </c>
      <c r="B341" s="245" t="s">
        <v>1039</v>
      </c>
      <c r="C341" s="245" t="s">
        <v>689</v>
      </c>
      <c r="D341" s="245" t="s">
        <v>690</v>
      </c>
      <c r="E341" s="245" t="s">
        <v>744</v>
      </c>
      <c r="F341" s="245" t="s">
        <v>698</v>
      </c>
      <c r="G341" s="245" t="s">
        <v>865</v>
      </c>
      <c r="H341" s="245" t="s">
        <v>694</v>
      </c>
      <c r="I341" s="245" t="s">
        <v>695</v>
      </c>
      <c r="J341" s="245" t="s">
        <v>696</v>
      </c>
    </row>
    <row r="342" spans="1:10" x14ac:dyDescent="0.25">
      <c r="A342" s="245">
        <v>341</v>
      </c>
      <c r="B342" s="245" t="s">
        <v>1040</v>
      </c>
      <c r="C342" s="245" t="s">
        <v>689</v>
      </c>
      <c r="D342" s="245" t="s">
        <v>694</v>
      </c>
      <c r="E342" s="245" t="s">
        <v>744</v>
      </c>
      <c r="F342" s="245" t="s">
        <v>865</v>
      </c>
      <c r="G342" s="245" t="s">
        <v>691</v>
      </c>
      <c r="H342" s="245" t="s">
        <v>698</v>
      </c>
      <c r="I342" s="245" t="s">
        <v>695</v>
      </c>
      <c r="J342" s="245" t="s">
        <v>696</v>
      </c>
    </row>
    <row r="343" spans="1:10" x14ac:dyDescent="0.25">
      <c r="A343" s="245">
        <v>342</v>
      </c>
      <c r="B343" s="245" t="s">
        <v>1041</v>
      </c>
      <c r="C343" s="245" t="s">
        <v>689</v>
      </c>
      <c r="D343" s="245" t="s">
        <v>690</v>
      </c>
      <c r="E343" s="245" t="s">
        <v>744</v>
      </c>
      <c r="F343" s="245" t="s">
        <v>698</v>
      </c>
      <c r="G343" s="245" t="s">
        <v>865</v>
      </c>
      <c r="H343" s="245" t="s">
        <v>694</v>
      </c>
      <c r="I343" s="245" t="s">
        <v>695</v>
      </c>
      <c r="J343" s="245" t="s">
        <v>691</v>
      </c>
    </row>
    <row r="344" spans="1:10" x14ac:dyDescent="0.25">
      <c r="A344" s="245">
        <v>343</v>
      </c>
      <c r="B344" s="245" t="s">
        <v>1042</v>
      </c>
      <c r="C344" s="245" t="s">
        <v>689</v>
      </c>
      <c r="D344" s="245" t="s">
        <v>690</v>
      </c>
      <c r="E344" s="245" t="s">
        <v>744</v>
      </c>
      <c r="F344" s="245" t="s">
        <v>698</v>
      </c>
      <c r="G344" s="245" t="s">
        <v>865</v>
      </c>
      <c r="H344" s="245" t="s">
        <v>694</v>
      </c>
      <c r="I344" s="245" t="s">
        <v>691</v>
      </c>
      <c r="J344" s="245" t="s">
        <v>696</v>
      </c>
    </row>
    <row r="345" spans="1:10" x14ac:dyDescent="0.25">
      <c r="A345" s="245">
        <v>344</v>
      </c>
      <c r="B345" s="245" t="s">
        <v>1043</v>
      </c>
      <c r="C345" s="245" t="s">
        <v>689</v>
      </c>
      <c r="D345" s="245" t="s">
        <v>694</v>
      </c>
      <c r="E345" s="245" t="s">
        <v>744</v>
      </c>
      <c r="F345" s="245" t="s">
        <v>698</v>
      </c>
      <c r="G345" s="245" t="s">
        <v>865</v>
      </c>
      <c r="H345" s="245" t="s">
        <v>693</v>
      </c>
      <c r="I345" s="245" t="s">
        <v>695</v>
      </c>
      <c r="J345" s="245" t="s">
        <v>696</v>
      </c>
    </row>
    <row r="346" spans="1:10" x14ac:dyDescent="0.25">
      <c r="A346" s="245">
        <v>345</v>
      </c>
      <c r="B346" s="245" t="s">
        <v>1044</v>
      </c>
      <c r="C346" s="245" t="s">
        <v>693</v>
      </c>
      <c r="D346" s="245" t="s">
        <v>690</v>
      </c>
      <c r="E346" s="245" t="s">
        <v>744</v>
      </c>
      <c r="F346" s="245" t="s">
        <v>698</v>
      </c>
      <c r="G346" s="245" t="s">
        <v>865</v>
      </c>
      <c r="H346" s="245" t="s">
        <v>694</v>
      </c>
      <c r="I346" s="245" t="s">
        <v>695</v>
      </c>
      <c r="J346" s="245" t="s">
        <v>689</v>
      </c>
    </row>
    <row r="347" spans="1:10" x14ac:dyDescent="0.25">
      <c r="A347" s="245">
        <v>346</v>
      </c>
      <c r="B347" s="245" t="s">
        <v>1045</v>
      </c>
      <c r="C347" s="245" t="s">
        <v>693</v>
      </c>
      <c r="D347" s="245" t="s">
        <v>690</v>
      </c>
      <c r="E347" s="245" t="s">
        <v>744</v>
      </c>
      <c r="F347" s="245" t="s">
        <v>698</v>
      </c>
      <c r="G347" s="245" t="s">
        <v>865</v>
      </c>
      <c r="H347" s="245" t="s">
        <v>694</v>
      </c>
      <c r="I347" s="245" t="s">
        <v>689</v>
      </c>
      <c r="J347" s="245" t="s">
        <v>696</v>
      </c>
    </row>
    <row r="348" spans="1:10" x14ac:dyDescent="0.25">
      <c r="A348" s="245">
        <v>347</v>
      </c>
      <c r="B348" s="245" t="s">
        <v>1046</v>
      </c>
      <c r="C348" s="245" t="s">
        <v>689</v>
      </c>
      <c r="D348" s="245" t="s">
        <v>694</v>
      </c>
      <c r="E348" s="245" t="s">
        <v>744</v>
      </c>
      <c r="F348" s="245" t="s">
        <v>698</v>
      </c>
      <c r="G348" s="245" t="s">
        <v>865</v>
      </c>
      <c r="H348" s="245" t="s">
        <v>693</v>
      </c>
      <c r="I348" s="245" t="s">
        <v>695</v>
      </c>
      <c r="J348" s="245" t="s">
        <v>691</v>
      </c>
    </row>
    <row r="349" spans="1:10" x14ac:dyDescent="0.25">
      <c r="A349" s="245">
        <v>348</v>
      </c>
      <c r="B349" s="245" t="s">
        <v>1047</v>
      </c>
      <c r="C349" s="245" t="s">
        <v>689</v>
      </c>
      <c r="D349" s="245" t="s">
        <v>694</v>
      </c>
      <c r="E349" s="245" t="s">
        <v>744</v>
      </c>
      <c r="F349" s="245" t="s">
        <v>698</v>
      </c>
      <c r="G349" s="245" t="s">
        <v>865</v>
      </c>
      <c r="H349" s="245" t="s">
        <v>693</v>
      </c>
      <c r="I349" s="245" t="s">
        <v>691</v>
      </c>
      <c r="J349" s="245" t="s">
        <v>696</v>
      </c>
    </row>
    <row r="350" spans="1:10" x14ac:dyDescent="0.25">
      <c r="A350" s="245">
        <v>349</v>
      </c>
      <c r="B350" s="245" t="s">
        <v>1048</v>
      </c>
      <c r="C350" s="245" t="s">
        <v>693</v>
      </c>
      <c r="D350" s="245" t="s">
        <v>690</v>
      </c>
      <c r="E350" s="245" t="s">
        <v>744</v>
      </c>
      <c r="F350" s="245" t="s">
        <v>698</v>
      </c>
      <c r="G350" s="245" t="s">
        <v>865</v>
      </c>
      <c r="H350" s="245" t="s">
        <v>694</v>
      </c>
      <c r="I350" s="245" t="s">
        <v>689</v>
      </c>
      <c r="J350" s="245" t="s">
        <v>691</v>
      </c>
    </row>
    <row r="351" spans="1:10" x14ac:dyDescent="0.25">
      <c r="A351" s="245">
        <v>350</v>
      </c>
      <c r="B351" s="245" t="s">
        <v>1049</v>
      </c>
      <c r="C351" s="245" t="s">
        <v>689</v>
      </c>
      <c r="D351" s="245" t="s">
        <v>690</v>
      </c>
      <c r="E351" s="245" t="s">
        <v>744</v>
      </c>
      <c r="F351" s="245" t="s">
        <v>698</v>
      </c>
      <c r="G351" s="245" t="s">
        <v>865</v>
      </c>
      <c r="H351" s="245" t="s">
        <v>692</v>
      </c>
      <c r="I351" s="245" t="s">
        <v>695</v>
      </c>
      <c r="J351" s="245" t="s">
        <v>696</v>
      </c>
    </row>
    <row r="352" spans="1:10" x14ac:dyDescent="0.25">
      <c r="A352" s="245">
        <v>351</v>
      </c>
      <c r="B352" s="245" t="s">
        <v>1050</v>
      </c>
      <c r="C352" s="245" t="s">
        <v>689</v>
      </c>
      <c r="D352" s="245" t="s">
        <v>691</v>
      </c>
      <c r="E352" s="245" t="s">
        <v>744</v>
      </c>
      <c r="F352" s="245" t="s">
        <v>698</v>
      </c>
      <c r="G352" s="245" t="s">
        <v>865</v>
      </c>
      <c r="H352" s="245" t="s">
        <v>692</v>
      </c>
      <c r="I352" s="245" t="s">
        <v>695</v>
      </c>
      <c r="J352" s="245" t="s">
        <v>696</v>
      </c>
    </row>
    <row r="353" spans="1:10" x14ac:dyDescent="0.25">
      <c r="A353" s="245">
        <v>352</v>
      </c>
      <c r="B353" s="245" t="s">
        <v>1051</v>
      </c>
      <c r="C353" s="245" t="s">
        <v>689</v>
      </c>
      <c r="D353" s="245" t="s">
        <v>690</v>
      </c>
      <c r="E353" s="245" t="s">
        <v>744</v>
      </c>
      <c r="F353" s="245" t="s">
        <v>698</v>
      </c>
      <c r="G353" s="245" t="s">
        <v>865</v>
      </c>
      <c r="H353" s="245" t="s">
        <v>692</v>
      </c>
      <c r="I353" s="245" t="s">
        <v>695</v>
      </c>
      <c r="J353" s="245" t="s">
        <v>691</v>
      </c>
    </row>
    <row r="354" spans="1:10" x14ac:dyDescent="0.25">
      <c r="A354" s="245">
        <v>353</v>
      </c>
      <c r="B354" s="245" t="s">
        <v>1052</v>
      </c>
      <c r="C354" s="245" t="s">
        <v>689</v>
      </c>
      <c r="D354" s="245" t="s">
        <v>690</v>
      </c>
      <c r="E354" s="245" t="s">
        <v>744</v>
      </c>
      <c r="F354" s="245" t="s">
        <v>698</v>
      </c>
      <c r="G354" s="245" t="s">
        <v>865</v>
      </c>
      <c r="H354" s="245" t="s">
        <v>692</v>
      </c>
      <c r="I354" s="245" t="s">
        <v>691</v>
      </c>
      <c r="J354" s="245" t="s">
        <v>696</v>
      </c>
    </row>
    <row r="355" spans="1:10" x14ac:dyDescent="0.25">
      <c r="A355" s="245">
        <v>354</v>
      </c>
      <c r="B355" s="245" t="s">
        <v>1053</v>
      </c>
      <c r="C355" s="245" t="s">
        <v>693</v>
      </c>
      <c r="D355" s="245" t="s">
        <v>689</v>
      </c>
      <c r="E355" s="245" t="s">
        <v>744</v>
      </c>
      <c r="F355" s="245" t="s">
        <v>698</v>
      </c>
      <c r="G355" s="245" t="s">
        <v>865</v>
      </c>
      <c r="H355" s="245" t="s">
        <v>692</v>
      </c>
      <c r="I355" s="245" t="s">
        <v>695</v>
      </c>
      <c r="J355" s="245" t="s">
        <v>696</v>
      </c>
    </row>
    <row r="356" spans="1:10" x14ac:dyDescent="0.25">
      <c r="A356" s="245">
        <v>355</v>
      </c>
      <c r="B356" s="245" t="s">
        <v>1054</v>
      </c>
      <c r="C356" s="245" t="s">
        <v>693</v>
      </c>
      <c r="D356" s="245" t="s">
        <v>690</v>
      </c>
      <c r="E356" s="245" t="s">
        <v>744</v>
      </c>
      <c r="F356" s="245" t="s">
        <v>698</v>
      </c>
      <c r="G356" s="245" t="s">
        <v>865</v>
      </c>
      <c r="H356" s="245" t="s">
        <v>692</v>
      </c>
      <c r="I356" s="245" t="s">
        <v>695</v>
      </c>
      <c r="J356" s="245" t="s">
        <v>689</v>
      </c>
    </row>
    <row r="357" spans="1:10" x14ac:dyDescent="0.25">
      <c r="A357" s="245">
        <v>356</v>
      </c>
      <c r="B357" s="245" t="s">
        <v>1055</v>
      </c>
      <c r="C357" s="245" t="s">
        <v>693</v>
      </c>
      <c r="D357" s="245" t="s">
        <v>690</v>
      </c>
      <c r="E357" s="245" t="s">
        <v>744</v>
      </c>
      <c r="F357" s="245" t="s">
        <v>698</v>
      </c>
      <c r="G357" s="245" t="s">
        <v>865</v>
      </c>
      <c r="H357" s="245" t="s">
        <v>692</v>
      </c>
      <c r="I357" s="245" t="s">
        <v>689</v>
      </c>
      <c r="J357" s="245" t="s">
        <v>696</v>
      </c>
    </row>
    <row r="358" spans="1:10" x14ac:dyDescent="0.25">
      <c r="A358" s="245">
        <v>357</v>
      </c>
      <c r="B358" s="245" t="s">
        <v>1056</v>
      </c>
      <c r="C358" s="245" t="s">
        <v>693</v>
      </c>
      <c r="D358" s="245" t="s">
        <v>689</v>
      </c>
      <c r="E358" s="245" t="s">
        <v>744</v>
      </c>
      <c r="F358" s="245" t="s">
        <v>698</v>
      </c>
      <c r="G358" s="245" t="s">
        <v>865</v>
      </c>
      <c r="H358" s="245" t="s">
        <v>692</v>
      </c>
      <c r="I358" s="245" t="s">
        <v>695</v>
      </c>
      <c r="J358" s="245" t="s">
        <v>691</v>
      </c>
    </row>
    <row r="359" spans="1:10" x14ac:dyDescent="0.25">
      <c r="A359" s="245">
        <v>358</v>
      </c>
      <c r="B359" s="245" t="s">
        <v>1057</v>
      </c>
      <c r="C359" s="245" t="s">
        <v>693</v>
      </c>
      <c r="D359" s="245" t="s">
        <v>689</v>
      </c>
      <c r="E359" s="245" t="s">
        <v>744</v>
      </c>
      <c r="F359" s="245" t="s">
        <v>698</v>
      </c>
      <c r="G359" s="245" t="s">
        <v>865</v>
      </c>
      <c r="H359" s="245" t="s">
        <v>692</v>
      </c>
      <c r="I359" s="245" t="s">
        <v>691</v>
      </c>
      <c r="J359" s="245" t="s">
        <v>696</v>
      </c>
    </row>
    <row r="360" spans="1:10" x14ac:dyDescent="0.25">
      <c r="A360" s="245">
        <v>359</v>
      </c>
      <c r="B360" s="245" t="s">
        <v>1058</v>
      </c>
      <c r="C360" s="245" t="s">
        <v>693</v>
      </c>
      <c r="D360" s="245" t="s">
        <v>690</v>
      </c>
      <c r="E360" s="245" t="s">
        <v>744</v>
      </c>
      <c r="F360" s="245" t="s">
        <v>698</v>
      </c>
      <c r="G360" s="245" t="s">
        <v>865</v>
      </c>
      <c r="H360" s="245" t="s">
        <v>692</v>
      </c>
      <c r="I360" s="245" t="s">
        <v>689</v>
      </c>
      <c r="J360" s="245" t="s">
        <v>691</v>
      </c>
    </row>
    <row r="361" spans="1:10" x14ac:dyDescent="0.25">
      <c r="A361" s="245">
        <v>360</v>
      </c>
      <c r="B361" s="245" t="s">
        <v>1059</v>
      </c>
      <c r="C361" s="245" t="s">
        <v>689</v>
      </c>
      <c r="D361" s="245" t="s">
        <v>694</v>
      </c>
      <c r="E361" s="245" t="s">
        <v>744</v>
      </c>
      <c r="F361" s="245" t="s">
        <v>698</v>
      </c>
      <c r="G361" s="245" t="s">
        <v>865</v>
      </c>
      <c r="H361" s="245" t="s">
        <v>692</v>
      </c>
      <c r="I361" s="245" t="s">
        <v>695</v>
      </c>
      <c r="J361" s="245" t="s">
        <v>696</v>
      </c>
    </row>
    <row r="362" spans="1:10" x14ac:dyDescent="0.25">
      <c r="A362" s="245">
        <v>361</v>
      </c>
      <c r="B362" s="245" t="s">
        <v>1060</v>
      </c>
      <c r="C362" s="245" t="s">
        <v>689</v>
      </c>
      <c r="D362" s="245" t="s">
        <v>694</v>
      </c>
      <c r="E362" s="245" t="s">
        <v>744</v>
      </c>
      <c r="F362" s="245" t="s">
        <v>698</v>
      </c>
      <c r="G362" s="245" t="s">
        <v>865</v>
      </c>
      <c r="H362" s="245" t="s">
        <v>692</v>
      </c>
      <c r="I362" s="245" t="s">
        <v>695</v>
      </c>
      <c r="J362" s="245" t="s">
        <v>690</v>
      </c>
    </row>
    <row r="363" spans="1:10" x14ac:dyDescent="0.25">
      <c r="A363" s="245">
        <v>362</v>
      </c>
      <c r="B363" s="245" t="s">
        <v>1061</v>
      </c>
      <c r="C363" s="245" t="s">
        <v>689</v>
      </c>
      <c r="D363" s="245" t="s">
        <v>694</v>
      </c>
      <c r="E363" s="245" t="s">
        <v>744</v>
      </c>
      <c r="F363" s="245" t="s">
        <v>698</v>
      </c>
      <c r="G363" s="245" t="s">
        <v>865</v>
      </c>
      <c r="H363" s="245" t="s">
        <v>692</v>
      </c>
      <c r="I363" s="245" t="s">
        <v>690</v>
      </c>
      <c r="J363" s="245" t="s">
        <v>696</v>
      </c>
    </row>
    <row r="364" spans="1:10" x14ac:dyDescent="0.25">
      <c r="A364" s="245">
        <v>363</v>
      </c>
      <c r="B364" s="245" t="s">
        <v>1062</v>
      </c>
      <c r="C364" s="245" t="s">
        <v>689</v>
      </c>
      <c r="D364" s="245" t="s">
        <v>694</v>
      </c>
      <c r="E364" s="245" t="s">
        <v>744</v>
      </c>
      <c r="F364" s="245" t="s">
        <v>698</v>
      </c>
      <c r="G364" s="245" t="s">
        <v>865</v>
      </c>
      <c r="H364" s="245" t="s">
        <v>692</v>
      </c>
      <c r="I364" s="245" t="s">
        <v>695</v>
      </c>
      <c r="J364" s="245" t="s">
        <v>691</v>
      </c>
    </row>
    <row r="365" spans="1:10" x14ac:dyDescent="0.25">
      <c r="A365" s="245">
        <v>364</v>
      </c>
      <c r="B365" s="245" t="s">
        <v>1063</v>
      </c>
      <c r="C365" s="245" t="s">
        <v>689</v>
      </c>
      <c r="D365" s="245" t="s">
        <v>694</v>
      </c>
      <c r="E365" s="245" t="s">
        <v>744</v>
      </c>
      <c r="F365" s="245" t="s">
        <v>698</v>
      </c>
      <c r="G365" s="245" t="s">
        <v>865</v>
      </c>
      <c r="H365" s="245" t="s">
        <v>692</v>
      </c>
      <c r="I365" s="245" t="s">
        <v>691</v>
      </c>
      <c r="J365" s="245" t="s">
        <v>696</v>
      </c>
    </row>
    <row r="366" spans="1:10" x14ac:dyDescent="0.25">
      <c r="A366" s="245">
        <v>365</v>
      </c>
      <c r="B366" s="245" t="s">
        <v>1064</v>
      </c>
      <c r="C366" s="245" t="s">
        <v>689</v>
      </c>
      <c r="D366" s="245" t="s">
        <v>694</v>
      </c>
      <c r="E366" s="245" t="s">
        <v>744</v>
      </c>
      <c r="F366" s="245" t="s">
        <v>698</v>
      </c>
      <c r="G366" s="245" t="s">
        <v>865</v>
      </c>
      <c r="H366" s="245" t="s">
        <v>692</v>
      </c>
      <c r="I366" s="245" t="s">
        <v>691</v>
      </c>
      <c r="J366" s="245" t="s">
        <v>690</v>
      </c>
    </row>
    <row r="367" spans="1:10" x14ac:dyDescent="0.25">
      <c r="A367" s="245">
        <v>366</v>
      </c>
      <c r="B367" s="245" t="s">
        <v>1065</v>
      </c>
      <c r="C367" s="245" t="s">
        <v>693</v>
      </c>
      <c r="D367" s="245" t="s">
        <v>694</v>
      </c>
      <c r="E367" s="245" t="s">
        <v>744</v>
      </c>
      <c r="F367" s="245" t="s">
        <v>698</v>
      </c>
      <c r="G367" s="245" t="s">
        <v>865</v>
      </c>
      <c r="H367" s="245" t="s">
        <v>692</v>
      </c>
      <c r="I367" s="245" t="s">
        <v>695</v>
      </c>
      <c r="J367" s="245" t="s">
        <v>689</v>
      </c>
    </row>
    <row r="368" spans="1:10" x14ac:dyDescent="0.25">
      <c r="A368" s="245">
        <v>367</v>
      </c>
      <c r="B368" s="245" t="s">
        <v>1066</v>
      </c>
      <c r="C368" s="245" t="s">
        <v>693</v>
      </c>
      <c r="D368" s="245" t="s">
        <v>694</v>
      </c>
      <c r="E368" s="245" t="s">
        <v>744</v>
      </c>
      <c r="F368" s="245" t="s">
        <v>698</v>
      </c>
      <c r="G368" s="245" t="s">
        <v>865</v>
      </c>
      <c r="H368" s="245" t="s">
        <v>692</v>
      </c>
      <c r="I368" s="245" t="s">
        <v>689</v>
      </c>
      <c r="J368" s="245" t="s">
        <v>696</v>
      </c>
    </row>
    <row r="369" spans="1:10" x14ac:dyDescent="0.25">
      <c r="A369" s="245">
        <v>368</v>
      </c>
      <c r="B369" s="245" t="s">
        <v>1067</v>
      </c>
      <c r="C369" s="245" t="s">
        <v>693</v>
      </c>
      <c r="D369" s="245" t="s">
        <v>694</v>
      </c>
      <c r="E369" s="245" t="s">
        <v>744</v>
      </c>
      <c r="F369" s="245" t="s">
        <v>698</v>
      </c>
      <c r="G369" s="245" t="s">
        <v>865</v>
      </c>
      <c r="H369" s="245" t="s">
        <v>692</v>
      </c>
      <c r="I369" s="245" t="s">
        <v>689</v>
      </c>
      <c r="J369" s="245" t="s">
        <v>690</v>
      </c>
    </row>
    <row r="370" spans="1:10" x14ac:dyDescent="0.25">
      <c r="A370" s="245">
        <v>369</v>
      </c>
      <c r="B370" s="245" t="s">
        <v>1068</v>
      </c>
      <c r="C370" s="245" t="s">
        <v>693</v>
      </c>
      <c r="D370" s="245" t="s">
        <v>694</v>
      </c>
      <c r="E370" s="245" t="s">
        <v>744</v>
      </c>
      <c r="F370" s="245" t="s">
        <v>698</v>
      </c>
      <c r="G370" s="245" t="s">
        <v>865</v>
      </c>
      <c r="H370" s="245" t="s">
        <v>692</v>
      </c>
      <c r="I370" s="245" t="s">
        <v>689</v>
      </c>
      <c r="J370" s="245" t="s">
        <v>691</v>
      </c>
    </row>
    <row r="371" spans="1:10" x14ac:dyDescent="0.25">
      <c r="A371" s="245">
        <v>370</v>
      </c>
      <c r="B371" s="245" t="s">
        <v>1069</v>
      </c>
      <c r="C371" s="245" t="s">
        <v>691</v>
      </c>
      <c r="D371" s="245" t="s">
        <v>690</v>
      </c>
      <c r="E371" s="245" t="s">
        <v>744</v>
      </c>
      <c r="F371" s="245" t="s">
        <v>707</v>
      </c>
      <c r="G371" s="245" t="s">
        <v>865</v>
      </c>
      <c r="H371" s="245" t="s">
        <v>693</v>
      </c>
      <c r="I371" s="245" t="s">
        <v>695</v>
      </c>
      <c r="J371" s="245" t="s">
        <v>696</v>
      </c>
    </row>
    <row r="372" spans="1:10" x14ac:dyDescent="0.25">
      <c r="A372" s="245">
        <v>371</v>
      </c>
      <c r="B372" s="245" t="s">
        <v>1070</v>
      </c>
      <c r="C372" s="245" t="s">
        <v>691</v>
      </c>
      <c r="D372" s="245" t="s">
        <v>690</v>
      </c>
      <c r="E372" s="245" t="s">
        <v>744</v>
      </c>
      <c r="F372" s="245" t="s">
        <v>707</v>
      </c>
      <c r="G372" s="245" t="s">
        <v>865</v>
      </c>
      <c r="H372" s="245" t="s">
        <v>694</v>
      </c>
      <c r="I372" s="245" t="s">
        <v>695</v>
      </c>
      <c r="J372" s="245" t="s">
        <v>696</v>
      </c>
    </row>
    <row r="373" spans="1:10" x14ac:dyDescent="0.25">
      <c r="A373" s="245">
        <v>372</v>
      </c>
      <c r="B373" s="245" t="s">
        <v>1071</v>
      </c>
      <c r="C373" s="245" t="s">
        <v>693</v>
      </c>
      <c r="D373" s="245" t="s">
        <v>690</v>
      </c>
      <c r="E373" s="245" t="s">
        <v>744</v>
      </c>
      <c r="F373" s="245" t="s">
        <v>707</v>
      </c>
      <c r="G373" s="245" t="s">
        <v>865</v>
      </c>
      <c r="H373" s="245" t="s">
        <v>694</v>
      </c>
      <c r="I373" s="245" t="s">
        <v>695</v>
      </c>
      <c r="J373" s="245" t="s">
        <v>696</v>
      </c>
    </row>
    <row r="374" spans="1:10" x14ac:dyDescent="0.25">
      <c r="A374" s="245">
        <v>373</v>
      </c>
      <c r="B374" s="245" t="s">
        <v>1072</v>
      </c>
      <c r="C374" s="245" t="s">
        <v>691</v>
      </c>
      <c r="D374" s="245" t="s">
        <v>694</v>
      </c>
      <c r="E374" s="245" t="s">
        <v>744</v>
      </c>
      <c r="F374" s="245" t="s">
        <v>707</v>
      </c>
      <c r="G374" s="245" t="s">
        <v>865</v>
      </c>
      <c r="H374" s="245" t="s">
        <v>693</v>
      </c>
      <c r="I374" s="245" t="s">
        <v>695</v>
      </c>
      <c r="J374" s="245" t="s">
        <v>696</v>
      </c>
    </row>
    <row r="375" spans="1:10" x14ac:dyDescent="0.25">
      <c r="A375" s="245">
        <v>374</v>
      </c>
      <c r="B375" s="245" t="s">
        <v>1073</v>
      </c>
      <c r="C375" s="245" t="s">
        <v>693</v>
      </c>
      <c r="D375" s="245" t="s">
        <v>690</v>
      </c>
      <c r="E375" s="245" t="s">
        <v>744</v>
      </c>
      <c r="F375" s="245" t="s">
        <v>707</v>
      </c>
      <c r="G375" s="245" t="s">
        <v>865</v>
      </c>
      <c r="H375" s="245" t="s">
        <v>694</v>
      </c>
      <c r="I375" s="245" t="s">
        <v>695</v>
      </c>
      <c r="J375" s="245" t="s">
        <v>691</v>
      </c>
    </row>
    <row r="376" spans="1:10" x14ac:dyDescent="0.25">
      <c r="A376" s="245">
        <v>375</v>
      </c>
      <c r="B376" s="245" t="s">
        <v>1074</v>
      </c>
      <c r="C376" s="245" t="s">
        <v>693</v>
      </c>
      <c r="D376" s="245" t="s">
        <v>690</v>
      </c>
      <c r="E376" s="245" t="s">
        <v>744</v>
      </c>
      <c r="F376" s="245" t="s">
        <v>707</v>
      </c>
      <c r="G376" s="245" t="s">
        <v>865</v>
      </c>
      <c r="H376" s="245" t="s">
        <v>694</v>
      </c>
      <c r="I376" s="245" t="s">
        <v>691</v>
      </c>
      <c r="J376" s="245" t="s">
        <v>696</v>
      </c>
    </row>
    <row r="377" spans="1:10" x14ac:dyDescent="0.25">
      <c r="A377" s="245">
        <v>376</v>
      </c>
      <c r="B377" s="245" t="s">
        <v>1075</v>
      </c>
      <c r="C377" s="245" t="s">
        <v>691</v>
      </c>
      <c r="D377" s="245" t="s">
        <v>690</v>
      </c>
      <c r="E377" s="245" t="s">
        <v>744</v>
      </c>
      <c r="F377" s="245" t="s">
        <v>707</v>
      </c>
      <c r="G377" s="245" t="s">
        <v>865</v>
      </c>
      <c r="H377" s="245" t="s">
        <v>692</v>
      </c>
      <c r="I377" s="245" t="s">
        <v>695</v>
      </c>
      <c r="J377" s="245" t="s">
        <v>696</v>
      </c>
    </row>
    <row r="378" spans="1:10" x14ac:dyDescent="0.25">
      <c r="A378" s="245">
        <v>377</v>
      </c>
      <c r="B378" s="245" t="s">
        <v>1076</v>
      </c>
      <c r="C378" s="245" t="s">
        <v>693</v>
      </c>
      <c r="D378" s="245" t="s">
        <v>690</v>
      </c>
      <c r="E378" s="245" t="s">
        <v>744</v>
      </c>
      <c r="F378" s="245" t="s">
        <v>707</v>
      </c>
      <c r="G378" s="245" t="s">
        <v>865</v>
      </c>
      <c r="H378" s="245" t="s">
        <v>692</v>
      </c>
      <c r="I378" s="245" t="s">
        <v>695</v>
      </c>
      <c r="J378" s="245" t="s">
        <v>696</v>
      </c>
    </row>
    <row r="379" spans="1:10" x14ac:dyDescent="0.25">
      <c r="A379" s="245">
        <v>378</v>
      </c>
      <c r="B379" s="245" t="s">
        <v>1077</v>
      </c>
      <c r="C379" s="245" t="s">
        <v>693</v>
      </c>
      <c r="D379" s="245" t="s">
        <v>691</v>
      </c>
      <c r="E379" s="245" t="s">
        <v>744</v>
      </c>
      <c r="F379" s="245" t="s">
        <v>707</v>
      </c>
      <c r="G379" s="245" t="s">
        <v>865</v>
      </c>
      <c r="H379" s="245" t="s">
        <v>692</v>
      </c>
      <c r="I379" s="245" t="s">
        <v>695</v>
      </c>
      <c r="J379" s="245" t="s">
        <v>696</v>
      </c>
    </row>
    <row r="380" spans="1:10" x14ac:dyDescent="0.25">
      <c r="A380" s="245">
        <v>379</v>
      </c>
      <c r="B380" s="245" t="s">
        <v>1078</v>
      </c>
      <c r="C380" s="245" t="s">
        <v>693</v>
      </c>
      <c r="D380" s="245" t="s">
        <v>690</v>
      </c>
      <c r="E380" s="245" t="s">
        <v>744</v>
      </c>
      <c r="F380" s="245" t="s">
        <v>707</v>
      </c>
      <c r="G380" s="245" t="s">
        <v>865</v>
      </c>
      <c r="H380" s="245" t="s">
        <v>692</v>
      </c>
      <c r="I380" s="245" t="s">
        <v>695</v>
      </c>
      <c r="J380" s="245" t="s">
        <v>691</v>
      </c>
    </row>
    <row r="381" spans="1:10" x14ac:dyDescent="0.25">
      <c r="A381" s="245">
        <v>380</v>
      </c>
      <c r="B381" s="245" t="s">
        <v>1079</v>
      </c>
      <c r="C381" s="245" t="s">
        <v>693</v>
      </c>
      <c r="D381" s="245" t="s">
        <v>690</v>
      </c>
      <c r="E381" s="245" t="s">
        <v>744</v>
      </c>
      <c r="F381" s="245" t="s">
        <v>707</v>
      </c>
      <c r="G381" s="245" t="s">
        <v>865</v>
      </c>
      <c r="H381" s="245" t="s">
        <v>692</v>
      </c>
      <c r="I381" s="245" t="s">
        <v>691</v>
      </c>
      <c r="J381" s="245" t="s">
        <v>696</v>
      </c>
    </row>
    <row r="382" spans="1:10" x14ac:dyDescent="0.25">
      <c r="A382" s="245">
        <v>381</v>
      </c>
      <c r="B382" s="245" t="s">
        <v>1080</v>
      </c>
      <c r="C382" s="245" t="s">
        <v>707</v>
      </c>
      <c r="D382" s="245" t="s">
        <v>690</v>
      </c>
      <c r="E382" s="245" t="s">
        <v>744</v>
      </c>
      <c r="F382" s="245" t="s">
        <v>692</v>
      </c>
      <c r="G382" s="245" t="s">
        <v>865</v>
      </c>
      <c r="H382" s="245" t="s">
        <v>694</v>
      </c>
      <c r="I382" s="245" t="s">
        <v>695</v>
      </c>
      <c r="J382" s="245" t="s">
        <v>696</v>
      </c>
    </row>
    <row r="383" spans="1:10" x14ac:dyDescent="0.25">
      <c r="A383" s="245">
        <v>382</v>
      </c>
      <c r="B383" s="245" t="s">
        <v>1081</v>
      </c>
      <c r="C383" s="245" t="s">
        <v>691</v>
      </c>
      <c r="D383" s="245" t="s">
        <v>694</v>
      </c>
      <c r="E383" s="245" t="s">
        <v>744</v>
      </c>
      <c r="F383" s="245" t="s">
        <v>707</v>
      </c>
      <c r="G383" s="245" t="s">
        <v>865</v>
      </c>
      <c r="H383" s="245" t="s">
        <v>692</v>
      </c>
      <c r="I383" s="245" t="s">
        <v>695</v>
      </c>
      <c r="J383" s="245" t="s">
        <v>696</v>
      </c>
    </row>
    <row r="384" spans="1:10" x14ac:dyDescent="0.25">
      <c r="A384" s="245">
        <v>383</v>
      </c>
      <c r="B384" s="245" t="s">
        <v>1082</v>
      </c>
      <c r="C384" s="245" t="s">
        <v>707</v>
      </c>
      <c r="D384" s="245" t="s">
        <v>690</v>
      </c>
      <c r="E384" s="245" t="s">
        <v>744</v>
      </c>
      <c r="F384" s="245" t="s">
        <v>692</v>
      </c>
      <c r="G384" s="245" t="s">
        <v>865</v>
      </c>
      <c r="H384" s="245" t="s">
        <v>694</v>
      </c>
      <c r="I384" s="245" t="s">
        <v>695</v>
      </c>
      <c r="J384" s="245" t="s">
        <v>691</v>
      </c>
    </row>
    <row r="385" spans="1:10" x14ac:dyDescent="0.25">
      <c r="A385" s="245">
        <v>384</v>
      </c>
      <c r="B385" s="245" t="s">
        <v>1083</v>
      </c>
      <c r="C385" s="245" t="s">
        <v>707</v>
      </c>
      <c r="D385" s="245" t="s">
        <v>690</v>
      </c>
      <c r="E385" s="245" t="s">
        <v>744</v>
      </c>
      <c r="F385" s="245" t="s">
        <v>692</v>
      </c>
      <c r="G385" s="245" t="s">
        <v>865</v>
      </c>
      <c r="H385" s="245" t="s">
        <v>694</v>
      </c>
      <c r="I385" s="245" t="s">
        <v>691</v>
      </c>
      <c r="J385" s="245" t="s">
        <v>696</v>
      </c>
    </row>
    <row r="386" spans="1:10" x14ac:dyDescent="0.25">
      <c r="A386" s="245">
        <v>385</v>
      </c>
      <c r="B386" s="245" t="s">
        <v>1084</v>
      </c>
      <c r="C386" s="245" t="s">
        <v>693</v>
      </c>
      <c r="D386" s="245" t="s">
        <v>694</v>
      </c>
      <c r="E386" s="245" t="s">
        <v>744</v>
      </c>
      <c r="F386" s="245" t="s">
        <v>707</v>
      </c>
      <c r="G386" s="245" t="s">
        <v>865</v>
      </c>
      <c r="H386" s="245" t="s">
        <v>692</v>
      </c>
      <c r="I386" s="245" t="s">
        <v>695</v>
      </c>
      <c r="J386" s="245" t="s">
        <v>696</v>
      </c>
    </row>
    <row r="387" spans="1:10" x14ac:dyDescent="0.25">
      <c r="A387" s="245">
        <v>386</v>
      </c>
      <c r="B387" s="245" t="s">
        <v>1085</v>
      </c>
      <c r="C387" s="245" t="s">
        <v>693</v>
      </c>
      <c r="D387" s="245" t="s">
        <v>694</v>
      </c>
      <c r="E387" s="245" t="s">
        <v>744</v>
      </c>
      <c r="F387" s="245" t="s">
        <v>707</v>
      </c>
      <c r="G387" s="245" t="s">
        <v>865</v>
      </c>
      <c r="H387" s="245" t="s">
        <v>692</v>
      </c>
      <c r="I387" s="245" t="s">
        <v>695</v>
      </c>
      <c r="J387" s="245" t="s">
        <v>690</v>
      </c>
    </row>
    <row r="388" spans="1:10" x14ac:dyDescent="0.25">
      <c r="A388" s="245">
        <v>387</v>
      </c>
      <c r="B388" s="245" t="s">
        <v>1086</v>
      </c>
      <c r="C388" s="245" t="s">
        <v>693</v>
      </c>
      <c r="D388" s="245" t="s">
        <v>694</v>
      </c>
      <c r="E388" s="245" t="s">
        <v>744</v>
      </c>
      <c r="F388" s="245" t="s">
        <v>707</v>
      </c>
      <c r="G388" s="245" t="s">
        <v>865</v>
      </c>
      <c r="H388" s="245" t="s">
        <v>692</v>
      </c>
      <c r="I388" s="245" t="s">
        <v>690</v>
      </c>
      <c r="J388" s="245" t="s">
        <v>696</v>
      </c>
    </row>
    <row r="389" spans="1:10" x14ac:dyDescent="0.25">
      <c r="A389" s="245">
        <v>388</v>
      </c>
      <c r="B389" s="245" t="s">
        <v>1087</v>
      </c>
      <c r="C389" s="245" t="s">
        <v>693</v>
      </c>
      <c r="D389" s="245" t="s">
        <v>694</v>
      </c>
      <c r="E389" s="245" t="s">
        <v>744</v>
      </c>
      <c r="F389" s="245" t="s">
        <v>707</v>
      </c>
      <c r="G389" s="245" t="s">
        <v>865</v>
      </c>
      <c r="H389" s="245" t="s">
        <v>692</v>
      </c>
      <c r="I389" s="245" t="s">
        <v>695</v>
      </c>
      <c r="J389" s="245" t="s">
        <v>691</v>
      </c>
    </row>
    <row r="390" spans="1:10" x14ac:dyDescent="0.25">
      <c r="A390" s="245">
        <v>389</v>
      </c>
      <c r="B390" s="245" t="s">
        <v>1088</v>
      </c>
      <c r="C390" s="245" t="s">
        <v>693</v>
      </c>
      <c r="D390" s="245" t="s">
        <v>694</v>
      </c>
      <c r="E390" s="245" t="s">
        <v>744</v>
      </c>
      <c r="F390" s="245" t="s">
        <v>707</v>
      </c>
      <c r="G390" s="245" t="s">
        <v>865</v>
      </c>
      <c r="H390" s="245" t="s">
        <v>692</v>
      </c>
      <c r="I390" s="245" t="s">
        <v>691</v>
      </c>
      <c r="J390" s="245" t="s">
        <v>696</v>
      </c>
    </row>
    <row r="391" spans="1:10" x14ac:dyDescent="0.25">
      <c r="A391" s="245">
        <v>390</v>
      </c>
      <c r="B391" s="245" t="s">
        <v>1089</v>
      </c>
      <c r="C391" s="245" t="s">
        <v>693</v>
      </c>
      <c r="D391" s="245" t="s">
        <v>694</v>
      </c>
      <c r="E391" s="245" t="s">
        <v>744</v>
      </c>
      <c r="F391" s="245" t="s">
        <v>707</v>
      </c>
      <c r="G391" s="245" t="s">
        <v>865</v>
      </c>
      <c r="H391" s="245" t="s">
        <v>692</v>
      </c>
      <c r="I391" s="245" t="s">
        <v>691</v>
      </c>
      <c r="J391" s="245" t="s">
        <v>690</v>
      </c>
    </row>
    <row r="392" spans="1:10" x14ac:dyDescent="0.25">
      <c r="A392" s="245">
        <v>391</v>
      </c>
      <c r="B392" s="245" t="s">
        <v>1090</v>
      </c>
      <c r="C392" s="245" t="s">
        <v>689</v>
      </c>
      <c r="D392" s="245" t="s">
        <v>690</v>
      </c>
      <c r="E392" s="245" t="s">
        <v>744</v>
      </c>
      <c r="F392" s="245" t="s">
        <v>865</v>
      </c>
      <c r="G392" s="245" t="s">
        <v>691</v>
      </c>
      <c r="H392" s="245" t="s">
        <v>707</v>
      </c>
      <c r="I392" s="245" t="s">
        <v>695</v>
      </c>
      <c r="J392" s="245" t="s">
        <v>696</v>
      </c>
    </row>
    <row r="393" spans="1:10" x14ac:dyDescent="0.25">
      <c r="A393" s="245">
        <v>392</v>
      </c>
      <c r="B393" s="245" t="s">
        <v>1091</v>
      </c>
      <c r="C393" s="245" t="s">
        <v>689</v>
      </c>
      <c r="D393" s="245" t="s">
        <v>690</v>
      </c>
      <c r="E393" s="245" t="s">
        <v>744</v>
      </c>
      <c r="F393" s="245" t="s">
        <v>707</v>
      </c>
      <c r="G393" s="245" t="s">
        <v>865</v>
      </c>
      <c r="H393" s="245" t="s">
        <v>693</v>
      </c>
      <c r="I393" s="245" t="s">
        <v>695</v>
      </c>
      <c r="J393" s="245" t="s">
        <v>696</v>
      </c>
    </row>
    <row r="394" spans="1:10" x14ac:dyDescent="0.25">
      <c r="A394" s="245">
        <v>393</v>
      </c>
      <c r="B394" s="245" t="s">
        <v>1092</v>
      </c>
      <c r="C394" s="245" t="s">
        <v>689</v>
      </c>
      <c r="D394" s="245" t="s">
        <v>691</v>
      </c>
      <c r="E394" s="245" t="s">
        <v>744</v>
      </c>
      <c r="F394" s="245" t="s">
        <v>707</v>
      </c>
      <c r="G394" s="245" t="s">
        <v>865</v>
      </c>
      <c r="H394" s="245" t="s">
        <v>693</v>
      </c>
      <c r="I394" s="245" t="s">
        <v>695</v>
      </c>
      <c r="J394" s="245" t="s">
        <v>696</v>
      </c>
    </row>
    <row r="395" spans="1:10" x14ac:dyDescent="0.25">
      <c r="A395" s="245">
        <v>394</v>
      </c>
      <c r="B395" s="245" t="s">
        <v>1093</v>
      </c>
      <c r="C395" s="245" t="s">
        <v>689</v>
      </c>
      <c r="D395" s="245" t="s">
        <v>690</v>
      </c>
      <c r="E395" s="245" t="s">
        <v>744</v>
      </c>
      <c r="F395" s="245" t="s">
        <v>707</v>
      </c>
      <c r="G395" s="245" t="s">
        <v>865</v>
      </c>
      <c r="H395" s="245" t="s">
        <v>693</v>
      </c>
      <c r="I395" s="245" t="s">
        <v>695</v>
      </c>
      <c r="J395" s="245" t="s">
        <v>691</v>
      </c>
    </row>
    <row r="396" spans="1:10" x14ac:dyDescent="0.25">
      <c r="A396" s="245">
        <v>395</v>
      </c>
      <c r="B396" s="245" t="s">
        <v>1094</v>
      </c>
      <c r="C396" s="245" t="s">
        <v>689</v>
      </c>
      <c r="D396" s="245" t="s">
        <v>690</v>
      </c>
      <c r="E396" s="245" t="s">
        <v>744</v>
      </c>
      <c r="F396" s="245" t="s">
        <v>707</v>
      </c>
      <c r="G396" s="245" t="s">
        <v>865</v>
      </c>
      <c r="H396" s="245" t="s">
        <v>693</v>
      </c>
      <c r="I396" s="245" t="s">
        <v>691</v>
      </c>
      <c r="J396" s="245" t="s">
        <v>696</v>
      </c>
    </row>
    <row r="397" spans="1:10" x14ac:dyDescent="0.25">
      <c r="A397" s="245">
        <v>396</v>
      </c>
      <c r="B397" s="245" t="s">
        <v>1095</v>
      </c>
      <c r="C397" s="245" t="s">
        <v>689</v>
      </c>
      <c r="D397" s="245" t="s">
        <v>690</v>
      </c>
      <c r="E397" s="245" t="s">
        <v>744</v>
      </c>
      <c r="F397" s="245" t="s">
        <v>707</v>
      </c>
      <c r="G397" s="245" t="s">
        <v>865</v>
      </c>
      <c r="H397" s="245" t="s">
        <v>694</v>
      </c>
      <c r="I397" s="245" t="s">
        <v>695</v>
      </c>
      <c r="J397" s="245" t="s">
        <v>696</v>
      </c>
    </row>
    <row r="398" spans="1:10" x14ac:dyDescent="0.25">
      <c r="A398" s="245">
        <v>397</v>
      </c>
      <c r="B398" s="245" t="s">
        <v>1096</v>
      </c>
      <c r="C398" s="245" t="s">
        <v>689</v>
      </c>
      <c r="D398" s="245" t="s">
        <v>694</v>
      </c>
      <c r="E398" s="245" t="s">
        <v>744</v>
      </c>
      <c r="F398" s="245" t="s">
        <v>865</v>
      </c>
      <c r="G398" s="245" t="s">
        <v>691</v>
      </c>
      <c r="H398" s="245" t="s">
        <v>707</v>
      </c>
      <c r="I398" s="245" t="s">
        <v>695</v>
      </c>
      <c r="J398" s="245" t="s">
        <v>696</v>
      </c>
    </row>
    <row r="399" spans="1:10" x14ac:dyDescent="0.25">
      <c r="A399" s="245">
        <v>398</v>
      </c>
      <c r="B399" s="245" t="s">
        <v>1097</v>
      </c>
      <c r="C399" s="245" t="s">
        <v>689</v>
      </c>
      <c r="D399" s="245" t="s">
        <v>690</v>
      </c>
      <c r="E399" s="245" t="s">
        <v>744</v>
      </c>
      <c r="F399" s="245" t="s">
        <v>707</v>
      </c>
      <c r="G399" s="245" t="s">
        <v>865</v>
      </c>
      <c r="H399" s="245" t="s">
        <v>694</v>
      </c>
      <c r="I399" s="245" t="s">
        <v>695</v>
      </c>
      <c r="J399" s="245" t="s">
        <v>691</v>
      </c>
    </row>
    <row r="400" spans="1:10" x14ac:dyDescent="0.25">
      <c r="A400" s="245">
        <v>399</v>
      </c>
      <c r="B400" s="245" t="s">
        <v>1098</v>
      </c>
      <c r="C400" s="245" t="s">
        <v>689</v>
      </c>
      <c r="D400" s="245" t="s">
        <v>690</v>
      </c>
      <c r="E400" s="245" t="s">
        <v>744</v>
      </c>
      <c r="F400" s="245" t="s">
        <v>707</v>
      </c>
      <c r="G400" s="245" t="s">
        <v>865</v>
      </c>
      <c r="H400" s="245" t="s">
        <v>694</v>
      </c>
      <c r="I400" s="245" t="s">
        <v>691</v>
      </c>
      <c r="J400" s="245" t="s">
        <v>696</v>
      </c>
    </row>
    <row r="401" spans="1:10" x14ac:dyDescent="0.25">
      <c r="A401" s="245">
        <v>400</v>
      </c>
      <c r="B401" s="245" t="s">
        <v>1099</v>
      </c>
      <c r="C401" s="245" t="s">
        <v>689</v>
      </c>
      <c r="D401" s="245" t="s">
        <v>694</v>
      </c>
      <c r="E401" s="245" t="s">
        <v>744</v>
      </c>
      <c r="F401" s="245" t="s">
        <v>707</v>
      </c>
      <c r="G401" s="245" t="s">
        <v>865</v>
      </c>
      <c r="H401" s="245" t="s">
        <v>693</v>
      </c>
      <c r="I401" s="245" t="s">
        <v>695</v>
      </c>
      <c r="J401" s="245" t="s">
        <v>696</v>
      </c>
    </row>
    <row r="402" spans="1:10" x14ac:dyDescent="0.25">
      <c r="A402" s="245">
        <v>401</v>
      </c>
      <c r="B402" s="245" t="s">
        <v>1100</v>
      </c>
      <c r="C402" s="245" t="s">
        <v>693</v>
      </c>
      <c r="D402" s="245" t="s">
        <v>690</v>
      </c>
      <c r="E402" s="245" t="s">
        <v>744</v>
      </c>
      <c r="F402" s="245" t="s">
        <v>707</v>
      </c>
      <c r="G402" s="245" t="s">
        <v>865</v>
      </c>
      <c r="H402" s="245" t="s">
        <v>694</v>
      </c>
      <c r="I402" s="245" t="s">
        <v>695</v>
      </c>
      <c r="J402" s="245" t="s">
        <v>689</v>
      </c>
    </row>
    <row r="403" spans="1:10" x14ac:dyDescent="0.25">
      <c r="A403" s="245">
        <v>402</v>
      </c>
      <c r="B403" s="245" t="s">
        <v>1101</v>
      </c>
      <c r="C403" s="245" t="s">
        <v>693</v>
      </c>
      <c r="D403" s="245" t="s">
        <v>690</v>
      </c>
      <c r="E403" s="245" t="s">
        <v>744</v>
      </c>
      <c r="F403" s="245" t="s">
        <v>707</v>
      </c>
      <c r="G403" s="245" t="s">
        <v>865</v>
      </c>
      <c r="H403" s="245" t="s">
        <v>694</v>
      </c>
      <c r="I403" s="245" t="s">
        <v>689</v>
      </c>
      <c r="J403" s="245" t="s">
        <v>696</v>
      </c>
    </row>
    <row r="404" spans="1:10" x14ac:dyDescent="0.25">
      <c r="A404" s="245">
        <v>403</v>
      </c>
      <c r="B404" s="245" t="s">
        <v>1102</v>
      </c>
      <c r="C404" s="245" t="s">
        <v>689</v>
      </c>
      <c r="D404" s="245" t="s">
        <v>694</v>
      </c>
      <c r="E404" s="245" t="s">
        <v>744</v>
      </c>
      <c r="F404" s="245" t="s">
        <v>707</v>
      </c>
      <c r="G404" s="245" t="s">
        <v>865</v>
      </c>
      <c r="H404" s="245" t="s">
        <v>693</v>
      </c>
      <c r="I404" s="245" t="s">
        <v>695</v>
      </c>
      <c r="J404" s="245" t="s">
        <v>691</v>
      </c>
    </row>
    <row r="405" spans="1:10" x14ac:dyDescent="0.25">
      <c r="A405" s="245">
        <v>404</v>
      </c>
      <c r="B405" s="245" t="s">
        <v>1103</v>
      </c>
      <c r="C405" s="245" t="s">
        <v>689</v>
      </c>
      <c r="D405" s="245" t="s">
        <v>694</v>
      </c>
      <c r="E405" s="245" t="s">
        <v>744</v>
      </c>
      <c r="F405" s="245" t="s">
        <v>707</v>
      </c>
      <c r="G405" s="245" t="s">
        <v>865</v>
      </c>
      <c r="H405" s="245" t="s">
        <v>693</v>
      </c>
      <c r="I405" s="245" t="s">
        <v>691</v>
      </c>
      <c r="J405" s="245" t="s">
        <v>696</v>
      </c>
    </row>
    <row r="406" spans="1:10" x14ac:dyDescent="0.25">
      <c r="A406" s="245">
        <v>405</v>
      </c>
      <c r="B406" s="245" t="s">
        <v>1104</v>
      </c>
      <c r="C406" s="245" t="s">
        <v>693</v>
      </c>
      <c r="D406" s="245" t="s">
        <v>690</v>
      </c>
      <c r="E406" s="245" t="s">
        <v>744</v>
      </c>
      <c r="F406" s="245" t="s">
        <v>707</v>
      </c>
      <c r="G406" s="245" t="s">
        <v>865</v>
      </c>
      <c r="H406" s="245" t="s">
        <v>694</v>
      </c>
      <c r="I406" s="245" t="s">
        <v>689</v>
      </c>
      <c r="J406" s="245" t="s">
        <v>691</v>
      </c>
    </row>
    <row r="407" spans="1:10" x14ac:dyDescent="0.25">
      <c r="A407" s="245">
        <v>406</v>
      </c>
      <c r="B407" s="245" t="s">
        <v>1105</v>
      </c>
      <c r="C407" s="245" t="s">
        <v>689</v>
      </c>
      <c r="D407" s="245" t="s">
        <v>690</v>
      </c>
      <c r="E407" s="245" t="s">
        <v>744</v>
      </c>
      <c r="F407" s="245" t="s">
        <v>707</v>
      </c>
      <c r="G407" s="245" t="s">
        <v>865</v>
      </c>
      <c r="H407" s="245" t="s">
        <v>692</v>
      </c>
      <c r="I407" s="245" t="s">
        <v>695</v>
      </c>
      <c r="J407" s="245" t="s">
        <v>696</v>
      </c>
    </row>
    <row r="408" spans="1:10" x14ac:dyDescent="0.25">
      <c r="A408" s="245">
        <v>407</v>
      </c>
      <c r="B408" s="245" t="s">
        <v>1106</v>
      </c>
      <c r="C408" s="245" t="s">
        <v>689</v>
      </c>
      <c r="D408" s="245" t="s">
        <v>691</v>
      </c>
      <c r="E408" s="245" t="s">
        <v>744</v>
      </c>
      <c r="F408" s="245" t="s">
        <v>707</v>
      </c>
      <c r="G408" s="245" t="s">
        <v>865</v>
      </c>
      <c r="H408" s="245" t="s">
        <v>692</v>
      </c>
      <c r="I408" s="245" t="s">
        <v>695</v>
      </c>
      <c r="J408" s="245" t="s">
        <v>696</v>
      </c>
    </row>
    <row r="409" spans="1:10" x14ac:dyDescent="0.25">
      <c r="A409" s="245">
        <v>408</v>
      </c>
      <c r="B409" s="245" t="s">
        <v>1107</v>
      </c>
      <c r="C409" s="245" t="s">
        <v>689</v>
      </c>
      <c r="D409" s="245" t="s">
        <v>690</v>
      </c>
      <c r="E409" s="245" t="s">
        <v>744</v>
      </c>
      <c r="F409" s="245" t="s">
        <v>707</v>
      </c>
      <c r="G409" s="245" t="s">
        <v>865</v>
      </c>
      <c r="H409" s="245" t="s">
        <v>692</v>
      </c>
      <c r="I409" s="245" t="s">
        <v>695</v>
      </c>
      <c r="J409" s="245" t="s">
        <v>691</v>
      </c>
    </row>
    <row r="410" spans="1:10" x14ac:dyDescent="0.25">
      <c r="A410" s="245">
        <v>409</v>
      </c>
      <c r="B410" s="245" t="s">
        <v>1108</v>
      </c>
      <c r="C410" s="245" t="s">
        <v>689</v>
      </c>
      <c r="D410" s="245" t="s">
        <v>690</v>
      </c>
      <c r="E410" s="245" t="s">
        <v>744</v>
      </c>
      <c r="F410" s="245" t="s">
        <v>707</v>
      </c>
      <c r="G410" s="245" t="s">
        <v>865</v>
      </c>
      <c r="H410" s="245" t="s">
        <v>692</v>
      </c>
      <c r="I410" s="245" t="s">
        <v>691</v>
      </c>
      <c r="J410" s="245" t="s">
        <v>696</v>
      </c>
    </row>
    <row r="411" spans="1:10" x14ac:dyDescent="0.25">
      <c r="A411" s="245">
        <v>410</v>
      </c>
      <c r="B411" s="245" t="s">
        <v>1109</v>
      </c>
      <c r="C411" s="245" t="s">
        <v>693</v>
      </c>
      <c r="D411" s="245" t="s">
        <v>689</v>
      </c>
      <c r="E411" s="245" t="s">
        <v>744</v>
      </c>
      <c r="F411" s="245" t="s">
        <v>707</v>
      </c>
      <c r="G411" s="245" t="s">
        <v>865</v>
      </c>
      <c r="H411" s="245" t="s">
        <v>692</v>
      </c>
      <c r="I411" s="245" t="s">
        <v>695</v>
      </c>
      <c r="J411" s="245" t="s">
        <v>696</v>
      </c>
    </row>
    <row r="412" spans="1:10" x14ac:dyDescent="0.25">
      <c r="A412" s="245">
        <v>411</v>
      </c>
      <c r="B412" s="245" t="s">
        <v>1110</v>
      </c>
      <c r="C412" s="245" t="s">
        <v>693</v>
      </c>
      <c r="D412" s="245" t="s">
        <v>690</v>
      </c>
      <c r="E412" s="245" t="s">
        <v>744</v>
      </c>
      <c r="F412" s="245" t="s">
        <v>707</v>
      </c>
      <c r="G412" s="245" t="s">
        <v>865</v>
      </c>
      <c r="H412" s="245" t="s">
        <v>692</v>
      </c>
      <c r="I412" s="245" t="s">
        <v>695</v>
      </c>
      <c r="J412" s="245" t="s">
        <v>689</v>
      </c>
    </row>
    <row r="413" spans="1:10" x14ac:dyDescent="0.25">
      <c r="A413" s="245">
        <v>412</v>
      </c>
      <c r="B413" s="245" t="s">
        <v>1111</v>
      </c>
      <c r="C413" s="245" t="s">
        <v>693</v>
      </c>
      <c r="D413" s="245" t="s">
        <v>690</v>
      </c>
      <c r="E413" s="245" t="s">
        <v>744</v>
      </c>
      <c r="F413" s="245" t="s">
        <v>707</v>
      </c>
      <c r="G413" s="245" t="s">
        <v>865</v>
      </c>
      <c r="H413" s="245" t="s">
        <v>692</v>
      </c>
      <c r="I413" s="245" t="s">
        <v>689</v>
      </c>
      <c r="J413" s="245" t="s">
        <v>696</v>
      </c>
    </row>
    <row r="414" spans="1:10" x14ac:dyDescent="0.25">
      <c r="A414" s="245">
        <v>413</v>
      </c>
      <c r="B414" s="245" t="s">
        <v>1112</v>
      </c>
      <c r="C414" s="245" t="s">
        <v>693</v>
      </c>
      <c r="D414" s="245" t="s">
        <v>689</v>
      </c>
      <c r="E414" s="245" t="s">
        <v>744</v>
      </c>
      <c r="F414" s="245" t="s">
        <v>707</v>
      </c>
      <c r="G414" s="245" t="s">
        <v>865</v>
      </c>
      <c r="H414" s="245" t="s">
        <v>692</v>
      </c>
      <c r="I414" s="245" t="s">
        <v>695</v>
      </c>
      <c r="J414" s="245" t="s">
        <v>691</v>
      </c>
    </row>
    <row r="415" spans="1:10" x14ac:dyDescent="0.25">
      <c r="A415" s="245">
        <v>414</v>
      </c>
      <c r="B415" s="245" t="s">
        <v>1113</v>
      </c>
      <c r="C415" s="245" t="s">
        <v>693</v>
      </c>
      <c r="D415" s="245" t="s">
        <v>689</v>
      </c>
      <c r="E415" s="245" t="s">
        <v>744</v>
      </c>
      <c r="F415" s="245" t="s">
        <v>707</v>
      </c>
      <c r="G415" s="245" t="s">
        <v>865</v>
      </c>
      <c r="H415" s="245" t="s">
        <v>692</v>
      </c>
      <c r="I415" s="245" t="s">
        <v>691</v>
      </c>
      <c r="J415" s="245" t="s">
        <v>696</v>
      </c>
    </row>
    <row r="416" spans="1:10" x14ac:dyDescent="0.25">
      <c r="A416" s="245">
        <v>415</v>
      </c>
      <c r="B416" s="245" t="s">
        <v>1114</v>
      </c>
      <c r="C416" s="245" t="s">
        <v>693</v>
      </c>
      <c r="D416" s="245" t="s">
        <v>690</v>
      </c>
      <c r="E416" s="245" t="s">
        <v>744</v>
      </c>
      <c r="F416" s="245" t="s">
        <v>707</v>
      </c>
      <c r="G416" s="245" t="s">
        <v>865</v>
      </c>
      <c r="H416" s="245" t="s">
        <v>692</v>
      </c>
      <c r="I416" s="245" t="s">
        <v>689</v>
      </c>
      <c r="J416" s="245" t="s">
        <v>691</v>
      </c>
    </row>
    <row r="417" spans="1:10" x14ac:dyDescent="0.25">
      <c r="A417" s="245">
        <v>416</v>
      </c>
      <c r="B417" s="245" t="s">
        <v>1115</v>
      </c>
      <c r="C417" s="245" t="s">
        <v>689</v>
      </c>
      <c r="D417" s="245" t="s">
        <v>694</v>
      </c>
      <c r="E417" s="245" t="s">
        <v>744</v>
      </c>
      <c r="F417" s="245" t="s">
        <v>707</v>
      </c>
      <c r="G417" s="245" t="s">
        <v>865</v>
      </c>
      <c r="H417" s="245" t="s">
        <v>692</v>
      </c>
      <c r="I417" s="245" t="s">
        <v>695</v>
      </c>
      <c r="J417" s="245" t="s">
        <v>696</v>
      </c>
    </row>
    <row r="418" spans="1:10" x14ac:dyDescent="0.25">
      <c r="A418" s="245">
        <v>417</v>
      </c>
      <c r="B418" s="245" t="s">
        <v>1116</v>
      </c>
      <c r="C418" s="245" t="s">
        <v>689</v>
      </c>
      <c r="D418" s="245" t="s">
        <v>694</v>
      </c>
      <c r="E418" s="245" t="s">
        <v>744</v>
      </c>
      <c r="F418" s="245" t="s">
        <v>707</v>
      </c>
      <c r="G418" s="245" t="s">
        <v>865</v>
      </c>
      <c r="H418" s="245" t="s">
        <v>692</v>
      </c>
      <c r="I418" s="245" t="s">
        <v>695</v>
      </c>
      <c r="J418" s="245" t="s">
        <v>690</v>
      </c>
    </row>
    <row r="419" spans="1:10" x14ac:dyDescent="0.25">
      <c r="A419" s="245">
        <v>418</v>
      </c>
      <c r="B419" s="245" t="s">
        <v>1117</v>
      </c>
      <c r="C419" s="245" t="s">
        <v>689</v>
      </c>
      <c r="D419" s="245" t="s">
        <v>694</v>
      </c>
      <c r="E419" s="245" t="s">
        <v>744</v>
      </c>
      <c r="F419" s="245" t="s">
        <v>707</v>
      </c>
      <c r="G419" s="245" t="s">
        <v>865</v>
      </c>
      <c r="H419" s="245" t="s">
        <v>692</v>
      </c>
      <c r="I419" s="245" t="s">
        <v>690</v>
      </c>
      <c r="J419" s="245" t="s">
        <v>696</v>
      </c>
    </row>
    <row r="420" spans="1:10" x14ac:dyDescent="0.25">
      <c r="A420" s="245">
        <v>419</v>
      </c>
      <c r="B420" s="245" t="s">
        <v>1118</v>
      </c>
      <c r="C420" s="245" t="s">
        <v>689</v>
      </c>
      <c r="D420" s="245" t="s">
        <v>694</v>
      </c>
      <c r="E420" s="245" t="s">
        <v>744</v>
      </c>
      <c r="F420" s="245" t="s">
        <v>707</v>
      </c>
      <c r="G420" s="245" t="s">
        <v>865</v>
      </c>
      <c r="H420" s="245" t="s">
        <v>692</v>
      </c>
      <c r="I420" s="245" t="s">
        <v>695</v>
      </c>
      <c r="J420" s="245" t="s">
        <v>691</v>
      </c>
    </row>
    <row r="421" spans="1:10" x14ac:dyDescent="0.25">
      <c r="A421" s="245">
        <v>420</v>
      </c>
      <c r="B421" s="245" t="s">
        <v>1119</v>
      </c>
      <c r="C421" s="245" t="s">
        <v>689</v>
      </c>
      <c r="D421" s="245" t="s">
        <v>694</v>
      </c>
      <c r="E421" s="245" t="s">
        <v>744</v>
      </c>
      <c r="F421" s="245" t="s">
        <v>707</v>
      </c>
      <c r="G421" s="245" t="s">
        <v>865</v>
      </c>
      <c r="H421" s="245" t="s">
        <v>692</v>
      </c>
      <c r="I421" s="245" t="s">
        <v>691</v>
      </c>
      <c r="J421" s="245" t="s">
        <v>696</v>
      </c>
    </row>
    <row r="422" spans="1:10" x14ac:dyDescent="0.25">
      <c r="A422" s="245">
        <v>421</v>
      </c>
      <c r="B422" s="245" t="s">
        <v>1120</v>
      </c>
      <c r="C422" s="245" t="s">
        <v>689</v>
      </c>
      <c r="D422" s="245" t="s">
        <v>694</v>
      </c>
      <c r="E422" s="245" t="s">
        <v>744</v>
      </c>
      <c r="F422" s="245" t="s">
        <v>707</v>
      </c>
      <c r="G422" s="245" t="s">
        <v>865</v>
      </c>
      <c r="H422" s="245" t="s">
        <v>692</v>
      </c>
      <c r="I422" s="245" t="s">
        <v>691</v>
      </c>
      <c r="J422" s="245" t="s">
        <v>690</v>
      </c>
    </row>
    <row r="423" spans="1:10" x14ac:dyDescent="0.25">
      <c r="A423" s="245">
        <v>422</v>
      </c>
      <c r="B423" s="245" t="s">
        <v>1121</v>
      </c>
      <c r="C423" s="245" t="s">
        <v>693</v>
      </c>
      <c r="D423" s="245" t="s">
        <v>694</v>
      </c>
      <c r="E423" s="245" t="s">
        <v>744</v>
      </c>
      <c r="F423" s="245" t="s">
        <v>707</v>
      </c>
      <c r="G423" s="245" t="s">
        <v>865</v>
      </c>
      <c r="H423" s="245" t="s">
        <v>692</v>
      </c>
      <c r="I423" s="245" t="s">
        <v>695</v>
      </c>
      <c r="J423" s="245" t="s">
        <v>689</v>
      </c>
    </row>
    <row r="424" spans="1:10" x14ac:dyDescent="0.25">
      <c r="A424" s="245">
        <v>423</v>
      </c>
      <c r="B424" s="245" t="s">
        <v>1122</v>
      </c>
      <c r="C424" s="245" t="s">
        <v>693</v>
      </c>
      <c r="D424" s="245" t="s">
        <v>694</v>
      </c>
      <c r="E424" s="245" t="s">
        <v>744</v>
      </c>
      <c r="F424" s="245" t="s">
        <v>707</v>
      </c>
      <c r="G424" s="245" t="s">
        <v>865</v>
      </c>
      <c r="H424" s="245" t="s">
        <v>692</v>
      </c>
      <c r="I424" s="245" t="s">
        <v>689</v>
      </c>
      <c r="J424" s="245" t="s">
        <v>696</v>
      </c>
    </row>
    <row r="425" spans="1:10" x14ac:dyDescent="0.25">
      <c r="A425" s="245">
        <v>424</v>
      </c>
      <c r="B425" s="245" t="s">
        <v>1123</v>
      </c>
      <c r="C425" s="245" t="s">
        <v>693</v>
      </c>
      <c r="D425" s="245" t="s">
        <v>694</v>
      </c>
      <c r="E425" s="245" t="s">
        <v>744</v>
      </c>
      <c r="F425" s="245" t="s">
        <v>707</v>
      </c>
      <c r="G425" s="245" t="s">
        <v>865</v>
      </c>
      <c r="H425" s="245" t="s">
        <v>692</v>
      </c>
      <c r="I425" s="245" t="s">
        <v>689</v>
      </c>
      <c r="J425" s="245" t="s">
        <v>690</v>
      </c>
    </row>
    <row r="426" spans="1:10" x14ac:dyDescent="0.25">
      <c r="A426" s="245">
        <v>425</v>
      </c>
      <c r="B426" s="245" t="s">
        <v>1124</v>
      </c>
      <c r="C426" s="245" t="s">
        <v>693</v>
      </c>
      <c r="D426" s="245" t="s">
        <v>694</v>
      </c>
      <c r="E426" s="245" t="s">
        <v>744</v>
      </c>
      <c r="F426" s="245" t="s">
        <v>707</v>
      </c>
      <c r="G426" s="245" t="s">
        <v>865</v>
      </c>
      <c r="H426" s="245" t="s">
        <v>692</v>
      </c>
      <c r="I426" s="245" t="s">
        <v>689</v>
      </c>
      <c r="J426" s="245" t="s">
        <v>691</v>
      </c>
    </row>
    <row r="427" spans="1:10" x14ac:dyDescent="0.25">
      <c r="A427" s="245">
        <v>426</v>
      </c>
      <c r="B427" s="245" t="s">
        <v>1125</v>
      </c>
      <c r="C427" s="245" t="s">
        <v>691</v>
      </c>
      <c r="D427" s="245" t="s">
        <v>690</v>
      </c>
      <c r="E427" s="245" t="s">
        <v>744</v>
      </c>
      <c r="F427" s="245" t="s">
        <v>707</v>
      </c>
      <c r="G427" s="245" t="s">
        <v>865</v>
      </c>
      <c r="H427" s="245" t="s">
        <v>698</v>
      </c>
      <c r="I427" s="245" t="s">
        <v>695</v>
      </c>
      <c r="J427" s="245" t="s">
        <v>696</v>
      </c>
    </row>
    <row r="428" spans="1:10" x14ac:dyDescent="0.25">
      <c r="A428" s="245">
        <v>427</v>
      </c>
      <c r="B428" s="245" t="s">
        <v>1126</v>
      </c>
      <c r="C428" s="245" t="s">
        <v>693</v>
      </c>
      <c r="D428" s="245" t="s">
        <v>690</v>
      </c>
      <c r="E428" s="245" t="s">
        <v>744</v>
      </c>
      <c r="F428" s="245" t="s">
        <v>707</v>
      </c>
      <c r="G428" s="245" t="s">
        <v>865</v>
      </c>
      <c r="H428" s="245" t="s">
        <v>698</v>
      </c>
      <c r="I428" s="245" t="s">
        <v>695</v>
      </c>
      <c r="J428" s="245" t="s">
        <v>696</v>
      </c>
    </row>
    <row r="429" spans="1:10" x14ac:dyDescent="0.25">
      <c r="A429" s="245">
        <v>428</v>
      </c>
      <c r="B429" s="245" t="s">
        <v>1127</v>
      </c>
      <c r="C429" s="245" t="s">
        <v>693</v>
      </c>
      <c r="D429" s="245" t="s">
        <v>691</v>
      </c>
      <c r="E429" s="245" t="s">
        <v>744</v>
      </c>
      <c r="F429" s="245" t="s">
        <v>707</v>
      </c>
      <c r="G429" s="245" t="s">
        <v>865</v>
      </c>
      <c r="H429" s="245" t="s">
        <v>698</v>
      </c>
      <c r="I429" s="245" t="s">
        <v>695</v>
      </c>
      <c r="J429" s="245" t="s">
        <v>696</v>
      </c>
    </row>
    <row r="430" spans="1:10" x14ac:dyDescent="0.25">
      <c r="A430" s="245">
        <v>429</v>
      </c>
      <c r="B430" s="245" t="s">
        <v>1128</v>
      </c>
      <c r="C430" s="245" t="s">
        <v>693</v>
      </c>
      <c r="D430" s="245" t="s">
        <v>690</v>
      </c>
      <c r="E430" s="245" t="s">
        <v>744</v>
      </c>
      <c r="F430" s="245" t="s">
        <v>707</v>
      </c>
      <c r="G430" s="245" t="s">
        <v>865</v>
      </c>
      <c r="H430" s="245" t="s">
        <v>698</v>
      </c>
      <c r="I430" s="245" t="s">
        <v>695</v>
      </c>
      <c r="J430" s="245" t="s">
        <v>691</v>
      </c>
    </row>
    <row r="431" spans="1:10" x14ac:dyDescent="0.25">
      <c r="A431" s="245">
        <v>430</v>
      </c>
      <c r="B431" s="245" t="s">
        <v>1129</v>
      </c>
      <c r="C431" s="245" t="s">
        <v>693</v>
      </c>
      <c r="D431" s="245" t="s">
        <v>690</v>
      </c>
      <c r="E431" s="245" t="s">
        <v>744</v>
      </c>
      <c r="F431" s="245" t="s">
        <v>707</v>
      </c>
      <c r="G431" s="245" t="s">
        <v>865</v>
      </c>
      <c r="H431" s="245" t="s">
        <v>698</v>
      </c>
      <c r="I431" s="245" t="s">
        <v>691</v>
      </c>
      <c r="J431" s="245" t="s">
        <v>696</v>
      </c>
    </row>
    <row r="432" spans="1:10" x14ac:dyDescent="0.25">
      <c r="A432" s="245">
        <v>431</v>
      </c>
      <c r="B432" s="245" t="s">
        <v>1130</v>
      </c>
      <c r="C432" s="245" t="s">
        <v>707</v>
      </c>
      <c r="D432" s="245" t="s">
        <v>690</v>
      </c>
      <c r="E432" s="245" t="s">
        <v>744</v>
      </c>
      <c r="F432" s="245" t="s">
        <v>698</v>
      </c>
      <c r="G432" s="245" t="s">
        <v>865</v>
      </c>
      <c r="H432" s="245" t="s">
        <v>694</v>
      </c>
      <c r="I432" s="245" t="s">
        <v>695</v>
      </c>
      <c r="J432" s="245" t="s">
        <v>696</v>
      </c>
    </row>
    <row r="433" spans="1:10" x14ac:dyDescent="0.25">
      <c r="A433" s="245">
        <v>432</v>
      </c>
      <c r="B433" s="245" t="s">
        <v>1131</v>
      </c>
      <c r="C433" s="245" t="s">
        <v>691</v>
      </c>
      <c r="D433" s="245" t="s">
        <v>694</v>
      </c>
      <c r="E433" s="245" t="s">
        <v>744</v>
      </c>
      <c r="F433" s="245" t="s">
        <v>707</v>
      </c>
      <c r="G433" s="245" t="s">
        <v>865</v>
      </c>
      <c r="H433" s="245" t="s">
        <v>698</v>
      </c>
      <c r="I433" s="245" t="s">
        <v>695</v>
      </c>
      <c r="J433" s="245" t="s">
        <v>696</v>
      </c>
    </row>
    <row r="434" spans="1:10" x14ac:dyDescent="0.25">
      <c r="A434" s="245">
        <v>433</v>
      </c>
      <c r="B434" s="245" t="s">
        <v>1132</v>
      </c>
      <c r="C434" s="245" t="s">
        <v>707</v>
      </c>
      <c r="D434" s="245" t="s">
        <v>690</v>
      </c>
      <c r="E434" s="245" t="s">
        <v>744</v>
      </c>
      <c r="F434" s="245" t="s">
        <v>698</v>
      </c>
      <c r="G434" s="245" t="s">
        <v>865</v>
      </c>
      <c r="H434" s="245" t="s">
        <v>694</v>
      </c>
      <c r="I434" s="245" t="s">
        <v>695</v>
      </c>
      <c r="J434" s="245" t="s">
        <v>691</v>
      </c>
    </row>
    <row r="435" spans="1:10" x14ac:dyDescent="0.25">
      <c r="A435" s="245">
        <v>434</v>
      </c>
      <c r="B435" s="245" t="s">
        <v>1133</v>
      </c>
      <c r="C435" s="245" t="s">
        <v>707</v>
      </c>
      <c r="D435" s="245" t="s">
        <v>690</v>
      </c>
      <c r="E435" s="245" t="s">
        <v>744</v>
      </c>
      <c r="F435" s="245" t="s">
        <v>698</v>
      </c>
      <c r="G435" s="245" t="s">
        <v>865</v>
      </c>
      <c r="H435" s="245" t="s">
        <v>694</v>
      </c>
      <c r="I435" s="245" t="s">
        <v>691</v>
      </c>
      <c r="J435" s="245" t="s">
        <v>696</v>
      </c>
    </row>
    <row r="436" spans="1:10" x14ac:dyDescent="0.25">
      <c r="A436" s="245">
        <v>435</v>
      </c>
      <c r="B436" s="245" t="s">
        <v>1134</v>
      </c>
      <c r="C436" s="245" t="s">
        <v>693</v>
      </c>
      <c r="D436" s="245" t="s">
        <v>694</v>
      </c>
      <c r="E436" s="245" t="s">
        <v>744</v>
      </c>
      <c r="F436" s="245" t="s">
        <v>707</v>
      </c>
      <c r="G436" s="245" t="s">
        <v>865</v>
      </c>
      <c r="H436" s="245" t="s">
        <v>698</v>
      </c>
      <c r="I436" s="245" t="s">
        <v>695</v>
      </c>
      <c r="J436" s="245" t="s">
        <v>696</v>
      </c>
    </row>
    <row r="437" spans="1:10" x14ac:dyDescent="0.25">
      <c r="A437" s="245">
        <v>436</v>
      </c>
      <c r="B437" s="245" t="s">
        <v>1135</v>
      </c>
      <c r="C437" s="245" t="s">
        <v>693</v>
      </c>
      <c r="D437" s="245" t="s">
        <v>694</v>
      </c>
      <c r="E437" s="245" t="s">
        <v>744</v>
      </c>
      <c r="F437" s="245" t="s">
        <v>707</v>
      </c>
      <c r="G437" s="245" t="s">
        <v>865</v>
      </c>
      <c r="H437" s="245" t="s">
        <v>698</v>
      </c>
      <c r="I437" s="245" t="s">
        <v>695</v>
      </c>
      <c r="J437" s="245" t="s">
        <v>690</v>
      </c>
    </row>
    <row r="438" spans="1:10" x14ac:dyDescent="0.25">
      <c r="A438" s="245">
        <v>437</v>
      </c>
      <c r="B438" s="245" t="s">
        <v>1136</v>
      </c>
      <c r="C438" s="245" t="s">
        <v>693</v>
      </c>
      <c r="D438" s="245" t="s">
        <v>694</v>
      </c>
      <c r="E438" s="245" t="s">
        <v>744</v>
      </c>
      <c r="F438" s="245" t="s">
        <v>707</v>
      </c>
      <c r="G438" s="245" t="s">
        <v>865</v>
      </c>
      <c r="H438" s="245" t="s">
        <v>698</v>
      </c>
      <c r="I438" s="245" t="s">
        <v>690</v>
      </c>
      <c r="J438" s="245" t="s">
        <v>696</v>
      </c>
    </row>
    <row r="439" spans="1:10" x14ac:dyDescent="0.25">
      <c r="A439" s="245">
        <v>438</v>
      </c>
      <c r="B439" s="245" t="s">
        <v>1137</v>
      </c>
      <c r="C439" s="245" t="s">
        <v>693</v>
      </c>
      <c r="D439" s="245" t="s">
        <v>694</v>
      </c>
      <c r="E439" s="245" t="s">
        <v>744</v>
      </c>
      <c r="F439" s="245" t="s">
        <v>707</v>
      </c>
      <c r="G439" s="245" t="s">
        <v>865</v>
      </c>
      <c r="H439" s="245" t="s">
        <v>698</v>
      </c>
      <c r="I439" s="245" t="s">
        <v>695</v>
      </c>
      <c r="J439" s="245" t="s">
        <v>691</v>
      </c>
    </row>
    <row r="440" spans="1:10" x14ac:dyDescent="0.25">
      <c r="A440" s="245">
        <v>439</v>
      </c>
      <c r="B440" s="245" t="s">
        <v>1138</v>
      </c>
      <c r="C440" s="245" t="s">
        <v>693</v>
      </c>
      <c r="D440" s="245" t="s">
        <v>694</v>
      </c>
      <c r="E440" s="245" t="s">
        <v>744</v>
      </c>
      <c r="F440" s="245" t="s">
        <v>707</v>
      </c>
      <c r="G440" s="245" t="s">
        <v>865</v>
      </c>
      <c r="H440" s="245" t="s">
        <v>698</v>
      </c>
      <c r="I440" s="245" t="s">
        <v>691</v>
      </c>
      <c r="J440" s="245" t="s">
        <v>696</v>
      </c>
    </row>
    <row r="441" spans="1:10" x14ac:dyDescent="0.25">
      <c r="A441" s="245">
        <v>440</v>
      </c>
      <c r="B441" s="245" t="s">
        <v>1139</v>
      </c>
      <c r="C441" s="245" t="s">
        <v>693</v>
      </c>
      <c r="D441" s="245" t="s">
        <v>694</v>
      </c>
      <c r="E441" s="245" t="s">
        <v>744</v>
      </c>
      <c r="F441" s="245" t="s">
        <v>707</v>
      </c>
      <c r="G441" s="245" t="s">
        <v>865</v>
      </c>
      <c r="H441" s="245" t="s">
        <v>698</v>
      </c>
      <c r="I441" s="245" t="s">
        <v>691</v>
      </c>
      <c r="J441" s="245" t="s">
        <v>690</v>
      </c>
    </row>
    <row r="442" spans="1:10" x14ac:dyDescent="0.25">
      <c r="A442" s="245">
        <v>441</v>
      </c>
      <c r="B442" s="245" t="s">
        <v>1140</v>
      </c>
      <c r="C442" s="245" t="s">
        <v>707</v>
      </c>
      <c r="D442" s="245" t="s">
        <v>690</v>
      </c>
      <c r="E442" s="245" t="s">
        <v>744</v>
      </c>
      <c r="F442" s="245" t="s">
        <v>698</v>
      </c>
      <c r="G442" s="245" t="s">
        <v>865</v>
      </c>
      <c r="H442" s="245" t="s">
        <v>692</v>
      </c>
      <c r="I442" s="245" t="s">
        <v>695</v>
      </c>
      <c r="J442" s="245" t="s">
        <v>696</v>
      </c>
    </row>
    <row r="443" spans="1:10" x14ac:dyDescent="0.25">
      <c r="A443" s="245">
        <v>442</v>
      </c>
      <c r="B443" s="245" t="s">
        <v>1141</v>
      </c>
      <c r="C443" s="245" t="s">
        <v>707</v>
      </c>
      <c r="D443" s="245" t="s">
        <v>691</v>
      </c>
      <c r="E443" s="245" t="s">
        <v>744</v>
      </c>
      <c r="F443" s="245" t="s">
        <v>698</v>
      </c>
      <c r="G443" s="245" t="s">
        <v>865</v>
      </c>
      <c r="H443" s="245" t="s">
        <v>692</v>
      </c>
      <c r="I443" s="245" t="s">
        <v>695</v>
      </c>
      <c r="J443" s="245" t="s">
        <v>696</v>
      </c>
    </row>
    <row r="444" spans="1:10" x14ac:dyDescent="0.25">
      <c r="A444" s="245">
        <v>443</v>
      </c>
      <c r="B444" s="245" t="s">
        <v>1142</v>
      </c>
      <c r="C444" s="245" t="s">
        <v>707</v>
      </c>
      <c r="D444" s="245" t="s">
        <v>690</v>
      </c>
      <c r="E444" s="245" t="s">
        <v>744</v>
      </c>
      <c r="F444" s="245" t="s">
        <v>698</v>
      </c>
      <c r="G444" s="245" t="s">
        <v>865</v>
      </c>
      <c r="H444" s="245" t="s">
        <v>692</v>
      </c>
      <c r="I444" s="245" t="s">
        <v>695</v>
      </c>
      <c r="J444" s="245" t="s">
        <v>691</v>
      </c>
    </row>
    <row r="445" spans="1:10" x14ac:dyDescent="0.25">
      <c r="A445" s="245">
        <v>444</v>
      </c>
      <c r="B445" s="245" t="s">
        <v>1143</v>
      </c>
      <c r="C445" s="245" t="s">
        <v>707</v>
      </c>
      <c r="D445" s="245" t="s">
        <v>690</v>
      </c>
      <c r="E445" s="245" t="s">
        <v>744</v>
      </c>
      <c r="F445" s="245" t="s">
        <v>698</v>
      </c>
      <c r="G445" s="245" t="s">
        <v>865</v>
      </c>
      <c r="H445" s="245" t="s">
        <v>692</v>
      </c>
      <c r="I445" s="245" t="s">
        <v>691</v>
      </c>
      <c r="J445" s="245" t="s">
        <v>696</v>
      </c>
    </row>
    <row r="446" spans="1:10" x14ac:dyDescent="0.25">
      <c r="A446" s="245">
        <v>445</v>
      </c>
      <c r="B446" s="245" t="s">
        <v>1144</v>
      </c>
      <c r="C446" s="245" t="s">
        <v>693</v>
      </c>
      <c r="D446" s="245" t="s">
        <v>692</v>
      </c>
      <c r="E446" s="245" t="s">
        <v>744</v>
      </c>
      <c r="F446" s="245" t="s">
        <v>707</v>
      </c>
      <c r="G446" s="245" t="s">
        <v>865</v>
      </c>
      <c r="H446" s="245" t="s">
        <v>698</v>
      </c>
      <c r="I446" s="245" t="s">
        <v>695</v>
      </c>
      <c r="J446" s="245" t="s">
        <v>696</v>
      </c>
    </row>
    <row r="447" spans="1:10" x14ac:dyDescent="0.25">
      <c r="A447" s="245">
        <v>446</v>
      </c>
      <c r="B447" s="245" t="s">
        <v>1145</v>
      </c>
      <c r="C447" s="245" t="s">
        <v>707</v>
      </c>
      <c r="D447" s="245" t="s">
        <v>690</v>
      </c>
      <c r="E447" s="245" t="s">
        <v>744</v>
      </c>
      <c r="F447" s="245" t="s">
        <v>698</v>
      </c>
      <c r="G447" s="245" t="s">
        <v>865</v>
      </c>
      <c r="H447" s="245" t="s">
        <v>692</v>
      </c>
      <c r="I447" s="245" t="s">
        <v>695</v>
      </c>
      <c r="J447" s="245" t="s">
        <v>693</v>
      </c>
    </row>
    <row r="448" spans="1:10" x14ac:dyDescent="0.25">
      <c r="A448" s="245">
        <v>447</v>
      </c>
      <c r="B448" s="245" t="s">
        <v>1146</v>
      </c>
      <c r="C448" s="245" t="s">
        <v>693</v>
      </c>
      <c r="D448" s="245" t="s">
        <v>690</v>
      </c>
      <c r="E448" s="245" t="s">
        <v>744</v>
      </c>
      <c r="F448" s="245" t="s">
        <v>707</v>
      </c>
      <c r="G448" s="245" t="s">
        <v>865</v>
      </c>
      <c r="H448" s="245" t="s">
        <v>692</v>
      </c>
      <c r="I448" s="245" t="s">
        <v>698</v>
      </c>
      <c r="J448" s="245" t="s">
        <v>696</v>
      </c>
    </row>
    <row r="449" spans="1:10" x14ac:dyDescent="0.25">
      <c r="A449" s="245">
        <v>448</v>
      </c>
      <c r="B449" s="245" t="s">
        <v>1147</v>
      </c>
      <c r="C449" s="245" t="s">
        <v>693</v>
      </c>
      <c r="D449" s="245" t="s">
        <v>692</v>
      </c>
      <c r="E449" s="245" t="s">
        <v>744</v>
      </c>
      <c r="F449" s="245" t="s">
        <v>707</v>
      </c>
      <c r="G449" s="245" t="s">
        <v>865</v>
      </c>
      <c r="H449" s="245" t="s">
        <v>698</v>
      </c>
      <c r="I449" s="245" t="s">
        <v>695</v>
      </c>
      <c r="J449" s="245" t="s">
        <v>691</v>
      </c>
    </row>
    <row r="450" spans="1:10" x14ac:dyDescent="0.25">
      <c r="A450" s="245">
        <v>449</v>
      </c>
      <c r="B450" s="245" t="s">
        <v>1148</v>
      </c>
      <c r="C450" s="245" t="s">
        <v>693</v>
      </c>
      <c r="D450" s="245" t="s">
        <v>692</v>
      </c>
      <c r="E450" s="245" t="s">
        <v>744</v>
      </c>
      <c r="F450" s="245" t="s">
        <v>707</v>
      </c>
      <c r="G450" s="245" t="s">
        <v>865</v>
      </c>
      <c r="H450" s="245" t="s">
        <v>698</v>
      </c>
      <c r="I450" s="245" t="s">
        <v>691</v>
      </c>
      <c r="J450" s="245" t="s">
        <v>696</v>
      </c>
    </row>
    <row r="451" spans="1:10" x14ac:dyDescent="0.25">
      <c r="A451" s="245">
        <v>450</v>
      </c>
      <c r="B451" s="245" t="s">
        <v>1149</v>
      </c>
      <c r="C451" s="245" t="s">
        <v>693</v>
      </c>
      <c r="D451" s="245" t="s">
        <v>690</v>
      </c>
      <c r="E451" s="245" t="s">
        <v>744</v>
      </c>
      <c r="F451" s="245" t="s">
        <v>707</v>
      </c>
      <c r="G451" s="245" t="s">
        <v>865</v>
      </c>
      <c r="H451" s="245" t="s">
        <v>692</v>
      </c>
      <c r="I451" s="245" t="s">
        <v>698</v>
      </c>
      <c r="J451" s="245" t="s">
        <v>691</v>
      </c>
    </row>
    <row r="452" spans="1:10" x14ac:dyDescent="0.25">
      <c r="A452" s="245">
        <v>451</v>
      </c>
      <c r="B452" s="245" t="s">
        <v>1150</v>
      </c>
      <c r="C452" s="245" t="s">
        <v>707</v>
      </c>
      <c r="D452" s="245" t="s">
        <v>694</v>
      </c>
      <c r="E452" s="245" t="s">
        <v>744</v>
      </c>
      <c r="F452" s="245" t="s">
        <v>698</v>
      </c>
      <c r="G452" s="245" t="s">
        <v>865</v>
      </c>
      <c r="H452" s="245" t="s">
        <v>692</v>
      </c>
      <c r="I452" s="245" t="s">
        <v>695</v>
      </c>
      <c r="J452" s="245" t="s">
        <v>696</v>
      </c>
    </row>
    <row r="453" spans="1:10" x14ac:dyDescent="0.25">
      <c r="A453" s="245">
        <v>452</v>
      </c>
      <c r="B453" s="245" t="s">
        <v>1151</v>
      </c>
      <c r="C453" s="245" t="s">
        <v>707</v>
      </c>
      <c r="D453" s="245" t="s">
        <v>694</v>
      </c>
      <c r="E453" s="245" t="s">
        <v>744</v>
      </c>
      <c r="F453" s="245" t="s">
        <v>698</v>
      </c>
      <c r="G453" s="245" t="s">
        <v>865</v>
      </c>
      <c r="H453" s="245" t="s">
        <v>692</v>
      </c>
      <c r="I453" s="245" t="s">
        <v>695</v>
      </c>
      <c r="J453" s="245" t="s">
        <v>690</v>
      </c>
    </row>
    <row r="454" spans="1:10" x14ac:dyDescent="0.25">
      <c r="A454" s="245">
        <v>453</v>
      </c>
      <c r="B454" s="245" t="s">
        <v>1152</v>
      </c>
      <c r="C454" s="245" t="s">
        <v>707</v>
      </c>
      <c r="D454" s="245" t="s">
        <v>694</v>
      </c>
      <c r="E454" s="245" t="s">
        <v>744</v>
      </c>
      <c r="F454" s="245" t="s">
        <v>698</v>
      </c>
      <c r="G454" s="245" t="s">
        <v>865</v>
      </c>
      <c r="H454" s="245" t="s">
        <v>692</v>
      </c>
      <c r="I454" s="245" t="s">
        <v>690</v>
      </c>
      <c r="J454" s="245" t="s">
        <v>696</v>
      </c>
    </row>
    <row r="455" spans="1:10" x14ac:dyDescent="0.25">
      <c r="A455" s="245">
        <v>454</v>
      </c>
      <c r="B455" s="245" t="s">
        <v>1153</v>
      </c>
      <c r="C455" s="245" t="s">
        <v>707</v>
      </c>
      <c r="D455" s="245" t="s">
        <v>694</v>
      </c>
      <c r="E455" s="245" t="s">
        <v>744</v>
      </c>
      <c r="F455" s="245" t="s">
        <v>698</v>
      </c>
      <c r="G455" s="245" t="s">
        <v>865</v>
      </c>
      <c r="H455" s="245" t="s">
        <v>692</v>
      </c>
      <c r="I455" s="245" t="s">
        <v>695</v>
      </c>
      <c r="J455" s="245" t="s">
        <v>691</v>
      </c>
    </row>
    <row r="456" spans="1:10" x14ac:dyDescent="0.25">
      <c r="A456" s="245">
        <v>455</v>
      </c>
      <c r="B456" s="245" t="s">
        <v>1154</v>
      </c>
      <c r="C456" s="245" t="s">
        <v>707</v>
      </c>
      <c r="D456" s="245" t="s">
        <v>694</v>
      </c>
      <c r="E456" s="245" t="s">
        <v>744</v>
      </c>
      <c r="F456" s="245" t="s">
        <v>698</v>
      </c>
      <c r="G456" s="245" t="s">
        <v>865</v>
      </c>
      <c r="H456" s="245" t="s">
        <v>692</v>
      </c>
      <c r="I456" s="245" t="s">
        <v>691</v>
      </c>
      <c r="J456" s="245" t="s">
        <v>696</v>
      </c>
    </row>
    <row r="457" spans="1:10" x14ac:dyDescent="0.25">
      <c r="A457" s="245">
        <v>456</v>
      </c>
      <c r="B457" s="245" t="s">
        <v>1155</v>
      </c>
      <c r="C457" s="245" t="s">
        <v>707</v>
      </c>
      <c r="D457" s="245" t="s">
        <v>694</v>
      </c>
      <c r="E457" s="245" t="s">
        <v>744</v>
      </c>
      <c r="F457" s="245" t="s">
        <v>698</v>
      </c>
      <c r="G457" s="245" t="s">
        <v>865</v>
      </c>
      <c r="H457" s="245" t="s">
        <v>692</v>
      </c>
      <c r="I457" s="245" t="s">
        <v>691</v>
      </c>
      <c r="J457" s="245" t="s">
        <v>690</v>
      </c>
    </row>
    <row r="458" spans="1:10" x14ac:dyDescent="0.25">
      <c r="A458" s="245">
        <v>457</v>
      </c>
      <c r="B458" s="245" t="s">
        <v>1156</v>
      </c>
      <c r="C458" s="245" t="s">
        <v>707</v>
      </c>
      <c r="D458" s="245" t="s">
        <v>694</v>
      </c>
      <c r="E458" s="245" t="s">
        <v>744</v>
      </c>
      <c r="F458" s="245" t="s">
        <v>698</v>
      </c>
      <c r="G458" s="245" t="s">
        <v>865</v>
      </c>
      <c r="H458" s="245" t="s">
        <v>692</v>
      </c>
      <c r="I458" s="245" t="s">
        <v>695</v>
      </c>
      <c r="J458" s="245" t="s">
        <v>693</v>
      </c>
    </row>
    <row r="459" spans="1:10" x14ac:dyDescent="0.25">
      <c r="A459" s="245">
        <v>458</v>
      </c>
      <c r="B459" s="245" t="s">
        <v>1157</v>
      </c>
      <c r="C459" s="245" t="s">
        <v>693</v>
      </c>
      <c r="D459" s="245" t="s">
        <v>694</v>
      </c>
      <c r="E459" s="245" t="s">
        <v>744</v>
      </c>
      <c r="F459" s="245" t="s">
        <v>707</v>
      </c>
      <c r="G459" s="245" t="s">
        <v>865</v>
      </c>
      <c r="H459" s="245" t="s">
        <v>692</v>
      </c>
      <c r="I459" s="245" t="s">
        <v>698</v>
      </c>
      <c r="J459" s="245" t="s">
        <v>696</v>
      </c>
    </row>
    <row r="460" spans="1:10" x14ac:dyDescent="0.25">
      <c r="A460" s="245">
        <v>459</v>
      </c>
      <c r="B460" s="245" t="s">
        <v>1158</v>
      </c>
      <c r="C460" s="245" t="s">
        <v>693</v>
      </c>
      <c r="D460" s="245" t="s">
        <v>694</v>
      </c>
      <c r="E460" s="245" t="s">
        <v>744</v>
      </c>
      <c r="F460" s="245" t="s">
        <v>707</v>
      </c>
      <c r="G460" s="245" t="s">
        <v>865</v>
      </c>
      <c r="H460" s="245" t="s">
        <v>692</v>
      </c>
      <c r="I460" s="245" t="s">
        <v>698</v>
      </c>
      <c r="J460" s="245" t="s">
        <v>690</v>
      </c>
    </row>
    <row r="461" spans="1:10" x14ac:dyDescent="0.25">
      <c r="A461" s="245">
        <v>460</v>
      </c>
      <c r="B461" s="245" t="s">
        <v>1159</v>
      </c>
      <c r="C461" s="245" t="s">
        <v>693</v>
      </c>
      <c r="D461" s="245" t="s">
        <v>694</v>
      </c>
      <c r="E461" s="245" t="s">
        <v>744</v>
      </c>
      <c r="F461" s="245" t="s">
        <v>707</v>
      </c>
      <c r="G461" s="245" t="s">
        <v>865</v>
      </c>
      <c r="H461" s="245" t="s">
        <v>692</v>
      </c>
      <c r="I461" s="245" t="s">
        <v>698</v>
      </c>
      <c r="J461" s="245" t="s">
        <v>691</v>
      </c>
    </row>
    <row r="462" spans="1:10" x14ac:dyDescent="0.25">
      <c r="A462" s="245">
        <v>461</v>
      </c>
      <c r="B462" s="245" t="s">
        <v>1160</v>
      </c>
      <c r="C462" s="245" t="s">
        <v>689</v>
      </c>
      <c r="D462" s="245" t="s">
        <v>690</v>
      </c>
      <c r="E462" s="245" t="s">
        <v>744</v>
      </c>
      <c r="F462" s="245" t="s">
        <v>707</v>
      </c>
      <c r="G462" s="245" t="s">
        <v>865</v>
      </c>
      <c r="H462" s="245" t="s">
        <v>698</v>
      </c>
      <c r="I462" s="245" t="s">
        <v>695</v>
      </c>
      <c r="J462" s="245" t="s">
        <v>696</v>
      </c>
    </row>
    <row r="463" spans="1:10" x14ac:dyDescent="0.25">
      <c r="A463" s="245">
        <v>462</v>
      </c>
      <c r="B463" s="245" t="s">
        <v>1161</v>
      </c>
      <c r="C463" s="245" t="s">
        <v>689</v>
      </c>
      <c r="D463" s="245" t="s">
        <v>691</v>
      </c>
      <c r="E463" s="245" t="s">
        <v>744</v>
      </c>
      <c r="F463" s="245" t="s">
        <v>707</v>
      </c>
      <c r="G463" s="245" t="s">
        <v>865</v>
      </c>
      <c r="H463" s="245" t="s">
        <v>698</v>
      </c>
      <c r="I463" s="245" t="s">
        <v>695</v>
      </c>
      <c r="J463" s="245" t="s">
        <v>696</v>
      </c>
    </row>
    <row r="464" spans="1:10" x14ac:dyDescent="0.25">
      <c r="A464" s="245">
        <v>463</v>
      </c>
      <c r="B464" s="245" t="s">
        <v>1162</v>
      </c>
      <c r="C464" s="245" t="s">
        <v>689</v>
      </c>
      <c r="D464" s="245" t="s">
        <v>690</v>
      </c>
      <c r="E464" s="245" t="s">
        <v>744</v>
      </c>
      <c r="F464" s="245" t="s">
        <v>707</v>
      </c>
      <c r="G464" s="245" t="s">
        <v>865</v>
      </c>
      <c r="H464" s="245" t="s">
        <v>698</v>
      </c>
      <c r="I464" s="245" t="s">
        <v>695</v>
      </c>
      <c r="J464" s="245" t="s">
        <v>691</v>
      </c>
    </row>
    <row r="465" spans="1:10" x14ac:dyDescent="0.25">
      <c r="A465" s="245">
        <v>464</v>
      </c>
      <c r="B465" s="245" t="s">
        <v>1163</v>
      </c>
      <c r="C465" s="245" t="s">
        <v>689</v>
      </c>
      <c r="D465" s="245" t="s">
        <v>690</v>
      </c>
      <c r="E465" s="245" t="s">
        <v>744</v>
      </c>
      <c r="F465" s="245" t="s">
        <v>707</v>
      </c>
      <c r="G465" s="245" t="s">
        <v>865</v>
      </c>
      <c r="H465" s="245" t="s">
        <v>698</v>
      </c>
      <c r="I465" s="245" t="s">
        <v>691</v>
      </c>
      <c r="J465" s="245" t="s">
        <v>696</v>
      </c>
    </row>
    <row r="466" spans="1:10" x14ac:dyDescent="0.25">
      <c r="A466" s="245">
        <v>465</v>
      </c>
      <c r="B466" s="245" t="s">
        <v>1164</v>
      </c>
      <c r="C466" s="245" t="s">
        <v>693</v>
      </c>
      <c r="D466" s="245" t="s">
        <v>689</v>
      </c>
      <c r="E466" s="245" t="s">
        <v>744</v>
      </c>
      <c r="F466" s="245" t="s">
        <v>707</v>
      </c>
      <c r="G466" s="245" t="s">
        <v>865</v>
      </c>
      <c r="H466" s="245" t="s">
        <v>698</v>
      </c>
      <c r="I466" s="245" t="s">
        <v>695</v>
      </c>
      <c r="J466" s="245" t="s">
        <v>696</v>
      </c>
    </row>
    <row r="467" spans="1:10" x14ac:dyDescent="0.25">
      <c r="A467" s="245">
        <v>466</v>
      </c>
      <c r="B467" s="245" t="s">
        <v>1165</v>
      </c>
      <c r="C467" s="245" t="s">
        <v>693</v>
      </c>
      <c r="D467" s="245" t="s">
        <v>690</v>
      </c>
      <c r="E467" s="245" t="s">
        <v>744</v>
      </c>
      <c r="F467" s="245" t="s">
        <v>707</v>
      </c>
      <c r="G467" s="245" t="s">
        <v>865</v>
      </c>
      <c r="H467" s="245" t="s">
        <v>698</v>
      </c>
      <c r="I467" s="245" t="s">
        <v>695</v>
      </c>
      <c r="J467" s="245" t="s">
        <v>689</v>
      </c>
    </row>
    <row r="468" spans="1:10" x14ac:dyDescent="0.25">
      <c r="A468" s="245">
        <v>467</v>
      </c>
      <c r="B468" s="245" t="s">
        <v>1166</v>
      </c>
      <c r="C468" s="245" t="s">
        <v>693</v>
      </c>
      <c r="D468" s="245" t="s">
        <v>690</v>
      </c>
      <c r="E468" s="245" t="s">
        <v>744</v>
      </c>
      <c r="F468" s="245" t="s">
        <v>707</v>
      </c>
      <c r="G468" s="245" t="s">
        <v>865</v>
      </c>
      <c r="H468" s="245" t="s">
        <v>698</v>
      </c>
      <c r="I468" s="245" t="s">
        <v>689</v>
      </c>
      <c r="J468" s="245" t="s">
        <v>696</v>
      </c>
    </row>
    <row r="469" spans="1:10" x14ac:dyDescent="0.25">
      <c r="A469" s="245">
        <v>468</v>
      </c>
      <c r="B469" s="245" t="s">
        <v>1167</v>
      </c>
      <c r="C469" s="245" t="s">
        <v>693</v>
      </c>
      <c r="D469" s="245" t="s">
        <v>689</v>
      </c>
      <c r="E469" s="245" t="s">
        <v>744</v>
      </c>
      <c r="F469" s="245" t="s">
        <v>707</v>
      </c>
      <c r="G469" s="245" t="s">
        <v>865</v>
      </c>
      <c r="H469" s="245" t="s">
        <v>698</v>
      </c>
      <c r="I469" s="245" t="s">
        <v>695</v>
      </c>
      <c r="J469" s="245" t="s">
        <v>691</v>
      </c>
    </row>
    <row r="470" spans="1:10" x14ac:dyDescent="0.25">
      <c r="A470" s="245">
        <v>469</v>
      </c>
      <c r="B470" s="245" t="s">
        <v>1168</v>
      </c>
      <c r="C470" s="245" t="s">
        <v>693</v>
      </c>
      <c r="D470" s="245" t="s">
        <v>689</v>
      </c>
      <c r="E470" s="245" t="s">
        <v>744</v>
      </c>
      <c r="F470" s="245" t="s">
        <v>707</v>
      </c>
      <c r="G470" s="245" t="s">
        <v>865</v>
      </c>
      <c r="H470" s="245" t="s">
        <v>698</v>
      </c>
      <c r="I470" s="245" t="s">
        <v>691</v>
      </c>
      <c r="J470" s="245" t="s">
        <v>696</v>
      </c>
    </row>
    <row r="471" spans="1:10" x14ac:dyDescent="0.25">
      <c r="A471" s="245">
        <v>470</v>
      </c>
      <c r="B471" s="245" t="s">
        <v>1169</v>
      </c>
      <c r="C471" s="245" t="s">
        <v>693</v>
      </c>
      <c r="D471" s="245" t="s">
        <v>690</v>
      </c>
      <c r="E471" s="245" t="s">
        <v>744</v>
      </c>
      <c r="F471" s="245" t="s">
        <v>707</v>
      </c>
      <c r="G471" s="245" t="s">
        <v>865</v>
      </c>
      <c r="H471" s="245" t="s">
        <v>698</v>
      </c>
      <c r="I471" s="245" t="s">
        <v>689</v>
      </c>
      <c r="J471" s="245" t="s">
        <v>691</v>
      </c>
    </row>
    <row r="472" spans="1:10" x14ac:dyDescent="0.25">
      <c r="A472" s="245">
        <v>471</v>
      </c>
      <c r="B472" s="245" t="s">
        <v>1170</v>
      </c>
      <c r="C472" s="245" t="s">
        <v>689</v>
      </c>
      <c r="D472" s="245" t="s">
        <v>694</v>
      </c>
      <c r="E472" s="245" t="s">
        <v>744</v>
      </c>
      <c r="F472" s="245" t="s">
        <v>707</v>
      </c>
      <c r="G472" s="245" t="s">
        <v>865</v>
      </c>
      <c r="H472" s="245" t="s">
        <v>698</v>
      </c>
      <c r="I472" s="245" t="s">
        <v>695</v>
      </c>
      <c r="J472" s="245" t="s">
        <v>696</v>
      </c>
    </row>
    <row r="473" spans="1:10" x14ac:dyDescent="0.25">
      <c r="A473" s="245">
        <v>472</v>
      </c>
      <c r="B473" s="245" t="s">
        <v>1171</v>
      </c>
      <c r="C473" s="245" t="s">
        <v>689</v>
      </c>
      <c r="D473" s="245" t="s">
        <v>694</v>
      </c>
      <c r="E473" s="245" t="s">
        <v>744</v>
      </c>
      <c r="F473" s="245" t="s">
        <v>707</v>
      </c>
      <c r="G473" s="245" t="s">
        <v>865</v>
      </c>
      <c r="H473" s="245" t="s">
        <v>698</v>
      </c>
      <c r="I473" s="245" t="s">
        <v>695</v>
      </c>
      <c r="J473" s="245" t="s">
        <v>690</v>
      </c>
    </row>
    <row r="474" spans="1:10" x14ac:dyDescent="0.25">
      <c r="A474" s="245">
        <v>473</v>
      </c>
      <c r="B474" s="245" t="s">
        <v>1172</v>
      </c>
      <c r="C474" s="245" t="s">
        <v>689</v>
      </c>
      <c r="D474" s="245" t="s">
        <v>694</v>
      </c>
      <c r="E474" s="245" t="s">
        <v>744</v>
      </c>
      <c r="F474" s="245" t="s">
        <v>707</v>
      </c>
      <c r="G474" s="245" t="s">
        <v>865</v>
      </c>
      <c r="H474" s="245" t="s">
        <v>698</v>
      </c>
      <c r="I474" s="245" t="s">
        <v>690</v>
      </c>
      <c r="J474" s="245" t="s">
        <v>696</v>
      </c>
    </row>
    <row r="475" spans="1:10" x14ac:dyDescent="0.25">
      <c r="A475" s="245">
        <v>474</v>
      </c>
      <c r="B475" s="245" t="s">
        <v>1173</v>
      </c>
      <c r="C475" s="245" t="s">
        <v>689</v>
      </c>
      <c r="D475" s="245" t="s">
        <v>694</v>
      </c>
      <c r="E475" s="245" t="s">
        <v>744</v>
      </c>
      <c r="F475" s="245" t="s">
        <v>707</v>
      </c>
      <c r="G475" s="245" t="s">
        <v>865</v>
      </c>
      <c r="H475" s="245" t="s">
        <v>698</v>
      </c>
      <c r="I475" s="245" t="s">
        <v>695</v>
      </c>
      <c r="J475" s="245" t="s">
        <v>691</v>
      </c>
    </row>
    <row r="476" spans="1:10" x14ac:dyDescent="0.25">
      <c r="A476" s="245">
        <v>475</v>
      </c>
      <c r="B476" s="245" t="s">
        <v>1174</v>
      </c>
      <c r="C476" s="245" t="s">
        <v>689</v>
      </c>
      <c r="D476" s="245" t="s">
        <v>694</v>
      </c>
      <c r="E476" s="245" t="s">
        <v>744</v>
      </c>
      <c r="F476" s="245" t="s">
        <v>707</v>
      </c>
      <c r="G476" s="245" t="s">
        <v>865</v>
      </c>
      <c r="H476" s="245" t="s">
        <v>698</v>
      </c>
      <c r="I476" s="245" t="s">
        <v>691</v>
      </c>
      <c r="J476" s="245" t="s">
        <v>696</v>
      </c>
    </row>
    <row r="477" spans="1:10" x14ac:dyDescent="0.25">
      <c r="A477" s="245">
        <v>476</v>
      </c>
      <c r="B477" s="245" t="s">
        <v>1175</v>
      </c>
      <c r="C477" s="245" t="s">
        <v>689</v>
      </c>
      <c r="D477" s="245" t="s">
        <v>694</v>
      </c>
      <c r="E477" s="245" t="s">
        <v>744</v>
      </c>
      <c r="F477" s="245" t="s">
        <v>707</v>
      </c>
      <c r="G477" s="245" t="s">
        <v>865</v>
      </c>
      <c r="H477" s="245" t="s">
        <v>698</v>
      </c>
      <c r="I477" s="245" t="s">
        <v>691</v>
      </c>
      <c r="J477" s="245" t="s">
        <v>690</v>
      </c>
    </row>
    <row r="478" spans="1:10" x14ac:dyDescent="0.25">
      <c r="A478" s="245">
        <v>477</v>
      </c>
      <c r="B478" s="245" t="s">
        <v>1176</v>
      </c>
      <c r="C478" s="245" t="s">
        <v>693</v>
      </c>
      <c r="D478" s="245" t="s">
        <v>694</v>
      </c>
      <c r="E478" s="245" t="s">
        <v>744</v>
      </c>
      <c r="F478" s="245" t="s">
        <v>707</v>
      </c>
      <c r="G478" s="245" t="s">
        <v>865</v>
      </c>
      <c r="H478" s="245" t="s">
        <v>698</v>
      </c>
      <c r="I478" s="245" t="s">
        <v>695</v>
      </c>
      <c r="J478" s="245" t="s">
        <v>689</v>
      </c>
    </row>
    <row r="479" spans="1:10" x14ac:dyDescent="0.25">
      <c r="A479" s="245">
        <v>478</v>
      </c>
      <c r="B479" s="245" t="s">
        <v>1177</v>
      </c>
      <c r="C479" s="245" t="s">
        <v>693</v>
      </c>
      <c r="D479" s="245" t="s">
        <v>694</v>
      </c>
      <c r="E479" s="245" t="s">
        <v>744</v>
      </c>
      <c r="F479" s="245" t="s">
        <v>707</v>
      </c>
      <c r="G479" s="245" t="s">
        <v>865</v>
      </c>
      <c r="H479" s="245" t="s">
        <v>698</v>
      </c>
      <c r="I479" s="245" t="s">
        <v>689</v>
      </c>
      <c r="J479" s="245" t="s">
        <v>696</v>
      </c>
    </row>
    <row r="480" spans="1:10" x14ac:dyDescent="0.25">
      <c r="A480" s="245">
        <v>479</v>
      </c>
      <c r="B480" s="245" t="s">
        <v>1178</v>
      </c>
      <c r="C480" s="245" t="s">
        <v>693</v>
      </c>
      <c r="D480" s="245" t="s">
        <v>694</v>
      </c>
      <c r="E480" s="245" t="s">
        <v>744</v>
      </c>
      <c r="F480" s="245" t="s">
        <v>707</v>
      </c>
      <c r="G480" s="245" t="s">
        <v>865</v>
      </c>
      <c r="H480" s="245" t="s">
        <v>698</v>
      </c>
      <c r="I480" s="245" t="s">
        <v>689</v>
      </c>
      <c r="J480" s="245" t="s">
        <v>690</v>
      </c>
    </row>
    <row r="481" spans="1:10" x14ac:dyDescent="0.25">
      <c r="A481" s="245">
        <v>480</v>
      </c>
      <c r="B481" s="245" t="s">
        <v>1179</v>
      </c>
      <c r="C481" s="245" t="s">
        <v>693</v>
      </c>
      <c r="D481" s="245" t="s">
        <v>694</v>
      </c>
      <c r="E481" s="245" t="s">
        <v>744</v>
      </c>
      <c r="F481" s="245" t="s">
        <v>707</v>
      </c>
      <c r="G481" s="245" t="s">
        <v>865</v>
      </c>
      <c r="H481" s="245" t="s">
        <v>698</v>
      </c>
      <c r="I481" s="245" t="s">
        <v>689</v>
      </c>
      <c r="J481" s="245" t="s">
        <v>691</v>
      </c>
    </row>
    <row r="482" spans="1:10" x14ac:dyDescent="0.25">
      <c r="A482" s="245">
        <v>481</v>
      </c>
      <c r="B482" s="245" t="s">
        <v>1180</v>
      </c>
      <c r="C482" s="245" t="s">
        <v>707</v>
      </c>
      <c r="D482" s="245" t="s">
        <v>689</v>
      </c>
      <c r="E482" s="245" t="s">
        <v>744</v>
      </c>
      <c r="F482" s="245" t="s">
        <v>698</v>
      </c>
      <c r="G482" s="245" t="s">
        <v>865</v>
      </c>
      <c r="H482" s="245" t="s">
        <v>692</v>
      </c>
      <c r="I482" s="245" t="s">
        <v>695</v>
      </c>
      <c r="J482" s="245" t="s">
        <v>696</v>
      </c>
    </row>
    <row r="483" spans="1:10" x14ac:dyDescent="0.25">
      <c r="A483" s="245">
        <v>482</v>
      </c>
      <c r="B483" s="245" t="s">
        <v>1181</v>
      </c>
      <c r="C483" s="245" t="s">
        <v>707</v>
      </c>
      <c r="D483" s="245" t="s">
        <v>690</v>
      </c>
      <c r="E483" s="245" t="s">
        <v>744</v>
      </c>
      <c r="F483" s="245" t="s">
        <v>698</v>
      </c>
      <c r="G483" s="245" t="s">
        <v>865</v>
      </c>
      <c r="H483" s="245" t="s">
        <v>692</v>
      </c>
      <c r="I483" s="245" t="s">
        <v>695</v>
      </c>
      <c r="J483" s="245" t="s">
        <v>689</v>
      </c>
    </row>
    <row r="484" spans="1:10" x14ac:dyDescent="0.25">
      <c r="A484" s="245">
        <v>483</v>
      </c>
      <c r="B484" s="245" t="s">
        <v>1182</v>
      </c>
      <c r="C484" s="245" t="s">
        <v>707</v>
      </c>
      <c r="D484" s="245" t="s">
        <v>690</v>
      </c>
      <c r="E484" s="245" t="s">
        <v>744</v>
      </c>
      <c r="F484" s="245" t="s">
        <v>698</v>
      </c>
      <c r="G484" s="245" t="s">
        <v>865</v>
      </c>
      <c r="H484" s="245" t="s">
        <v>692</v>
      </c>
      <c r="I484" s="245" t="s">
        <v>689</v>
      </c>
      <c r="J484" s="245" t="s">
        <v>696</v>
      </c>
    </row>
    <row r="485" spans="1:10" x14ac:dyDescent="0.25">
      <c r="A485" s="245">
        <v>484</v>
      </c>
      <c r="B485" s="245" t="s">
        <v>1183</v>
      </c>
      <c r="C485" s="245" t="s">
        <v>707</v>
      </c>
      <c r="D485" s="245" t="s">
        <v>689</v>
      </c>
      <c r="E485" s="245" t="s">
        <v>744</v>
      </c>
      <c r="F485" s="245" t="s">
        <v>698</v>
      </c>
      <c r="G485" s="245" t="s">
        <v>865</v>
      </c>
      <c r="H485" s="245" t="s">
        <v>692</v>
      </c>
      <c r="I485" s="245" t="s">
        <v>695</v>
      </c>
      <c r="J485" s="245" t="s">
        <v>691</v>
      </c>
    </row>
    <row r="486" spans="1:10" x14ac:dyDescent="0.25">
      <c r="A486" s="245">
        <v>485</v>
      </c>
      <c r="B486" s="245" t="s">
        <v>1184</v>
      </c>
      <c r="C486" s="245" t="s">
        <v>707</v>
      </c>
      <c r="D486" s="245" t="s">
        <v>689</v>
      </c>
      <c r="E486" s="245" t="s">
        <v>744</v>
      </c>
      <c r="F486" s="245" t="s">
        <v>698</v>
      </c>
      <c r="G486" s="245" t="s">
        <v>865</v>
      </c>
      <c r="H486" s="245" t="s">
        <v>692</v>
      </c>
      <c r="I486" s="245" t="s">
        <v>691</v>
      </c>
      <c r="J486" s="245" t="s">
        <v>696</v>
      </c>
    </row>
    <row r="487" spans="1:10" x14ac:dyDescent="0.25">
      <c r="A487" s="245">
        <v>486</v>
      </c>
      <c r="B487" s="245" t="s">
        <v>1185</v>
      </c>
      <c r="C487" s="245" t="s">
        <v>707</v>
      </c>
      <c r="D487" s="245" t="s">
        <v>690</v>
      </c>
      <c r="E487" s="245" t="s">
        <v>744</v>
      </c>
      <c r="F487" s="245" t="s">
        <v>698</v>
      </c>
      <c r="G487" s="245" t="s">
        <v>865</v>
      </c>
      <c r="H487" s="245" t="s">
        <v>692</v>
      </c>
      <c r="I487" s="245" t="s">
        <v>689</v>
      </c>
      <c r="J487" s="245" t="s">
        <v>691</v>
      </c>
    </row>
    <row r="488" spans="1:10" x14ac:dyDescent="0.25">
      <c r="A488" s="245">
        <v>487</v>
      </c>
      <c r="B488" s="245" t="s">
        <v>1186</v>
      </c>
      <c r="C488" s="245" t="s">
        <v>693</v>
      </c>
      <c r="D488" s="245" t="s">
        <v>692</v>
      </c>
      <c r="E488" s="245" t="s">
        <v>744</v>
      </c>
      <c r="F488" s="245" t="s">
        <v>707</v>
      </c>
      <c r="G488" s="245" t="s">
        <v>865</v>
      </c>
      <c r="H488" s="245" t="s">
        <v>698</v>
      </c>
      <c r="I488" s="245" t="s">
        <v>695</v>
      </c>
      <c r="J488" s="245" t="s">
        <v>689</v>
      </c>
    </row>
    <row r="489" spans="1:10" x14ac:dyDescent="0.25">
      <c r="A489" s="245">
        <v>488</v>
      </c>
      <c r="B489" s="245" t="s">
        <v>1187</v>
      </c>
      <c r="C489" s="245" t="s">
        <v>693</v>
      </c>
      <c r="D489" s="245" t="s">
        <v>689</v>
      </c>
      <c r="E489" s="245" t="s">
        <v>744</v>
      </c>
      <c r="F489" s="245" t="s">
        <v>707</v>
      </c>
      <c r="G489" s="245" t="s">
        <v>865</v>
      </c>
      <c r="H489" s="245" t="s">
        <v>692</v>
      </c>
      <c r="I489" s="245" t="s">
        <v>698</v>
      </c>
      <c r="J489" s="245" t="s">
        <v>696</v>
      </c>
    </row>
    <row r="490" spans="1:10" x14ac:dyDescent="0.25">
      <c r="A490" s="245">
        <v>489</v>
      </c>
      <c r="B490" s="245" t="s">
        <v>1188</v>
      </c>
      <c r="C490" s="245" t="s">
        <v>693</v>
      </c>
      <c r="D490" s="245" t="s">
        <v>690</v>
      </c>
      <c r="E490" s="245" t="s">
        <v>744</v>
      </c>
      <c r="F490" s="245" t="s">
        <v>707</v>
      </c>
      <c r="G490" s="245" t="s">
        <v>865</v>
      </c>
      <c r="H490" s="245" t="s">
        <v>692</v>
      </c>
      <c r="I490" s="245" t="s">
        <v>698</v>
      </c>
      <c r="J490" s="245" t="s">
        <v>689</v>
      </c>
    </row>
    <row r="491" spans="1:10" x14ac:dyDescent="0.25">
      <c r="A491" s="245">
        <v>490</v>
      </c>
      <c r="B491" s="245" t="s">
        <v>1189</v>
      </c>
      <c r="C491" s="245" t="s">
        <v>693</v>
      </c>
      <c r="D491" s="245" t="s">
        <v>689</v>
      </c>
      <c r="E491" s="245" t="s">
        <v>744</v>
      </c>
      <c r="F491" s="245" t="s">
        <v>707</v>
      </c>
      <c r="G491" s="245" t="s">
        <v>865</v>
      </c>
      <c r="H491" s="245" t="s">
        <v>692</v>
      </c>
      <c r="I491" s="245" t="s">
        <v>698</v>
      </c>
      <c r="J491" s="245" t="s">
        <v>691</v>
      </c>
    </row>
    <row r="492" spans="1:10" x14ac:dyDescent="0.25">
      <c r="A492" s="245">
        <v>491</v>
      </c>
      <c r="B492" s="245" t="s">
        <v>1190</v>
      </c>
      <c r="C492" s="245" t="s">
        <v>707</v>
      </c>
      <c r="D492" s="245" t="s">
        <v>694</v>
      </c>
      <c r="E492" s="245" t="s">
        <v>744</v>
      </c>
      <c r="F492" s="245" t="s">
        <v>698</v>
      </c>
      <c r="G492" s="245" t="s">
        <v>865</v>
      </c>
      <c r="H492" s="245" t="s">
        <v>692</v>
      </c>
      <c r="I492" s="245" t="s">
        <v>695</v>
      </c>
      <c r="J492" s="245" t="s">
        <v>689</v>
      </c>
    </row>
    <row r="493" spans="1:10" x14ac:dyDescent="0.25">
      <c r="A493" s="245">
        <v>492</v>
      </c>
      <c r="B493" s="245" t="s">
        <v>1191</v>
      </c>
      <c r="C493" s="245" t="s">
        <v>707</v>
      </c>
      <c r="D493" s="245" t="s">
        <v>694</v>
      </c>
      <c r="E493" s="245" t="s">
        <v>744</v>
      </c>
      <c r="F493" s="245" t="s">
        <v>698</v>
      </c>
      <c r="G493" s="245" t="s">
        <v>865</v>
      </c>
      <c r="H493" s="245" t="s">
        <v>692</v>
      </c>
      <c r="I493" s="245" t="s">
        <v>689</v>
      </c>
      <c r="J493" s="245" t="s">
        <v>696</v>
      </c>
    </row>
    <row r="494" spans="1:10" x14ac:dyDescent="0.25">
      <c r="A494" s="245">
        <v>493</v>
      </c>
      <c r="B494" s="245" t="s">
        <v>1192</v>
      </c>
      <c r="C494" s="245" t="s">
        <v>707</v>
      </c>
      <c r="D494" s="245" t="s">
        <v>694</v>
      </c>
      <c r="E494" s="245" t="s">
        <v>744</v>
      </c>
      <c r="F494" s="245" t="s">
        <v>698</v>
      </c>
      <c r="G494" s="245" t="s">
        <v>865</v>
      </c>
      <c r="H494" s="245" t="s">
        <v>692</v>
      </c>
      <c r="I494" s="245" t="s">
        <v>689</v>
      </c>
      <c r="J494" s="245" t="s">
        <v>690</v>
      </c>
    </row>
    <row r="495" spans="1:10" x14ac:dyDescent="0.25">
      <c r="A495" s="245">
        <v>494</v>
      </c>
      <c r="B495" s="245" t="s">
        <v>1193</v>
      </c>
      <c r="C495" s="245" t="s">
        <v>707</v>
      </c>
      <c r="D495" s="245" t="s">
        <v>694</v>
      </c>
      <c r="E495" s="245" t="s">
        <v>744</v>
      </c>
      <c r="F495" s="245" t="s">
        <v>698</v>
      </c>
      <c r="G495" s="245" t="s">
        <v>865</v>
      </c>
      <c r="H495" s="245" t="s">
        <v>692</v>
      </c>
      <c r="I495" s="245" t="s">
        <v>689</v>
      </c>
      <c r="J495" s="245" t="s">
        <v>691</v>
      </c>
    </row>
    <row r="496" spans="1:10" x14ac:dyDescent="0.25">
      <c r="A496" s="245">
        <v>495</v>
      </c>
      <c r="B496" s="245" t="s">
        <v>1194</v>
      </c>
      <c r="C496" s="245" t="s">
        <v>693</v>
      </c>
      <c r="D496" s="245" t="s">
        <v>694</v>
      </c>
      <c r="E496" s="245" t="s">
        <v>744</v>
      </c>
      <c r="F496" s="245" t="s">
        <v>707</v>
      </c>
      <c r="G496" s="245" t="s">
        <v>865</v>
      </c>
      <c r="H496" s="245" t="s">
        <v>692</v>
      </c>
      <c r="I496" s="245" t="s">
        <v>698</v>
      </c>
      <c r="J496" s="245" t="s">
        <v>689</v>
      </c>
    </row>
  </sheetData>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7D577-1EDC-461C-B15B-12510E7F166B}">
  <dimension ref="A1:Q1003"/>
  <sheetViews>
    <sheetView workbookViewId="0">
      <pane xSplit="1" ySplit="3" topLeftCell="B4" activePane="bottomRight" state="frozen"/>
      <selection activeCell="J3" sqref="J3"/>
      <selection pane="topRight" activeCell="J3" sqref="J3"/>
      <selection pane="bottomLeft" activeCell="J3" sqref="J3"/>
      <selection pane="bottomRight" activeCell="J3" sqref="J3"/>
    </sheetView>
  </sheetViews>
  <sheetFormatPr defaultColWidth="20.7109375" defaultRowHeight="14.25" x14ac:dyDescent="0.2"/>
  <cols>
    <col min="1" max="16384" width="20.7109375" style="481"/>
  </cols>
  <sheetData>
    <row r="1" spans="1:17" x14ac:dyDescent="0.2">
      <c r="A1" s="484">
        <v>0</v>
      </c>
      <c r="B1" s="485"/>
      <c r="C1" s="485"/>
      <c r="D1" s="485"/>
      <c r="E1" s="485"/>
      <c r="F1" s="485"/>
      <c r="G1" s="485"/>
      <c r="H1" s="485"/>
      <c r="I1" s="485"/>
      <c r="J1" s="485"/>
      <c r="K1" s="485"/>
      <c r="L1" s="485"/>
      <c r="M1" s="485"/>
      <c r="N1" s="485"/>
      <c r="O1" s="485"/>
      <c r="P1" s="485"/>
      <c r="Q1" s="486"/>
    </row>
    <row r="2" spans="1:17" x14ac:dyDescent="0.2">
      <c r="A2" s="487">
        <v>16</v>
      </c>
      <c r="B2" s="482" t="s">
        <v>323</v>
      </c>
      <c r="C2" s="482" t="s">
        <v>336</v>
      </c>
      <c r="D2" s="482" t="s">
        <v>677</v>
      </c>
      <c r="E2" s="482" t="s">
        <v>1351</v>
      </c>
      <c r="F2" s="482" t="s">
        <v>303</v>
      </c>
      <c r="G2" s="482" t="s">
        <v>312</v>
      </c>
      <c r="H2" s="482" t="s">
        <v>313</v>
      </c>
      <c r="I2" s="482" t="s">
        <v>314</v>
      </c>
      <c r="J2" s="482" t="s">
        <v>315</v>
      </c>
      <c r="K2" s="482" t="s">
        <v>316</v>
      </c>
      <c r="L2" s="482" t="s">
        <v>317</v>
      </c>
      <c r="M2" s="482" t="s">
        <v>318</v>
      </c>
      <c r="N2" s="482" t="s">
        <v>527</v>
      </c>
      <c r="O2" s="482" t="s">
        <v>528</v>
      </c>
      <c r="P2" s="482" t="s">
        <v>529</v>
      </c>
      <c r="Q2" s="488" t="s">
        <v>530</v>
      </c>
    </row>
    <row r="3" spans="1:17" x14ac:dyDescent="0.2">
      <c r="A3" s="493" t="str">
        <f ca="1">CHOOSE(A2,Forecast!E199,Forecast!J199,Forecast!E190,Forecast!J190,FGrpA!B45,FGrpB!B45,FGrpC!B45,FGrpD!B45,FGrpE!B45,FGrpF!B45,FGrpG!B45,FGrpH!B45,FGrpI!B45,FGrpJ!B45,FGrpK!B45,FGrpL!B45)</f>
        <v>England</v>
      </c>
      <c r="B3" s="494">
        <v>1</v>
      </c>
      <c r="C3" s="494">
        <v>2</v>
      </c>
      <c r="D3" s="494">
        <v>3</v>
      </c>
      <c r="E3" s="494">
        <v>4</v>
      </c>
      <c r="F3" s="494">
        <v>5</v>
      </c>
      <c r="G3" s="494">
        <v>6</v>
      </c>
      <c r="H3" s="494">
        <v>7</v>
      </c>
      <c r="I3" s="494">
        <v>8</v>
      </c>
      <c r="J3" s="494">
        <v>9</v>
      </c>
      <c r="K3" s="494">
        <v>10</v>
      </c>
      <c r="L3" s="494">
        <v>11</v>
      </c>
      <c r="M3" s="494">
        <v>12</v>
      </c>
      <c r="N3" s="494">
        <v>13</v>
      </c>
      <c r="O3" s="494">
        <v>14</v>
      </c>
      <c r="P3" s="494">
        <v>15</v>
      </c>
      <c r="Q3" s="495">
        <v>16</v>
      </c>
    </row>
    <row r="4" spans="1:17" x14ac:dyDescent="0.2">
      <c r="A4" s="489">
        <v>1</v>
      </c>
      <c r="B4" s="481" t="str">
        <f t="dataTable" ref="B4:Q1003" dt2D="1" dtr="1" r1="A2" r2="A1" ca="1"/>
        <v>Portugal</v>
      </c>
      <c r="C4" s="481" t="str">
        <v>Croatia</v>
      </c>
      <c r="D4" s="481" t="str">
        <v>France</v>
      </c>
      <c r="E4" s="481" t="str">
        <v>Brazil</v>
      </c>
      <c r="F4" s="481" t="str">
        <v>Korea Republic</v>
      </c>
      <c r="G4" s="481" t="str">
        <v>Switzerland</v>
      </c>
      <c r="H4" s="481" t="str">
        <v>Brazil</v>
      </c>
      <c r="I4" s="481" t="str">
        <v>Australia</v>
      </c>
      <c r="J4" s="481" t="str">
        <v>Germany</v>
      </c>
      <c r="K4" s="481" t="str">
        <v>Netherlands</v>
      </c>
      <c r="L4" s="481" t="str">
        <v>Belgium</v>
      </c>
      <c r="M4" s="481" t="str">
        <v>Spain</v>
      </c>
      <c r="N4" s="481" t="str">
        <v>France</v>
      </c>
      <c r="O4" s="481" t="str">
        <v>Argentina</v>
      </c>
      <c r="P4" s="481" t="str">
        <v>Colombia</v>
      </c>
      <c r="Q4" s="490" t="str">
        <v>England</v>
      </c>
    </row>
    <row r="5" spans="1:17" x14ac:dyDescent="0.2">
      <c r="A5" s="489">
        <v>2</v>
      </c>
      <c r="B5" s="481" t="str">
        <v>Germany</v>
      </c>
      <c r="C5" s="481" t="str">
        <v>Brazil</v>
      </c>
      <c r="D5" s="481" t="str">
        <v>Canada</v>
      </c>
      <c r="E5" s="481" t="str">
        <v>Spain</v>
      </c>
      <c r="F5" s="481" t="str">
        <v>Mexico</v>
      </c>
      <c r="G5" s="481" t="str">
        <v>Qatar</v>
      </c>
      <c r="H5" s="481" t="str">
        <v>Brazil</v>
      </c>
      <c r="I5" s="481" t="str">
        <v>Australia</v>
      </c>
      <c r="J5" s="481" t="str">
        <v>Germany</v>
      </c>
      <c r="K5" s="481" t="str">
        <v>Tunisia</v>
      </c>
      <c r="L5" s="481" t="str">
        <v>Belgium</v>
      </c>
      <c r="M5" s="481" t="str">
        <v>Spain</v>
      </c>
      <c r="N5" s="481" t="str">
        <v>Norway</v>
      </c>
      <c r="O5" s="481" t="str">
        <v>Argentina</v>
      </c>
      <c r="P5" s="481" t="str">
        <v>Portugal</v>
      </c>
      <c r="Q5" s="490" t="str">
        <v>England</v>
      </c>
    </row>
    <row r="6" spans="1:17" x14ac:dyDescent="0.2">
      <c r="A6" s="489">
        <v>3</v>
      </c>
      <c r="B6" s="481" t="str">
        <v>Brazil</v>
      </c>
      <c r="C6" s="481" t="str">
        <v>England</v>
      </c>
      <c r="D6" s="481" t="str">
        <v>France</v>
      </c>
      <c r="E6" s="481" t="str">
        <v>Germany</v>
      </c>
      <c r="F6" s="481" t="str">
        <v>Mexico</v>
      </c>
      <c r="G6" s="481" t="str">
        <v>Qatar</v>
      </c>
      <c r="H6" s="481" t="str">
        <v>Brazil</v>
      </c>
      <c r="I6" s="481" t="str">
        <v>Paraguay</v>
      </c>
      <c r="J6" s="481" t="str">
        <v>Germany</v>
      </c>
      <c r="K6" s="481" t="str">
        <v>Japan</v>
      </c>
      <c r="L6" s="481" t="str">
        <v>Belgium</v>
      </c>
      <c r="M6" s="481" t="str">
        <v>Uruguay</v>
      </c>
      <c r="N6" s="481" t="str">
        <v>France</v>
      </c>
      <c r="O6" s="481" t="str">
        <v>Argentina</v>
      </c>
      <c r="P6" s="481" t="str">
        <v>Portugal</v>
      </c>
      <c r="Q6" s="490" t="str">
        <v>England</v>
      </c>
    </row>
    <row r="7" spans="1:17" x14ac:dyDescent="0.2">
      <c r="A7" s="489">
        <v>4</v>
      </c>
      <c r="B7" s="481" t="str">
        <v>Colombia</v>
      </c>
      <c r="C7" s="481" t="str">
        <v>Spain</v>
      </c>
      <c r="D7" s="481" t="str">
        <v>Switzerland</v>
      </c>
      <c r="E7" s="481" t="str">
        <v>Brazil</v>
      </c>
      <c r="F7" s="481" t="str">
        <v>Mexico</v>
      </c>
      <c r="G7" s="481" t="str">
        <v>Canada</v>
      </c>
      <c r="H7" s="481" t="str">
        <v>Morocco</v>
      </c>
      <c r="I7" s="481" t="str">
        <v>USA</v>
      </c>
      <c r="J7" s="481" t="str">
        <v>Germany</v>
      </c>
      <c r="K7" s="481" t="str">
        <v>Netherlands</v>
      </c>
      <c r="L7" s="481" t="str">
        <v>Belgium</v>
      </c>
      <c r="M7" s="481" t="str">
        <v>Uruguay</v>
      </c>
      <c r="N7" s="481" t="str">
        <v>France</v>
      </c>
      <c r="O7" s="481" t="str">
        <v>Austria</v>
      </c>
      <c r="P7" s="481" t="str">
        <v>Portugal</v>
      </c>
      <c r="Q7" s="490" t="str">
        <v>England</v>
      </c>
    </row>
    <row r="8" spans="1:17" x14ac:dyDescent="0.2">
      <c r="A8" s="489">
        <v>5</v>
      </c>
      <c r="B8" s="481" t="str">
        <v>Germany</v>
      </c>
      <c r="C8" s="481" t="str">
        <v>Germany</v>
      </c>
      <c r="D8" s="481" t="str">
        <v>Mexico</v>
      </c>
      <c r="E8" s="481" t="str">
        <v>Portugal</v>
      </c>
      <c r="F8" s="481" t="str">
        <v>Mexico</v>
      </c>
      <c r="G8" s="481" t="str">
        <v>Switzerland</v>
      </c>
      <c r="H8" s="481" t="str">
        <v>Brazil</v>
      </c>
      <c r="I8" s="481" t="str">
        <v>Australia</v>
      </c>
      <c r="J8" s="481" t="str">
        <v>Germany</v>
      </c>
      <c r="K8" s="481" t="str">
        <v>Japan</v>
      </c>
      <c r="L8" s="481" t="str">
        <v>Belgium</v>
      </c>
      <c r="M8" s="481" t="str">
        <v>Spain</v>
      </c>
      <c r="N8" s="481" t="str">
        <v>Senegal</v>
      </c>
      <c r="O8" s="481" t="str">
        <v>Argentina</v>
      </c>
      <c r="P8" s="481" t="str">
        <v>Portugal</v>
      </c>
      <c r="Q8" s="490" t="str">
        <v>Croatia</v>
      </c>
    </row>
    <row r="9" spans="1:17" x14ac:dyDescent="0.2">
      <c r="A9" s="489">
        <v>6</v>
      </c>
      <c r="B9" s="481" t="str">
        <v>Argentina</v>
      </c>
      <c r="C9" s="481" t="str">
        <v>Belgium</v>
      </c>
      <c r="D9" s="481" t="str">
        <v>Spain</v>
      </c>
      <c r="E9" s="481" t="str">
        <v>Senegal</v>
      </c>
      <c r="F9" s="481" t="str">
        <v>Korea Republic</v>
      </c>
      <c r="G9" s="481" t="str">
        <v>Canada</v>
      </c>
      <c r="H9" s="481" t="str">
        <v>Morocco</v>
      </c>
      <c r="I9" s="481" t="str">
        <v>Paraguay</v>
      </c>
      <c r="J9" s="481" t="str">
        <v>Germany</v>
      </c>
      <c r="K9" s="481" t="str">
        <v>Netherlands</v>
      </c>
      <c r="L9" s="481" t="str">
        <v>IR Iran</v>
      </c>
      <c r="M9" s="481" t="str">
        <v>Uruguay</v>
      </c>
      <c r="N9" s="481" t="str">
        <v>France</v>
      </c>
      <c r="O9" s="481" t="str">
        <v>Argentina</v>
      </c>
      <c r="P9" s="481" t="str">
        <v>Portugal</v>
      </c>
      <c r="Q9" s="490" t="str">
        <v>Croatia</v>
      </c>
    </row>
    <row r="10" spans="1:17" x14ac:dyDescent="0.2">
      <c r="A10" s="489">
        <v>7</v>
      </c>
      <c r="B10" s="481" t="str">
        <v>Spain</v>
      </c>
      <c r="C10" s="481" t="str">
        <v>Scotland</v>
      </c>
      <c r="D10" s="481" t="str">
        <v>Spain</v>
      </c>
      <c r="E10" s="481" t="str">
        <v>Colombia</v>
      </c>
      <c r="F10" s="481" t="str">
        <v>Mexico</v>
      </c>
      <c r="G10" s="481" t="str">
        <v>Switzerland</v>
      </c>
      <c r="H10" s="481" t="str">
        <v>Morocco</v>
      </c>
      <c r="I10" s="481" t="str">
        <v>Australia</v>
      </c>
      <c r="J10" s="481" t="str">
        <v>Cote d'Ivorie</v>
      </c>
      <c r="K10" s="481" t="str">
        <v>Netherlands</v>
      </c>
      <c r="L10" s="481" t="str">
        <v>IR Iran</v>
      </c>
      <c r="M10" s="481" t="str">
        <v>Spain</v>
      </c>
      <c r="N10" s="481" t="str">
        <v>France</v>
      </c>
      <c r="O10" s="481" t="str">
        <v>Argentina</v>
      </c>
      <c r="P10" s="481" t="str">
        <v>Portugal</v>
      </c>
      <c r="Q10" s="490" t="str">
        <v>England</v>
      </c>
    </row>
    <row r="11" spans="1:17" x14ac:dyDescent="0.2">
      <c r="A11" s="489">
        <v>8</v>
      </c>
      <c r="B11" s="481" t="str">
        <v>Portugal</v>
      </c>
      <c r="C11" s="481" t="str">
        <v>Belgium</v>
      </c>
      <c r="D11" s="481" t="str">
        <v>Brazil</v>
      </c>
      <c r="E11" s="481" t="str">
        <v>Brazil</v>
      </c>
      <c r="F11" s="481" t="str">
        <v>Korea Republic</v>
      </c>
      <c r="G11" s="481" t="str">
        <v>Canada</v>
      </c>
      <c r="H11" s="481" t="str">
        <v>Morocco</v>
      </c>
      <c r="I11" s="481" t="str">
        <v>USA</v>
      </c>
      <c r="J11" s="481" t="str">
        <v>Germany</v>
      </c>
      <c r="K11" s="481" t="str">
        <v>Netherlands</v>
      </c>
      <c r="L11" s="481" t="str">
        <v>Belgium</v>
      </c>
      <c r="M11" s="481" t="str">
        <v>Spain</v>
      </c>
      <c r="N11" s="481" t="str">
        <v>France</v>
      </c>
      <c r="O11" s="481" t="str">
        <v>Algeria</v>
      </c>
      <c r="P11" s="481" t="str">
        <v>Colombia</v>
      </c>
      <c r="Q11" s="490" t="str">
        <v>Croatia</v>
      </c>
    </row>
    <row r="12" spans="1:17" x14ac:dyDescent="0.2">
      <c r="A12" s="489">
        <v>9</v>
      </c>
      <c r="B12" s="481" t="str">
        <v>England</v>
      </c>
      <c r="C12" s="481" t="str">
        <v>Argentina</v>
      </c>
      <c r="D12" s="481" t="str">
        <v>Netherlands</v>
      </c>
      <c r="E12" s="481" t="str">
        <v>Croatia</v>
      </c>
      <c r="F12" s="481" t="str">
        <v>Mexico</v>
      </c>
      <c r="G12" s="481" t="str">
        <v>Switzerland</v>
      </c>
      <c r="H12" s="481" t="str">
        <v>Brazil</v>
      </c>
      <c r="I12" s="481" t="str">
        <v>USA</v>
      </c>
      <c r="J12" s="481" t="str">
        <v>Germany</v>
      </c>
      <c r="K12" s="481" t="str">
        <v>Japan</v>
      </c>
      <c r="L12" s="481" t="str">
        <v>Belgium</v>
      </c>
      <c r="M12" s="481" t="str">
        <v>Spain</v>
      </c>
      <c r="N12" s="481" t="str">
        <v>France</v>
      </c>
      <c r="O12" s="481" t="str">
        <v>Argentina</v>
      </c>
      <c r="P12" s="481" t="str">
        <v>Portugal</v>
      </c>
      <c r="Q12" s="490" t="str">
        <v>Croatia</v>
      </c>
    </row>
    <row r="13" spans="1:17" x14ac:dyDescent="0.2">
      <c r="A13" s="489">
        <v>10</v>
      </c>
      <c r="B13" s="481" t="str">
        <v>Argentina</v>
      </c>
      <c r="C13" s="481" t="str">
        <v>France</v>
      </c>
      <c r="D13" s="481" t="str">
        <v>Germany</v>
      </c>
      <c r="E13" s="481" t="str">
        <v>Netherlands</v>
      </c>
      <c r="F13" s="481" t="str">
        <v>Korea Republic</v>
      </c>
      <c r="G13" s="481" t="str">
        <v>Switzerland</v>
      </c>
      <c r="H13" s="481" t="str">
        <v>Scotland</v>
      </c>
      <c r="I13" s="481" t="str">
        <v>USA</v>
      </c>
      <c r="J13" s="481" t="str">
        <v>Cote d'Ivorie</v>
      </c>
      <c r="K13" s="481" t="str">
        <v>Japan</v>
      </c>
      <c r="L13" s="481" t="str">
        <v>IR Iran</v>
      </c>
      <c r="M13" s="481" t="str">
        <v>Uruguay</v>
      </c>
      <c r="N13" s="481" t="str">
        <v>Norway</v>
      </c>
      <c r="O13" s="481" t="str">
        <v>Algeria</v>
      </c>
      <c r="P13" s="481" t="str">
        <v>Portugal</v>
      </c>
      <c r="Q13" s="490" t="str">
        <v>England</v>
      </c>
    </row>
    <row r="14" spans="1:17" x14ac:dyDescent="0.2">
      <c r="A14" s="489">
        <v>11</v>
      </c>
      <c r="B14" s="481" t="str">
        <v>Portugal</v>
      </c>
      <c r="C14" s="481" t="str">
        <v>Argentina</v>
      </c>
      <c r="D14" s="481" t="str">
        <v>Spain</v>
      </c>
      <c r="E14" s="481" t="str">
        <v>Argentina</v>
      </c>
      <c r="F14" s="481" t="str">
        <v>Mexico</v>
      </c>
      <c r="G14" s="481" t="str">
        <v>Qatar</v>
      </c>
      <c r="H14" s="481" t="str">
        <v>Scotland</v>
      </c>
      <c r="I14" s="481" t="str">
        <v>Turkiye</v>
      </c>
      <c r="J14" s="481" t="str">
        <v>Germany</v>
      </c>
      <c r="K14" s="481" t="str">
        <v>Netherlands</v>
      </c>
      <c r="L14" s="481" t="str">
        <v>Egypt</v>
      </c>
      <c r="M14" s="481" t="str">
        <v>Spain</v>
      </c>
      <c r="N14" s="481" t="str">
        <v>Senegal</v>
      </c>
      <c r="O14" s="481" t="str">
        <v>Argentina</v>
      </c>
      <c r="P14" s="481" t="str">
        <v>Portugal</v>
      </c>
      <c r="Q14" s="490" t="str">
        <v>England</v>
      </c>
    </row>
    <row r="15" spans="1:17" x14ac:dyDescent="0.2">
      <c r="A15" s="489">
        <v>12</v>
      </c>
      <c r="B15" s="481" t="str">
        <v>France</v>
      </c>
      <c r="C15" s="481" t="str">
        <v>Spain</v>
      </c>
      <c r="D15" s="481" t="str">
        <v>Netherlands</v>
      </c>
      <c r="E15" s="481" t="str">
        <v>Mexico</v>
      </c>
      <c r="F15" s="481" t="str">
        <v>Mexico</v>
      </c>
      <c r="G15" s="481" t="str">
        <v>Switzerland</v>
      </c>
      <c r="H15" s="481" t="str">
        <v>Scotland</v>
      </c>
      <c r="I15" s="481" t="str">
        <v>USA</v>
      </c>
      <c r="J15" s="481" t="str">
        <v>Germany</v>
      </c>
      <c r="K15" s="481" t="str">
        <v>Japan</v>
      </c>
      <c r="L15" s="481" t="str">
        <v>Belgium</v>
      </c>
      <c r="M15" s="481" t="str">
        <v>Uruguay</v>
      </c>
      <c r="N15" s="481" t="str">
        <v>France</v>
      </c>
      <c r="O15" s="481" t="str">
        <v>Argentina</v>
      </c>
      <c r="P15" s="481" t="str">
        <v>Uzbekistan</v>
      </c>
      <c r="Q15" s="490" t="str">
        <v>Croatia</v>
      </c>
    </row>
    <row r="16" spans="1:17" x14ac:dyDescent="0.2">
      <c r="A16" s="489">
        <v>13</v>
      </c>
      <c r="B16" s="481" t="str">
        <v>Senegal</v>
      </c>
      <c r="C16" s="481" t="str">
        <v>Switzerland</v>
      </c>
      <c r="D16" s="481" t="str">
        <v>USA</v>
      </c>
      <c r="E16" s="481" t="str">
        <v>France</v>
      </c>
      <c r="F16" s="481" t="str">
        <v>Korea Republic</v>
      </c>
      <c r="G16" s="481" t="str">
        <v>Canada</v>
      </c>
      <c r="H16" s="481" t="str">
        <v>Scotland</v>
      </c>
      <c r="I16" s="481" t="str">
        <v>Turkiye</v>
      </c>
      <c r="J16" s="481" t="str">
        <v>Germany</v>
      </c>
      <c r="K16" s="481" t="str">
        <v>Netherlands</v>
      </c>
      <c r="L16" s="481" t="str">
        <v>Belgium</v>
      </c>
      <c r="M16" s="481" t="str">
        <v>Spain</v>
      </c>
      <c r="N16" s="481" t="str">
        <v>Senegal</v>
      </c>
      <c r="O16" s="481" t="str">
        <v>Argentina</v>
      </c>
      <c r="P16" s="481" t="str">
        <v>Portugal</v>
      </c>
      <c r="Q16" s="490" t="str">
        <v>England</v>
      </c>
    </row>
    <row r="17" spans="1:17" x14ac:dyDescent="0.2">
      <c r="A17" s="489">
        <v>14</v>
      </c>
      <c r="B17" s="481" t="str">
        <v>Brazil</v>
      </c>
      <c r="C17" s="481" t="str">
        <v>Germany</v>
      </c>
      <c r="D17" s="481" t="str">
        <v>Brazil</v>
      </c>
      <c r="E17" s="481" t="str">
        <v>Scotland</v>
      </c>
      <c r="F17" s="481" t="str">
        <v>Mexico</v>
      </c>
      <c r="G17" s="481" t="str">
        <v>Canada</v>
      </c>
      <c r="H17" s="481" t="str">
        <v>Brazil</v>
      </c>
      <c r="I17" s="481" t="str">
        <v>USA</v>
      </c>
      <c r="J17" s="481" t="str">
        <v>Germany</v>
      </c>
      <c r="K17" s="481" t="str">
        <v>Netherlands</v>
      </c>
      <c r="L17" s="481" t="str">
        <v>IR Iran</v>
      </c>
      <c r="M17" s="481" t="str">
        <v>Spain</v>
      </c>
      <c r="N17" s="481" t="str">
        <v>France</v>
      </c>
      <c r="O17" s="481" t="str">
        <v>Argentina</v>
      </c>
      <c r="P17" s="481" t="str">
        <v>Colombia</v>
      </c>
      <c r="Q17" s="490" t="str">
        <v>Croatia</v>
      </c>
    </row>
    <row r="18" spans="1:17" x14ac:dyDescent="0.2">
      <c r="A18" s="489">
        <v>15</v>
      </c>
      <c r="B18" s="481" t="str">
        <v>Belgium</v>
      </c>
      <c r="C18" s="481" t="str">
        <v>Egypt</v>
      </c>
      <c r="D18" s="481" t="str">
        <v>England</v>
      </c>
      <c r="E18" s="481" t="str">
        <v>Uruguay</v>
      </c>
      <c r="F18" s="481" t="str">
        <v>Mexico</v>
      </c>
      <c r="G18" s="481" t="str">
        <v>Switzerland</v>
      </c>
      <c r="H18" s="481" t="str">
        <v>Morocco</v>
      </c>
      <c r="I18" s="481" t="str">
        <v>Australia</v>
      </c>
      <c r="J18" s="481" t="str">
        <v>Germany</v>
      </c>
      <c r="K18" s="481" t="str">
        <v>Sweden</v>
      </c>
      <c r="L18" s="481" t="str">
        <v>Belgium</v>
      </c>
      <c r="M18" s="481" t="str">
        <v>Spain</v>
      </c>
      <c r="N18" s="481" t="str">
        <v>France</v>
      </c>
      <c r="O18" s="481" t="str">
        <v>Argentina</v>
      </c>
      <c r="P18" s="481" t="str">
        <v>Portugal</v>
      </c>
      <c r="Q18" s="490" t="str">
        <v>England</v>
      </c>
    </row>
    <row r="19" spans="1:17" x14ac:dyDescent="0.2">
      <c r="A19" s="489">
        <v>16</v>
      </c>
      <c r="B19" s="481" t="str">
        <v>Brazil</v>
      </c>
      <c r="C19" s="481" t="str">
        <v>Argentina</v>
      </c>
      <c r="D19" s="481" t="str">
        <v>Germany</v>
      </c>
      <c r="E19" s="481" t="str">
        <v>Belgium</v>
      </c>
      <c r="F19" s="481" t="str">
        <v>Korea Republic</v>
      </c>
      <c r="G19" s="481" t="str">
        <v>Switzerland</v>
      </c>
      <c r="H19" s="481" t="str">
        <v>Brazil</v>
      </c>
      <c r="I19" s="481" t="str">
        <v>Turkiye</v>
      </c>
      <c r="J19" s="481" t="str">
        <v>Germany</v>
      </c>
      <c r="K19" s="481" t="str">
        <v>Netherlands</v>
      </c>
      <c r="L19" s="481" t="str">
        <v>Belgium</v>
      </c>
      <c r="M19" s="481" t="str">
        <v>Spain</v>
      </c>
      <c r="N19" s="481" t="str">
        <v>France</v>
      </c>
      <c r="O19" s="481" t="str">
        <v>Argentina</v>
      </c>
      <c r="P19" s="481" t="str">
        <v>Uzbekistan</v>
      </c>
      <c r="Q19" s="490" t="str">
        <v>Panama</v>
      </c>
    </row>
    <row r="20" spans="1:17" x14ac:dyDescent="0.2">
      <c r="A20" s="489">
        <v>17</v>
      </c>
      <c r="B20" s="481" t="str">
        <v>France</v>
      </c>
      <c r="C20" s="481" t="str">
        <v>Canada</v>
      </c>
      <c r="D20" s="481" t="str">
        <v>Brazil</v>
      </c>
      <c r="E20" s="481" t="str">
        <v>Colombia</v>
      </c>
      <c r="F20" s="481" t="str">
        <v>Czechia</v>
      </c>
      <c r="G20" s="481" t="str">
        <v>Qatar</v>
      </c>
      <c r="H20" s="481" t="str">
        <v>Scotland</v>
      </c>
      <c r="I20" s="481" t="str">
        <v>Turkiye</v>
      </c>
      <c r="J20" s="481" t="str">
        <v>Cote d'Ivorie</v>
      </c>
      <c r="K20" s="481" t="str">
        <v>Netherlands</v>
      </c>
      <c r="L20" s="481" t="str">
        <v>Egypt</v>
      </c>
      <c r="M20" s="481" t="str">
        <v>Uruguay</v>
      </c>
      <c r="N20" s="481" t="str">
        <v>France</v>
      </c>
      <c r="O20" s="481" t="str">
        <v>Argentina</v>
      </c>
      <c r="P20" s="481" t="str">
        <v>Portugal</v>
      </c>
      <c r="Q20" s="490" t="str">
        <v>Croatia</v>
      </c>
    </row>
    <row r="21" spans="1:17" x14ac:dyDescent="0.2">
      <c r="A21" s="489">
        <v>18</v>
      </c>
      <c r="B21" s="481" t="str">
        <v>France</v>
      </c>
      <c r="C21" s="481" t="str">
        <v>Germany</v>
      </c>
      <c r="D21" s="481" t="str">
        <v>Argentina</v>
      </c>
      <c r="E21" s="481" t="str">
        <v>Croatia</v>
      </c>
      <c r="F21" s="481" t="str">
        <v>Korea Republic</v>
      </c>
      <c r="G21" s="481" t="str">
        <v>Qatar</v>
      </c>
      <c r="H21" s="481" t="str">
        <v>Brazil</v>
      </c>
      <c r="I21" s="481" t="str">
        <v>USA</v>
      </c>
      <c r="J21" s="481" t="str">
        <v>Germany</v>
      </c>
      <c r="K21" s="481" t="str">
        <v>Japan</v>
      </c>
      <c r="L21" s="481" t="str">
        <v>Egypt</v>
      </c>
      <c r="M21" s="481" t="str">
        <v>Spain</v>
      </c>
      <c r="N21" s="481" t="str">
        <v>France</v>
      </c>
      <c r="O21" s="481" t="str">
        <v>Argentina</v>
      </c>
      <c r="P21" s="481" t="str">
        <v>Portugal</v>
      </c>
      <c r="Q21" s="490" t="str">
        <v>Panama</v>
      </c>
    </row>
    <row r="22" spans="1:17" x14ac:dyDescent="0.2">
      <c r="A22" s="489">
        <v>19</v>
      </c>
      <c r="B22" s="481" t="str">
        <v>Colombia</v>
      </c>
      <c r="C22" s="481" t="str">
        <v>Mexico</v>
      </c>
      <c r="D22" s="481" t="str">
        <v>Senegal</v>
      </c>
      <c r="E22" s="481" t="str">
        <v>Brazil</v>
      </c>
      <c r="F22" s="481" t="str">
        <v>Mexico</v>
      </c>
      <c r="G22" s="481" t="str">
        <v>Switzerland</v>
      </c>
      <c r="H22" s="481" t="str">
        <v>Brazil</v>
      </c>
      <c r="I22" s="481" t="str">
        <v>Australia</v>
      </c>
      <c r="J22" s="481" t="str">
        <v>Germany</v>
      </c>
      <c r="K22" s="481" t="str">
        <v>Sweden</v>
      </c>
      <c r="L22" s="481" t="str">
        <v>Egypt</v>
      </c>
      <c r="M22" s="481" t="str">
        <v>Spain</v>
      </c>
      <c r="N22" s="481" t="str">
        <v>France</v>
      </c>
      <c r="O22" s="481" t="str">
        <v>Argentina</v>
      </c>
      <c r="P22" s="481" t="str">
        <v>Colombia</v>
      </c>
      <c r="Q22" s="490" t="str">
        <v>Croatia</v>
      </c>
    </row>
    <row r="23" spans="1:17" x14ac:dyDescent="0.2">
      <c r="A23" s="489">
        <v>20</v>
      </c>
      <c r="B23" s="481" t="str">
        <v>France</v>
      </c>
      <c r="C23" s="481" t="str">
        <v>Belgium</v>
      </c>
      <c r="D23" s="481" t="str">
        <v>England</v>
      </c>
      <c r="E23" s="481" t="str">
        <v>France</v>
      </c>
      <c r="F23" s="481" t="str">
        <v>Mexico</v>
      </c>
      <c r="G23" s="481" t="str">
        <v>Switzerland</v>
      </c>
      <c r="H23" s="481" t="str">
        <v>Brazil</v>
      </c>
      <c r="I23" s="481" t="str">
        <v>USA</v>
      </c>
      <c r="J23" s="481" t="str">
        <v>Germany</v>
      </c>
      <c r="K23" s="481" t="str">
        <v>Netherlands</v>
      </c>
      <c r="L23" s="481" t="str">
        <v>Belgium</v>
      </c>
      <c r="M23" s="481" t="str">
        <v>Uruguay</v>
      </c>
      <c r="N23" s="481" t="str">
        <v>France</v>
      </c>
      <c r="O23" s="481" t="str">
        <v>Austria</v>
      </c>
      <c r="P23" s="481" t="str">
        <v>Portugal</v>
      </c>
      <c r="Q23" s="490" t="str">
        <v>England</v>
      </c>
    </row>
    <row r="24" spans="1:17" x14ac:dyDescent="0.2">
      <c r="A24" s="489">
        <v>21</v>
      </c>
      <c r="B24" s="481" t="str">
        <v>Brazil</v>
      </c>
      <c r="C24" s="481" t="str">
        <v>England</v>
      </c>
      <c r="D24" s="481" t="str">
        <v>France</v>
      </c>
      <c r="E24" s="481" t="str">
        <v>Argentina</v>
      </c>
      <c r="F24" s="481" t="str">
        <v>Mexico</v>
      </c>
      <c r="G24" s="481" t="str">
        <v>Switzerland</v>
      </c>
      <c r="H24" s="481" t="str">
        <v>Brazil</v>
      </c>
      <c r="I24" s="481" t="str">
        <v>USA</v>
      </c>
      <c r="J24" s="481" t="str">
        <v>Germany</v>
      </c>
      <c r="K24" s="481" t="str">
        <v>Netherlands</v>
      </c>
      <c r="L24" s="481" t="str">
        <v>Egypt</v>
      </c>
      <c r="M24" s="481" t="str">
        <v>Spain</v>
      </c>
      <c r="N24" s="481" t="str">
        <v>France</v>
      </c>
      <c r="O24" s="481" t="str">
        <v>Argentina</v>
      </c>
      <c r="P24" s="481" t="str">
        <v>Colombia</v>
      </c>
      <c r="Q24" s="490" t="str">
        <v>England</v>
      </c>
    </row>
    <row r="25" spans="1:17" x14ac:dyDescent="0.2">
      <c r="A25" s="489">
        <v>22</v>
      </c>
      <c r="B25" s="481" t="str">
        <v>IR Iran</v>
      </c>
      <c r="C25" s="481" t="str">
        <v>Belgium</v>
      </c>
      <c r="D25" s="481" t="str">
        <v>Paraguay</v>
      </c>
      <c r="E25" s="481" t="str">
        <v>Switzerland</v>
      </c>
      <c r="F25" s="481" t="str">
        <v>Mexico</v>
      </c>
      <c r="G25" s="481" t="str">
        <v>Switzerland</v>
      </c>
      <c r="H25" s="481" t="str">
        <v>Morocco</v>
      </c>
      <c r="I25" s="481" t="str">
        <v>USA</v>
      </c>
      <c r="J25" s="481" t="str">
        <v>Germany</v>
      </c>
      <c r="K25" s="481" t="str">
        <v>Sweden</v>
      </c>
      <c r="L25" s="481" t="str">
        <v>Belgium</v>
      </c>
      <c r="M25" s="481" t="str">
        <v>Spain</v>
      </c>
      <c r="N25" s="481" t="str">
        <v>France</v>
      </c>
      <c r="O25" s="481" t="str">
        <v>Argentina</v>
      </c>
      <c r="P25" s="481" t="str">
        <v>Portugal</v>
      </c>
      <c r="Q25" s="490" t="str">
        <v>England</v>
      </c>
    </row>
    <row r="26" spans="1:17" x14ac:dyDescent="0.2">
      <c r="A26" s="489">
        <v>23</v>
      </c>
      <c r="B26" s="481" t="str">
        <v>Uruguay</v>
      </c>
      <c r="C26" s="481" t="str">
        <v>England</v>
      </c>
      <c r="D26" s="481" t="str">
        <v>Portugal</v>
      </c>
      <c r="E26" s="481" t="str">
        <v>Panama</v>
      </c>
      <c r="F26" s="481" t="str">
        <v>Mexico</v>
      </c>
      <c r="G26" s="481" t="str">
        <v>Switzerland</v>
      </c>
      <c r="H26" s="481" t="str">
        <v>Brazil</v>
      </c>
      <c r="I26" s="481" t="str">
        <v>USA</v>
      </c>
      <c r="J26" s="481" t="str">
        <v>Germany</v>
      </c>
      <c r="K26" s="481" t="str">
        <v>Japan</v>
      </c>
      <c r="L26" s="481" t="str">
        <v>Belgium</v>
      </c>
      <c r="M26" s="481" t="str">
        <v>Uruguay</v>
      </c>
      <c r="N26" s="481" t="str">
        <v>Norway</v>
      </c>
      <c r="O26" s="481" t="str">
        <v>Austria</v>
      </c>
      <c r="P26" s="481" t="str">
        <v>Portugal</v>
      </c>
      <c r="Q26" s="490" t="str">
        <v>England</v>
      </c>
    </row>
    <row r="27" spans="1:17" x14ac:dyDescent="0.2">
      <c r="A27" s="489">
        <v>24</v>
      </c>
      <c r="B27" s="481" t="str">
        <v>Portugal</v>
      </c>
      <c r="C27" s="481" t="str">
        <v>Ecuador</v>
      </c>
      <c r="D27" s="481" t="str">
        <v>Germany</v>
      </c>
      <c r="E27" s="481" t="str">
        <v>Austria</v>
      </c>
      <c r="F27" s="481" t="str">
        <v>Korea Republic</v>
      </c>
      <c r="G27" s="481" t="str">
        <v>Qatar</v>
      </c>
      <c r="H27" s="481" t="str">
        <v>Morocco</v>
      </c>
      <c r="I27" s="481" t="str">
        <v>Australia</v>
      </c>
      <c r="J27" s="481" t="str">
        <v>Germany</v>
      </c>
      <c r="K27" s="481" t="str">
        <v>Sweden</v>
      </c>
      <c r="L27" s="481" t="str">
        <v>Belgium</v>
      </c>
      <c r="M27" s="481" t="str">
        <v>Spain</v>
      </c>
      <c r="N27" s="481" t="str">
        <v>France</v>
      </c>
      <c r="O27" s="481" t="str">
        <v>Austria</v>
      </c>
      <c r="P27" s="481" t="str">
        <v>Portugal</v>
      </c>
      <c r="Q27" s="490" t="str">
        <v>England</v>
      </c>
    </row>
    <row r="28" spans="1:17" x14ac:dyDescent="0.2">
      <c r="A28" s="489">
        <v>25</v>
      </c>
      <c r="B28" s="481" t="str">
        <v>Portugal</v>
      </c>
      <c r="C28" s="481" t="str">
        <v>Ecuador</v>
      </c>
      <c r="D28" s="481" t="str">
        <v>Mexico</v>
      </c>
      <c r="E28" s="481" t="str">
        <v>Norway</v>
      </c>
      <c r="F28" s="481" t="str">
        <v>Mexico</v>
      </c>
      <c r="G28" s="481" t="str">
        <v>Canada</v>
      </c>
      <c r="H28" s="481" t="str">
        <v>Brazil</v>
      </c>
      <c r="I28" s="481" t="str">
        <v>USA</v>
      </c>
      <c r="J28" s="481" t="str">
        <v>Cote d'Ivorie</v>
      </c>
      <c r="K28" s="481" t="str">
        <v>Japan</v>
      </c>
      <c r="L28" s="481" t="str">
        <v>Belgium</v>
      </c>
      <c r="M28" s="481" t="str">
        <v>Spain</v>
      </c>
      <c r="N28" s="481" t="str">
        <v>France</v>
      </c>
      <c r="O28" s="481" t="str">
        <v>Austria</v>
      </c>
      <c r="P28" s="481" t="str">
        <v>Portugal</v>
      </c>
      <c r="Q28" s="490" t="str">
        <v>England</v>
      </c>
    </row>
    <row r="29" spans="1:17" x14ac:dyDescent="0.2">
      <c r="A29" s="489">
        <v>26</v>
      </c>
      <c r="B29" s="481" t="str">
        <v>Spain</v>
      </c>
      <c r="C29" s="481" t="str">
        <v>Portugal</v>
      </c>
      <c r="D29" s="481" t="str">
        <v>France</v>
      </c>
      <c r="E29" s="481" t="str">
        <v>Colombia</v>
      </c>
      <c r="F29" s="481" t="str">
        <v>Mexico</v>
      </c>
      <c r="G29" s="481" t="str">
        <v>Switzerland</v>
      </c>
      <c r="H29" s="481" t="str">
        <v>Brazil</v>
      </c>
      <c r="I29" s="481" t="str">
        <v>USA</v>
      </c>
      <c r="J29" s="481" t="str">
        <v>Germany</v>
      </c>
      <c r="K29" s="481" t="str">
        <v>Sweden</v>
      </c>
      <c r="L29" s="481" t="str">
        <v>Belgium</v>
      </c>
      <c r="M29" s="481" t="str">
        <v>Cabo Verde</v>
      </c>
      <c r="N29" s="481" t="str">
        <v>France</v>
      </c>
      <c r="O29" s="481" t="str">
        <v>Argentina</v>
      </c>
      <c r="P29" s="481" t="str">
        <v>Colombia</v>
      </c>
      <c r="Q29" s="490" t="str">
        <v>England</v>
      </c>
    </row>
    <row r="30" spans="1:17" x14ac:dyDescent="0.2">
      <c r="A30" s="489">
        <v>27</v>
      </c>
      <c r="B30" s="481" t="str">
        <v>Spain</v>
      </c>
      <c r="C30" s="481" t="str">
        <v>Senegal</v>
      </c>
      <c r="D30" s="481" t="str">
        <v>England</v>
      </c>
      <c r="E30" s="481" t="str">
        <v>Korea Republic</v>
      </c>
      <c r="F30" s="481" t="str">
        <v>Mexico</v>
      </c>
      <c r="G30" s="481" t="str">
        <v>Switzerland</v>
      </c>
      <c r="H30" s="481" t="str">
        <v>Scotland</v>
      </c>
      <c r="I30" s="481" t="str">
        <v>USA</v>
      </c>
      <c r="J30" s="481" t="str">
        <v>Germany</v>
      </c>
      <c r="K30" s="481" t="str">
        <v>Netherlands</v>
      </c>
      <c r="L30" s="481" t="str">
        <v>Egypt</v>
      </c>
      <c r="M30" s="481" t="str">
        <v>Spain</v>
      </c>
      <c r="N30" s="481" t="str">
        <v>France</v>
      </c>
      <c r="O30" s="481" t="str">
        <v>Austria</v>
      </c>
      <c r="P30" s="481" t="str">
        <v>Portugal</v>
      </c>
      <c r="Q30" s="490" t="str">
        <v>England</v>
      </c>
    </row>
    <row r="31" spans="1:17" x14ac:dyDescent="0.2">
      <c r="A31" s="489">
        <v>28</v>
      </c>
      <c r="B31" s="481" t="str">
        <v>Spain</v>
      </c>
      <c r="C31" s="481" t="str">
        <v>Mexico</v>
      </c>
      <c r="D31" s="481" t="str">
        <v>Belgium</v>
      </c>
      <c r="E31" s="481" t="str">
        <v>Belgium</v>
      </c>
      <c r="F31" s="481" t="str">
        <v>Mexico</v>
      </c>
      <c r="G31" s="481" t="str">
        <v>Canada</v>
      </c>
      <c r="H31" s="481" t="str">
        <v>Brazil</v>
      </c>
      <c r="I31" s="481" t="str">
        <v>USA</v>
      </c>
      <c r="J31" s="481" t="str">
        <v>Germany</v>
      </c>
      <c r="K31" s="481" t="str">
        <v>Japan</v>
      </c>
      <c r="L31" s="481" t="str">
        <v>Belgium</v>
      </c>
      <c r="M31" s="481" t="str">
        <v>Spain</v>
      </c>
      <c r="N31" s="481" t="str">
        <v>France</v>
      </c>
      <c r="O31" s="481" t="str">
        <v>Argentina</v>
      </c>
      <c r="P31" s="481" t="str">
        <v>Portugal</v>
      </c>
      <c r="Q31" s="490" t="str">
        <v>Croatia</v>
      </c>
    </row>
    <row r="32" spans="1:17" x14ac:dyDescent="0.2">
      <c r="A32" s="489">
        <v>29</v>
      </c>
      <c r="B32" s="481" t="str">
        <v>Belgium</v>
      </c>
      <c r="C32" s="481" t="str">
        <v>England</v>
      </c>
      <c r="D32" s="481" t="str">
        <v>Brazil</v>
      </c>
      <c r="E32" s="481" t="str">
        <v>Brazil</v>
      </c>
      <c r="F32" s="481" t="str">
        <v>Korea Republic</v>
      </c>
      <c r="G32" s="481" t="str">
        <v>Canada</v>
      </c>
      <c r="H32" s="481" t="str">
        <v>Morocco</v>
      </c>
      <c r="I32" s="481" t="str">
        <v>USA</v>
      </c>
      <c r="J32" s="481" t="str">
        <v>Cote d'Ivorie</v>
      </c>
      <c r="K32" s="481" t="str">
        <v>Japan</v>
      </c>
      <c r="L32" s="481" t="str">
        <v>Belgium</v>
      </c>
      <c r="M32" s="481" t="str">
        <v>Uruguay</v>
      </c>
      <c r="N32" s="481" t="str">
        <v>Senegal</v>
      </c>
      <c r="O32" s="481" t="str">
        <v>Argentina</v>
      </c>
      <c r="P32" s="481" t="str">
        <v>Portugal</v>
      </c>
      <c r="Q32" s="490" t="str">
        <v>Croatia</v>
      </c>
    </row>
    <row r="33" spans="1:17" x14ac:dyDescent="0.2">
      <c r="A33" s="489">
        <v>30</v>
      </c>
      <c r="B33" s="481" t="str">
        <v>Belgium</v>
      </c>
      <c r="C33" s="481" t="str">
        <v>Colombia</v>
      </c>
      <c r="D33" s="481" t="str">
        <v>France</v>
      </c>
      <c r="E33" s="481" t="str">
        <v>Croatia</v>
      </c>
      <c r="F33" s="481" t="str">
        <v>Korea Republic</v>
      </c>
      <c r="G33" s="481" t="str">
        <v>Switzerland</v>
      </c>
      <c r="H33" s="481" t="str">
        <v>Scotland</v>
      </c>
      <c r="I33" s="481" t="str">
        <v>USA</v>
      </c>
      <c r="J33" s="481" t="str">
        <v>Ecuador</v>
      </c>
      <c r="K33" s="481" t="str">
        <v>Japan</v>
      </c>
      <c r="L33" s="481" t="str">
        <v>Egypt</v>
      </c>
      <c r="M33" s="481" t="str">
        <v>Spain</v>
      </c>
      <c r="N33" s="481" t="str">
        <v>Senegal</v>
      </c>
      <c r="O33" s="481" t="str">
        <v>Argentina</v>
      </c>
      <c r="P33" s="481" t="str">
        <v>Portugal</v>
      </c>
      <c r="Q33" s="490" t="str">
        <v>England</v>
      </c>
    </row>
    <row r="34" spans="1:17" x14ac:dyDescent="0.2">
      <c r="A34" s="489">
        <v>31</v>
      </c>
      <c r="B34" s="481" t="str">
        <v>Argentina</v>
      </c>
      <c r="C34" s="481" t="str">
        <v>Brazil</v>
      </c>
      <c r="D34" s="481" t="str">
        <v>Netherlands</v>
      </c>
      <c r="E34" s="481" t="str">
        <v>Senegal</v>
      </c>
      <c r="F34" s="481" t="str">
        <v>Korea Republic</v>
      </c>
      <c r="G34" s="481" t="str">
        <v>Switzerland</v>
      </c>
      <c r="H34" s="481" t="str">
        <v>Brazil</v>
      </c>
      <c r="I34" s="481" t="str">
        <v>Australia</v>
      </c>
      <c r="J34" s="481" t="str">
        <v>Germany</v>
      </c>
      <c r="K34" s="481" t="str">
        <v>Japan</v>
      </c>
      <c r="L34" s="481" t="str">
        <v>IR Iran</v>
      </c>
      <c r="M34" s="481" t="str">
        <v>Uruguay</v>
      </c>
      <c r="N34" s="481" t="str">
        <v>France</v>
      </c>
      <c r="O34" s="481" t="str">
        <v>Argentina</v>
      </c>
      <c r="P34" s="481" t="str">
        <v>Colombia</v>
      </c>
      <c r="Q34" s="490" t="str">
        <v>Croatia</v>
      </c>
    </row>
    <row r="35" spans="1:17" x14ac:dyDescent="0.2">
      <c r="A35" s="489">
        <v>32</v>
      </c>
      <c r="B35" s="481" t="str">
        <v>Argentina</v>
      </c>
      <c r="C35" s="481" t="str">
        <v>England</v>
      </c>
      <c r="D35" s="481" t="str">
        <v>Brazil</v>
      </c>
      <c r="E35" s="481" t="str">
        <v>Morocco</v>
      </c>
      <c r="F35" s="481" t="str">
        <v>Korea Republic</v>
      </c>
      <c r="G35" s="481" t="str">
        <v>Switzerland</v>
      </c>
      <c r="H35" s="481" t="str">
        <v>Morocco</v>
      </c>
      <c r="I35" s="481" t="str">
        <v>Australia</v>
      </c>
      <c r="J35" s="481" t="str">
        <v>Germany</v>
      </c>
      <c r="K35" s="481" t="str">
        <v>Japan</v>
      </c>
      <c r="L35" s="481" t="str">
        <v>Belgium</v>
      </c>
      <c r="M35" s="481" t="str">
        <v>Uruguay</v>
      </c>
      <c r="N35" s="481" t="str">
        <v>France</v>
      </c>
      <c r="O35" s="481" t="str">
        <v>Algeria</v>
      </c>
      <c r="P35" s="481" t="str">
        <v>Portugal</v>
      </c>
      <c r="Q35" s="490" t="str">
        <v>England</v>
      </c>
    </row>
    <row r="36" spans="1:17" x14ac:dyDescent="0.2">
      <c r="A36" s="489">
        <v>33</v>
      </c>
      <c r="B36" s="481" t="str">
        <v>France</v>
      </c>
      <c r="C36" s="481" t="str">
        <v>Spain</v>
      </c>
      <c r="D36" s="481" t="str">
        <v>Mexico</v>
      </c>
      <c r="E36" s="481" t="str">
        <v>Argentina</v>
      </c>
      <c r="F36" s="481" t="str">
        <v>Mexico</v>
      </c>
      <c r="G36" s="481" t="str">
        <v>Canada</v>
      </c>
      <c r="H36" s="481" t="str">
        <v>Morocco</v>
      </c>
      <c r="I36" s="481" t="str">
        <v>USA</v>
      </c>
      <c r="J36" s="481" t="str">
        <v>Germany</v>
      </c>
      <c r="K36" s="481" t="str">
        <v>Netherlands</v>
      </c>
      <c r="L36" s="481" t="str">
        <v>Belgium</v>
      </c>
      <c r="M36" s="481" t="str">
        <v>Spain</v>
      </c>
      <c r="N36" s="481" t="str">
        <v>France</v>
      </c>
      <c r="O36" s="481" t="str">
        <v>Argentina</v>
      </c>
      <c r="P36" s="481" t="str">
        <v>Portugal</v>
      </c>
      <c r="Q36" s="490" t="str">
        <v>England</v>
      </c>
    </row>
    <row r="37" spans="1:17" x14ac:dyDescent="0.2">
      <c r="A37" s="489">
        <v>34</v>
      </c>
      <c r="B37" s="481" t="str">
        <v>England</v>
      </c>
      <c r="C37" s="481" t="str">
        <v>Morocco</v>
      </c>
      <c r="D37" s="481" t="str">
        <v>England</v>
      </c>
      <c r="E37" s="481" t="str">
        <v>Brazil</v>
      </c>
      <c r="F37" s="481" t="str">
        <v>Mexico</v>
      </c>
      <c r="G37" s="481" t="str">
        <v>Canada</v>
      </c>
      <c r="H37" s="481" t="str">
        <v>Brazil</v>
      </c>
      <c r="I37" s="481" t="str">
        <v>USA</v>
      </c>
      <c r="J37" s="481" t="str">
        <v>Germany</v>
      </c>
      <c r="K37" s="481" t="str">
        <v>Tunisia</v>
      </c>
      <c r="L37" s="481" t="str">
        <v>Egypt</v>
      </c>
      <c r="M37" s="481" t="str">
        <v>Spain</v>
      </c>
      <c r="N37" s="481" t="str">
        <v>France</v>
      </c>
      <c r="O37" s="481" t="str">
        <v>Austria</v>
      </c>
      <c r="P37" s="481" t="str">
        <v>Portugal</v>
      </c>
      <c r="Q37" s="490" t="str">
        <v>England</v>
      </c>
    </row>
    <row r="38" spans="1:17" x14ac:dyDescent="0.2">
      <c r="A38" s="489">
        <v>35</v>
      </c>
      <c r="B38" s="481" t="str">
        <v>Argentina</v>
      </c>
      <c r="C38" s="481" t="str">
        <v>Portugal</v>
      </c>
      <c r="D38" s="481" t="str">
        <v>Argentina</v>
      </c>
      <c r="E38" s="481" t="str">
        <v>Morocco</v>
      </c>
      <c r="F38" s="481" t="str">
        <v>Mexico</v>
      </c>
      <c r="G38" s="481" t="str">
        <v>Switzerland</v>
      </c>
      <c r="H38" s="481" t="str">
        <v>Morocco</v>
      </c>
      <c r="I38" s="481" t="str">
        <v>USA</v>
      </c>
      <c r="J38" s="481" t="str">
        <v>Cote d'Ivorie</v>
      </c>
      <c r="K38" s="481" t="str">
        <v>Sweden</v>
      </c>
      <c r="L38" s="481" t="str">
        <v>Belgium</v>
      </c>
      <c r="M38" s="481" t="str">
        <v>Spain</v>
      </c>
      <c r="N38" s="481" t="str">
        <v>Senegal</v>
      </c>
      <c r="O38" s="481" t="str">
        <v>Argentina</v>
      </c>
      <c r="P38" s="481" t="str">
        <v>Portugal</v>
      </c>
      <c r="Q38" s="490" t="str">
        <v>England</v>
      </c>
    </row>
    <row r="39" spans="1:17" x14ac:dyDescent="0.2">
      <c r="A39" s="489">
        <v>36</v>
      </c>
      <c r="B39" s="481" t="str">
        <v>Colombia</v>
      </c>
      <c r="C39" s="481" t="str">
        <v>Argentina</v>
      </c>
      <c r="D39" s="481" t="str">
        <v>USA</v>
      </c>
      <c r="E39" s="481" t="str">
        <v>England</v>
      </c>
      <c r="F39" s="481" t="str">
        <v>Mexico</v>
      </c>
      <c r="G39" s="481" t="str">
        <v>Qatar</v>
      </c>
      <c r="H39" s="481" t="str">
        <v>Brazil</v>
      </c>
      <c r="I39" s="481" t="str">
        <v>USA</v>
      </c>
      <c r="J39" s="481" t="str">
        <v>Germany</v>
      </c>
      <c r="K39" s="481" t="str">
        <v>Japan</v>
      </c>
      <c r="L39" s="481" t="str">
        <v>IR Iran</v>
      </c>
      <c r="M39" s="481" t="str">
        <v>Uruguay</v>
      </c>
      <c r="N39" s="481" t="str">
        <v>France</v>
      </c>
      <c r="O39" s="481" t="str">
        <v>Argentina</v>
      </c>
      <c r="P39" s="481" t="str">
        <v>Colombia</v>
      </c>
      <c r="Q39" s="490" t="str">
        <v>Croatia</v>
      </c>
    </row>
    <row r="40" spans="1:17" x14ac:dyDescent="0.2">
      <c r="A40" s="489">
        <v>37</v>
      </c>
      <c r="B40" s="481" t="str">
        <v>Germany</v>
      </c>
      <c r="C40" s="481" t="str">
        <v>France</v>
      </c>
      <c r="D40" s="481" t="str">
        <v>Spain</v>
      </c>
      <c r="E40" s="481" t="str">
        <v>Japan</v>
      </c>
      <c r="F40" s="481" t="str">
        <v>Mexico</v>
      </c>
      <c r="G40" s="481" t="str">
        <v>Bosnia-Herzegovina</v>
      </c>
      <c r="H40" s="481" t="str">
        <v>Brazil</v>
      </c>
      <c r="I40" s="481" t="str">
        <v>Australia</v>
      </c>
      <c r="J40" s="481" t="str">
        <v>Germany</v>
      </c>
      <c r="K40" s="481" t="str">
        <v>Japan</v>
      </c>
      <c r="L40" s="481" t="str">
        <v>Belgium</v>
      </c>
      <c r="M40" s="481" t="str">
        <v>Spain</v>
      </c>
      <c r="N40" s="481" t="str">
        <v>France</v>
      </c>
      <c r="O40" s="481" t="str">
        <v>Argentina</v>
      </c>
      <c r="P40" s="481" t="str">
        <v>Colombia</v>
      </c>
      <c r="Q40" s="490" t="str">
        <v>Croatia</v>
      </c>
    </row>
    <row r="41" spans="1:17" x14ac:dyDescent="0.2">
      <c r="A41" s="489">
        <v>38</v>
      </c>
      <c r="B41" s="481" t="str">
        <v>USA</v>
      </c>
      <c r="C41" s="481" t="str">
        <v>Mexico</v>
      </c>
      <c r="D41" s="481" t="str">
        <v>Portugal</v>
      </c>
      <c r="E41" s="481" t="str">
        <v>Sweden</v>
      </c>
      <c r="F41" s="481" t="str">
        <v>Mexico</v>
      </c>
      <c r="G41" s="481" t="str">
        <v>Switzerland</v>
      </c>
      <c r="H41" s="481" t="str">
        <v>Brazil</v>
      </c>
      <c r="I41" s="481" t="str">
        <v>USA</v>
      </c>
      <c r="J41" s="481" t="str">
        <v>Cote d'Ivorie</v>
      </c>
      <c r="K41" s="481" t="str">
        <v>Netherlands</v>
      </c>
      <c r="L41" s="481" t="str">
        <v>Belgium</v>
      </c>
      <c r="M41" s="481" t="str">
        <v>Cabo Verde</v>
      </c>
      <c r="N41" s="481" t="str">
        <v>France</v>
      </c>
      <c r="O41" s="481" t="str">
        <v>Argentina</v>
      </c>
      <c r="P41" s="481" t="str">
        <v>Portugal</v>
      </c>
      <c r="Q41" s="490" t="str">
        <v>England</v>
      </c>
    </row>
    <row r="42" spans="1:17" x14ac:dyDescent="0.2">
      <c r="A42" s="489">
        <v>39</v>
      </c>
      <c r="B42" s="481" t="str">
        <v>Netherlands</v>
      </c>
      <c r="C42" s="481" t="str">
        <v>Netherlands</v>
      </c>
      <c r="D42" s="481" t="str">
        <v>Austria</v>
      </c>
      <c r="E42" s="481" t="str">
        <v>Germany</v>
      </c>
      <c r="F42" s="481" t="str">
        <v>Mexico</v>
      </c>
      <c r="G42" s="481" t="str">
        <v>Switzerland</v>
      </c>
      <c r="H42" s="481" t="str">
        <v>Morocco</v>
      </c>
      <c r="I42" s="481" t="str">
        <v>Australia</v>
      </c>
      <c r="J42" s="481" t="str">
        <v>Cote d'Ivorie</v>
      </c>
      <c r="K42" s="481" t="str">
        <v>Netherlands</v>
      </c>
      <c r="L42" s="481" t="str">
        <v>Belgium</v>
      </c>
      <c r="M42" s="481" t="str">
        <v>Spain</v>
      </c>
      <c r="N42" s="481" t="str">
        <v>France</v>
      </c>
      <c r="O42" s="481" t="str">
        <v>Argentina</v>
      </c>
      <c r="P42" s="481" t="str">
        <v>Portugal</v>
      </c>
      <c r="Q42" s="490" t="str">
        <v>Croatia</v>
      </c>
    </row>
    <row r="43" spans="1:17" x14ac:dyDescent="0.2">
      <c r="A43" s="489">
        <v>40</v>
      </c>
      <c r="B43" s="481" t="str">
        <v>Brazil</v>
      </c>
      <c r="C43" s="481" t="str">
        <v>England</v>
      </c>
      <c r="D43" s="481" t="str">
        <v>Mexico</v>
      </c>
      <c r="E43" s="481" t="str">
        <v>Spain</v>
      </c>
      <c r="F43" s="481" t="str">
        <v>South Africa</v>
      </c>
      <c r="G43" s="481" t="str">
        <v>Switzerland</v>
      </c>
      <c r="H43" s="481" t="str">
        <v>Morocco</v>
      </c>
      <c r="I43" s="481" t="str">
        <v>USA</v>
      </c>
      <c r="J43" s="481" t="str">
        <v>Germany</v>
      </c>
      <c r="K43" s="481" t="str">
        <v>Sweden</v>
      </c>
      <c r="L43" s="481" t="str">
        <v>Belgium</v>
      </c>
      <c r="M43" s="481" t="str">
        <v>Spain</v>
      </c>
      <c r="N43" s="481" t="str">
        <v>France</v>
      </c>
      <c r="O43" s="481" t="str">
        <v>Argentina</v>
      </c>
      <c r="P43" s="481" t="str">
        <v>Colombia</v>
      </c>
      <c r="Q43" s="490" t="str">
        <v>England</v>
      </c>
    </row>
    <row r="44" spans="1:17" x14ac:dyDescent="0.2">
      <c r="A44" s="489">
        <v>41</v>
      </c>
      <c r="B44" s="481" t="str">
        <v>France</v>
      </c>
      <c r="C44" s="481" t="str">
        <v>Colombia</v>
      </c>
      <c r="D44" s="481" t="str">
        <v>Portugal</v>
      </c>
      <c r="E44" s="481" t="str">
        <v>Colombia</v>
      </c>
      <c r="F44" s="481" t="str">
        <v>Korea Republic</v>
      </c>
      <c r="G44" s="481" t="str">
        <v>Switzerland</v>
      </c>
      <c r="H44" s="481" t="str">
        <v>Morocco</v>
      </c>
      <c r="I44" s="481" t="str">
        <v>Australia</v>
      </c>
      <c r="J44" s="481" t="str">
        <v>Germany</v>
      </c>
      <c r="K44" s="481" t="str">
        <v>Japan</v>
      </c>
      <c r="L44" s="481" t="str">
        <v>IR Iran</v>
      </c>
      <c r="M44" s="481" t="str">
        <v>Spain</v>
      </c>
      <c r="N44" s="481" t="str">
        <v>France</v>
      </c>
      <c r="O44" s="481" t="str">
        <v>Argentina</v>
      </c>
      <c r="P44" s="481" t="str">
        <v>Portugal</v>
      </c>
      <c r="Q44" s="490" t="str">
        <v>Croatia</v>
      </c>
    </row>
    <row r="45" spans="1:17" x14ac:dyDescent="0.2">
      <c r="A45" s="489">
        <v>42</v>
      </c>
      <c r="B45" s="481" t="str">
        <v>Portugal</v>
      </c>
      <c r="C45" s="481" t="str">
        <v>Algeria</v>
      </c>
      <c r="D45" s="481" t="str">
        <v>Brazil</v>
      </c>
      <c r="E45" s="481" t="str">
        <v>Brazil</v>
      </c>
      <c r="F45" s="481" t="str">
        <v>Mexico</v>
      </c>
      <c r="G45" s="481" t="str">
        <v>Qatar</v>
      </c>
      <c r="H45" s="481" t="str">
        <v>Morocco</v>
      </c>
      <c r="I45" s="481" t="str">
        <v>USA</v>
      </c>
      <c r="J45" s="481" t="str">
        <v>Germany</v>
      </c>
      <c r="K45" s="481" t="str">
        <v>Sweden</v>
      </c>
      <c r="L45" s="481" t="str">
        <v>Egypt</v>
      </c>
      <c r="M45" s="481" t="str">
        <v>Spain</v>
      </c>
      <c r="N45" s="481" t="str">
        <v>France</v>
      </c>
      <c r="O45" s="481" t="str">
        <v>Argentina</v>
      </c>
      <c r="P45" s="481" t="str">
        <v>Portugal</v>
      </c>
      <c r="Q45" s="490" t="str">
        <v>England</v>
      </c>
    </row>
    <row r="46" spans="1:17" x14ac:dyDescent="0.2">
      <c r="A46" s="489">
        <v>43</v>
      </c>
      <c r="B46" s="481" t="str">
        <v>Spain</v>
      </c>
      <c r="C46" s="481" t="str">
        <v>Brazil</v>
      </c>
      <c r="D46" s="481" t="str">
        <v>Germany</v>
      </c>
      <c r="E46" s="481" t="str">
        <v>Netherlands</v>
      </c>
      <c r="F46" s="481" t="str">
        <v>Mexico</v>
      </c>
      <c r="G46" s="481" t="str">
        <v>Canada</v>
      </c>
      <c r="H46" s="481" t="str">
        <v>Brazil</v>
      </c>
      <c r="I46" s="481" t="str">
        <v>Australia</v>
      </c>
      <c r="J46" s="481" t="str">
        <v>Germany</v>
      </c>
      <c r="K46" s="481" t="str">
        <v>Sweden</v>
      </c>
      <c r="L46" s="481" t="str">
        <v>Belgium</v>
      </c>
      <c r="M46" s="481" t="str">
        <v>Uruguay</v>
      </c>
      <c r="N46" s="481" t="str">
        <v>France</v>
      </c>
      <c r="O46" s="481" t="str">
        <v>Argentina</v>
      </c>
      <c r="P46" s="481" t="str">
        <v>Portugal</v>
      </c>
      <c r="Q46" s="490" t="str">
        <v>England</v>
      </c>
    </row>
    <row r="47" spans="1:17" x14ac:dyDescent="0.2">
      <c r="A47" s="489">
        <v>44</v>
      </c>
      <c r="B47" s="481" t="str">
        <v>Spain</v>
      </c>
      <c r="C47" s="481" t="str">
        <v>France</v>
      </c>
      <c r="D47" s="481" t="str">
        <v>Korea Republic</v>
      </c>
      <c r="E47" s="481" t="str">
        <v>USA</v>
      </c>
      <c r="F47" s="481" t="str">
        <v>Mexico</v>
      </c>
      <c r="G47" s="481" t="str">
        <v>Canada</v>
      </c>
      <c r="H47" s="481" t="str">
        <v>Morocco</v>
      </c>
      <c r="I47" s="481" t="str">
        <v>USA</v>
      </c>
      <c r="J47" s="481" t="str">
        <v>Germany</v>
      </c>
      <c r="K47" s="481" t="str">
        <v>Japan</v>
      </c>
      <c r="L47" s="481" t="str">
        <v>IR Iran</v>
      </c>
      <c r="M47" s="481" t="str">
        <v>Spain</v>
      </c>
      <c r="N47" s="481" t="str">
        <v>France</v>
      </c>
      <c r="O47" s="481" t="str">
        <v>Argentina</v>
      </c>
      <c r="P47" s="481" t="str">
        <v>Colombia</v>
      </c>
      <c r="Q47" s="490" t="str">
        <v>Panama</v>
      </c>
    </row>
    <row r="48" spans="1:17" x14ac:dyDescent="0.2">
      <c r="A48" s="489">
        <v>45</v>
      </c>
      <c r="B48" s="481" t="str">
        <v>Croatia</v>
      </c>
      <c r="C48" s="481" t="str">
        <v>Netherlands</v>
      </c>
      <c r="D48" s="481" t="str">
        <v>France</v>
      </c>
      <c r="E48" s="481" t="str">
        <v>Belgium</v>
      </c>
      <c r="F48" s="481" t="str">
        <v>Mexico</v>
      </c>
      <c r="G48" s="481" t="str">
        <v>Switzerland</v>
      </c>
      <c r="H48" s="481" t="str">
        <v>Morocco</v>
      </c>
      <c r="I48" s="481" t="str">
        <v>USA</v>
      </c>
      <c r="J48" s="481" t="str">
        <v>Germany</v>
      </c>
      <c r="K48" s="481" t="str">
        <v>Netherlands</v>
      </c>
      <c r="L48" s="481" t="str">
        <v>Belgium</v>
      </c>
      <c r="M48" s="481" t="str">
        <v>Spain</v>
      </c>
      <c r="N48" s="481" t="str">
        <v>France</v>
      </c>
      <c r="O48" s="481" t="str">
        <v>Argentina</v>
      </c>
      <c r="P48" s="481" t="str">
        <v>Colombia</v>
      </c>
      <c r="Q48" s="490" t="str">
        <v>England</v>
      </c>
    </row>
    <row r="49" spans="1:17" x14ac:dyDescent="0.2">
      <c r="A49" s="489">
        <v>46</v>
      </c>
      <c r="B49" s="481" t="str">
        <v>England</v>
      </c>
      <c r="C49" s="481" t="str">
        <v>Germany</v>
      </c>
      <c r="D49" s="481" t="str">
        <v>Argentina</v>
      </c>
      <c r="E49" s="481" t="str">
        <v>Mexico</v>
      </c>
      <c r="F49" s="481" t="str">
        <v>Korea Republic</v>
      </c>
      <c r="G49" s="481" t="str">
        <v>Switzerland</v>
      </c>
      <c r="H49" s="481" t="str">
        <v>Morocco</v>
      </c>
      <c r="I49" s="481" t="str">
        <v>USA</v>
      </c>
      <c r="J49" s="481" t="str">
        <v>Germany</v>
      </c>
      <c r="K49" s="481" t="str">
        <v>Japan</v>
      </c>
      <c r="L49" s="481" t="str">
        <v>Belgium</v>
      </c>
      <c r="M49" s="481" t="str">
        <v>Spain</v>
      </c>
      <c r="N49" s="481" t="str">
        <v>France</v>
      </c>
      <c r="O49" s="481" t="str">
        <v>Argentina</v>
      </c>
      <c r="P49" s="481" t="str">
        <v>Portugal</v>
      </c>
      <c r="Q49" s="490" t="str">
        <v>England</v>
      </c>
    </row>
    <row r="50" spans="1:17" x14ac:dyDescent="0.2">
      <c r="A50" s="489">
        <v>47</v>
      </c>
      <c r="B50" s="481" t="str">
        <v>England</v>
      </c>
      <c r="C50" s="481" t="str">
        <v>Netherlands</v>
      </c>
      <c r="D50" s="481" t="str">
        <v>Spain</v>
      </c>
      <c r="E50" s="481" t="str">
        <v>Spain</v>
      </c>
      <c r="F50" s="481" t="str">
        <v>Mexico</v>
      </c>
      <c r="G50" s="481" t="str">
        <v>Switzerland</v>
      </c>
      <c r="H50" s="481" t="str">
        <v>Brazil</v>
      </c>
      <c r="I50" s="481" t="str">
        <v>USA</v>
      </c>
      <c r="J50" s="481" t="str">
        <v>Germany</v>
      </c>
      <c r="K50" s="481" t="str">
        <v>Japan</v>
      </c>
      <c r="L50" s="481" t="str">
        <v>Belgium</v>
      </c>
      <c r="M50" s="481" t="str">
        <v>Uruguay</v>
      </c>
      <c r="N50" s="481" t="str">
        <v>Senegal</v>
      </c>
      <c r="O50" s="481" t="str">
        <v>Argentina</v>
      </c>
      <c r="P50" s="481" t="str">
        <v>Colombia</v>
      </c>
      <c r="Q50" s="490" t="str">
        <v>Panama</v>
      </c>
    </row>
    <row r="51" spans="1:17" x14ac:dyDescent="0.2">
      <c r="A51" s="489">
        <v>48</v>
      </c>
      <c r="B51" s="481" t="str">
        <v>Croatia</v>
      </c>
      <c r="C51" s="481" t="str">
        <v>Switzerland</v>
      </c>
      <c r="D51" s="481" t="str">
        <v>France</v>
      </c>
      <c r="E51" s="481" t="str">
        <v>Portugal</v>
      </c>
      <c r="F51" s="481" t="str">
        <v>Mexico</v>
      </c>
      <c r="G51" s="481" t="str">
        <v>Switzerland</v>
      </c>
      <c r="H51" s="481" t="str">
        <v>Morocco</v>
      </c>
      <c r="I51" s="481" t="str">
        <v>USA</v>
      </c>
      <c r="J51" s="481" t="str">
        <v>Germany</v>
      </c>
      <c r="K51" s="481" t="str">
        <v>Sweden</v>
      </c>
      <c r="L51" s="481" t="str">
        <v>Belgium</v>
      </c>
      <c r="M51" s="481" t="str">
        <v>Uruguay</v>
      </c>
      <c r="N51" s="481" t="str">
        <v>France</v>
      </c>
      <c r="O51" s="481" t="str">
        <v>Argentina</v>
      </c>
      <c r="P51" s="481" t="str">
        <v>Colombia</v>
      </c>
      <c r="Q51" s="490" t="str">
        <v>Croatia</v>
      </c>
    </row>
    <row r="52" spans="1:17" x14ac:dyDescent="0.2">
      <c r="A52" s="489">
        <v>49</v>
      </c>
      <c r="B52" s="481" t="str">
        <v>Germany</v>
      </c>
      <c r="C52" s="481" t="str">
        <v>Netherlands</v>
      </c>
      <c r="D52" s="481" t="str">
        <v>England</v>
      </c>
      <c r="E52" s="481" t="str">
        <v>Colombia</v>
      </c>
      <c r="F52" s="481" t="str">
        <v>Mexico</v>
      </c>
      <c r="G52" s="481" t="str">
        <v>Switzerland</v>
      </c>
      <c r="H52" s="481" t="str">
        <v>Brazil</v>
      </c>
      <c r="I52" s="481" t="str">
        <v>USA</v>
      </c>
      <c r="J52" s="481" t="str">
        <v>Germany</v>
      </c>
      <c r="K52" s="481" t="str">
        <v>Netherlands</v>
      </c>
      <c r="L52" s="481" t="str">
        <v>Belgium</v>
      </c>
      <c r="M52" s="481" t="str">
        <v>Spain</v>
      </c>
      <c r="N52" s="481" t="str">
        <v>Norway</v>
      </c>
      <c r="O52" s="481" t="str">
        <v>Argentina</v>
      </c>
      <c r="P52" s="481" t="str">
        <v>Portugal</v>
      </c>
      <c r="Q52" s="490" t="str">
        <v>England</v>
      </c>
    </row>
    <row r="53" spans="1:17" x14ac:dyDescent="0.2">
      <c r="A53" s="489">
        <v>50</v>
      </c>
      <c r="B53" s="481" t="str">
        <v>Uruguay</v>
      </c>
      <c r="C53" s="481" t="str">
        <v>Norway</v>
      </c>
      <c r="D53" s="481" t="str">
        <v>Spain</v>
      </c>
      <c r="E53" s="481" t="str">
        <v>Japan</v>
      </c>
      <c r="F53" s="481" t="str">
        <v>Mexico</v>
      </c>
      <c r="G53" s="481" t="str">
        <v>Qatar</v>
      </c>
      <c r="H53" s="481" t="str">
        <v>Morocco</v>
      </c>
      <c r="I53" s="481" t="str">
        <v>Australia</v>
      </c>
      <c r="J53" s="481" t="str">
        <v>Germany</v>
      </c>
      <c r="K53" s="481" t="str">
        <v>Japan</v>
      </c>
      <c r="L53" s="481" t="str">
        <v>Egypt</v>
      </c>
      <c r="M53" s="481" t="str">
        <v>Spain</v>
      </c>
      <c r="N53" s="481" t="str">
        <v>Norway</v>
      </c>
      <c r="O53" s="481" t="str">
        <v>Argentina</v>
      </c>
      <c r="P53" s="481" t="str">
        <v>Portugal</v>
      </c>
      <c r="Q53" s="490" t="str">
        <v>Croatia</v>
      </c>
    </row>
    <row r="54" spans="1:17" x14ac:dyDescent="0.2">
      <c r="A54" s="489">
        <v>51</v>
      </c>
      <c r="B54" s="481" t="str">
        <v>Brazil</v>
      </c>
      <c r="C54" s="481" t="str">
        <v>Germany</v>
      </c>
      <c r="D54" s="481" t="str">
        <v>Germany</v>
      </c>
      <c r="E54" s="481" t="str">
        <v>Germany</v>
      </c>
      <c r="F54" s="481" t="str">
        <v>Korea Republic</v>
      </c>
      <c r="G54" s="481" t="str">
        <v>Bosnia-Herzegovina</v>
      </c>
      <c r="H54" s="481" t="str">
        <v>Morocco</v>
      </c>
      <c r="I54" s="481" t="str">
        <v>USA</v>
      </c>
      <c r="J54" s="481" t="str">
        <v>Ecuador</v>
      </c>
      <c r="K54" s="481" t="str">
        <v>Netherlands</v>
      </c>
      <c r="L54" s="481" t="str">
        <v>Belgium</v>
      </c>
      <c r="M54" s="481" t="str">
        <v>Spain</v>
      </c>
      <c r="N54" s="481" t="str">
        <v>Norway</v>
      </c>
      <c r="O54" s="481" t="str">
        <v>Argentina</v>
      </c>
      <c r="P54" s="481" t="str">
        <v>Portugal</v>
      </c>
      <c r="Q54" s="490" t="str">
        <v>England</v>
      </c>
    </row>
    <row r="55" spans="1:17" x14ac:dyDescent="0.2">
      <c r="A55" s="489">
        <v>52</v>
      </c>
      <c r="B55" s="481" t="str">
        <v>Argentina</v>
      </c>
      <c r="C55" s="481" t="str">
        <v>Qatar</v>
      </c>
      <c r="D55" s="481" t="str">
        <v>Colombia</v>
      </c>
      <c r="E55" s="481" t="str">
        <v>Norway</v>
      </c>
      <c r="F55" s="481" t="str">
        <v>Korea Republic</v>
      </c>
      <c r="G55" s="481" t="str">
        <v>Canada</v>
      </c>
      <c r="H55" s="481" t="str">
        <v>Morocco</v>
      </c>
      <c r="I55" s="481" t="str">
        <v>USA</v>
      </c>
      <c r="J55" s="481" t="str">
        <v>Ecuador</v>
      </c>
      <c r="K55" s="481" t="str">
        <v>Japan</v>
      </c>
      <c r="L55" s="481" t="str">
        <v>New Zealand</v>
      </c>
      <c r="M55" s="481" t="str">
        <v>Spain</v>
      </c>
      <c r="N55" s="481" t="str">
        <v>Senegal</v>
      </c>
      <c r="O55" s="481" t="str">
        <v>Algeria</v>
      </c>
      <c r="P55" s="481" t="str">
        <v>Portugal</v>
      </c>
      <c r="Q55" s="490" t="str">
        <v>England</v>
      </c>
    </row>
    <row r="56" spans="1:17" x14ac:dyDescent="0.2">
      <c r="A56" s="489">
        <v>53</v>
      </c>
      <c r="B56" s="481" t="str">
        <v>Spain</v>
      </c>
      <c r="C56" s="481" t="str">
        <v>Germany</v>
      </c>
      <c r="D56" s="481" t="str">
        <v>Germany</v>
      </c>
      <c r="E56" s="481" t="str">
        <v>Mexico</v>
      </c>
      <c r="F56" s="481" t="str">
        <v>Mexico</v>
      </c>
      <c r="G56" s="481" t="str">
        <v>Switzerland</v>
      </c>
      <c r="H56" s="481" t="str">
        <v>Brazil</v>
      </c>
      <c r="I56" s="481" t="str">
        <v>USA</v>
      </c>
      <c r="J56" s="481" t="str">
        <v>Germany</v>
      </c>
      <c r="K56" s="481" t="str">
        <v>Netherlands</v>
      </c>
      <c r="L56" s="481" t="str">
        <v>Egypt</v>
      </c>
      <c r="M56" s="481" t="str">
        <v>Spain</v>
      </c>
      <c r="N56" s="481" t="str">
        <v>Senegal</v>
      </c>
      <c r="O56" s="481" t="str">
        <v>Algeria</v>
      </c>
      <c r="P56" s="481" t="str">
        <v>Colombia</v>
      </c>
      <c r="Q56" s="490" t="str">
        <v>England</v>
      </c>
    </row>
    <row r="57" spans="1:17" x14ac:dyDescent="0.2">
      <c r="A57" s="489">
        <v>54</v>
      </c>
      <c r="B57" s="481" t="str">
        <v>Argentina</v>
      </c>
      <c r="C57" s="481" t="str">
        <v>Brazil</v>
      </c>
      <c r="D57" s="481" t="str">
        <v>Japan</v>
      </c>
      <c r="E57" s="481" t="str">
        <v>Argentina</v>
      </c>
      <c r="F57" s="481" t="str">
        <v>Korea Republic</v>
      </c>
      <c r="G57" s="481" t="str">
        <v>Qatar</v>
      </c>
      <c r="H57" s="481" t="str">
        <v>Brazil</v>
      </c>
      <c r="I57" s="481" t="str">
        <v>USA</v>
      </c>
      <c r="J57" s="481" t="str">
        <v>Germany</v>
      </c>
      <c r="K57" s="481" t="str">
        <v>Sweden</v>
      </c>
      <c r="L57" s="481" t="str">
        <v>Belgium</v>
      </c>
      <c r="M57" s="481" t="str">
        <v>Spain</v>
      </c>
      <c r="N57" s="481" t="str">
        <v>Norway</v>
      </c>
      <c r="O57" s="481" t="str">
        <v>Argentina</v>
      </c>
      <c r="P57" s="481" t="str">
        <v>Colombia</v>
      </c>
      <c r="Q57" s="490" t="str">
        <v>England</v>
      </c>
    </row>
    <row r="58" spans="1:17" x14ac:dyDescent="0.2">
      <c r="A58" s="489">
        <v>55</v>
      </c>
      <c r="B58" s="481" t="str">
        <v>France</v>
      </c>
      <c r="C58" s="481" t="str">
        <v>Senegal</v>
      </c>
      <c r="D58" s="481" t="str">
        <v>France</v>
      </c>
      <c r="E58" s="481" t="str">
        <v>Portugal</v>
      </c>
      <c r="F58" s="481" t="str">
        <v>Mexico</v>
      </c>
      <c r="G58" s="481" t="str">
        <v>Canada</v>
      </c>
      <c r="H58" s="481" t="str">
        <v>Brazil</v>
      </c>
      <c r="I58" s="481" t="str">
        <v>USA</v>
      </c>
      <c r="J58" s="481" t="str">
        <v>Ecuador</v>
      </c>
      <c r="K58" s="481" t="str">
        <v>Japan</v>
      </c>
      <c r="L58" s="481" t="str">
        <v>Belgium</v>
      </c>
      <c r="M58" s="481" t="str">
        <v>Uruguay</v>
      </c>
      <c r="N58" s="481" t="str">
        <v>France</v>
      </c>
      <c r="O58" s="481" t="str">
        <v>Algeria</v>
      </c>
      <c r="P58" s="481" t="str">
        <v>Portugal</v>
      </c>
      <c r="Q58" s="490" t="str">
        <v>Panama</v>
      </c>
    </row>
    <row r="59" spans="1:17" x14ac:dyDescent="0.2">
      <c r="A59" s="489">
        <v>56</v>
      </c>
      <c r="B59" s="481" t="str">
        <v>Germany</v>
      </c>
      <c r="C59" s="481" t="str">
        <v>USA</v>
      </c>
      <c r="D59" s="481" t="str">
        <v>USA</v>
      </c>
      <c r="E59" s="481" t="str">
        <v>Japan</v>
      </c>
      <c r="F59" s="481" t="str">
        <v>Mexico</v>
      </c>
      <c r="G59" s="481" t="str">
        <v>Switzerland</v>
      </c>
      <c r="H59" s="481" t="str">
        <v>Morocco</v>
      </c>
      <c r="I59" s="481" t="str">
        <v>USA</v>
      </c>
      <c r="J59" s="481" t="str">
        <v>Germany</v>
      </c>
      <c r="K59" s="481" t="str">
        <v>Sweden</v>
      </c>
      <c r="L59" s="481" t="str">
        <v>Egypt</v>
      </c>
      <c r="M59" s="481" t="str">
        <v>Spain</v>
      </c>
      <c r="N59" s="481" t="str">
        <v>Norway</v>
      </c>
      <c r="O59" s="481" t="str">
        <v>Argentina</v>
      </c>
      <c r="P59" s="481" t="str">
        <v>Portugal</v>
      </c>
      <c r="Q59" s="490" t="str">
        <v>England</v>
      </c>
    </row>
    <row r="60" spans="1:17" x14ac:dyDescent="0.2">
      <c r="A60" s="489">
        <v>57</v>
      </c>
      <c r="B60" s="481" t="str">
        <v>Colombia</v>
      </c>
      <c r="C60" s="481" t="str">
        <v>Argentina</v>
      </c>
      <c r="D60" s="481" t="str">
        <v>Brazil</v>
      </c>
      <c r="E60" s="481" t="str">
        <v>Uruguay</v>
      </c>
      <c r="F60" s="481" t="str">
        <v>Mexico</v>
      </c>
      <c r="G60" s="481" t="str">
        <v>Switzerland</v>
      </c>
      <c r="H60" s="481" t="str">
        <v>Morocco</v>
      </c>
      <c r="I60" s="481" t="str">
        <v>Australia</v>
      </c>
      <c r="J60" s="481" t="str">
        <v>Germany</v>
      </c>
      <c r="K60" s="481" t="str">
        <v>Japan</v>
      </c>
      <c r="L60" s="481" t="str">
        <v>Belgium</v>
      </c>
      <c r="M60" s="481" t="str">
        <v>Spain</v>
      </c>
      <c r="N60" s="481" t="str">
        <v>France</v>
      </c>
      <c r="O60" s="481" t="str">
        <v>Austria</v>
      </c>
      <c r="P60" s="481" t="str">
        <v>Colombia</v>
      </c>
      <c r="Q60" s="490" t="str">
        <v>England</v>
      </c>
    </row>
    <row r="61" spans="1:17" x14ac:dyDescent="0.2">
      <c r="A61" s="489">
        <v>58</v>
      </c>
      <c r="B61" s="481" t="str">
        <v>England</v>
      </c>
      <c r="C61" s="481" t="str">
        <v>France</v>
      </c>
      <c r="D61" s="481" t="str">
        <v>Brazil</v>
      </c>
      <c r="E61" s="481" t="str">
        <v>Brazil</v>
      </c>
      <c r="F61" s="481" t="str">
        <v>Mexico</v>
      </c>
      <c r="G61" s="481" t="str">
        <v>Switzerland</v>
      </c>
      <c r="H61" s="481" t="str">
        <v>Scotland</v>
      </c>
      <c r="I61" s="481" t="str">
        <v>USA</v>
      </c>
      <c r="J61" s="481" t="str">
        <v>Germany</v>
      </c>
      <c r="K61" s="481" t="str">
        <v>Netherlands</v>
      </c>
      <c r="L61" s="481" t="str">
        <v>IR Iran</v>
      </c>
      <c r="M61" s="481" t="str">
        <v>Spain</v>
      </c>
      <c r="N61" s="481" t="str">
        <v>France</v>
      </c>
      <c r="O61" s="481" t="str">
        <v>Argentina</v>
      </c>
      <c r="P61" s="481" t="str">
        <v>Colombia</v>
      </c>
      <c r="Q61" s="490" t="str">
        <v>England</v>
      </c>
    </row>
    <row r="62" spans="1:17" x14ac:dyDescent="0.2">
      <c r="A62" s="489">
        <v>59</v>
      </c>
      <c r="B62" s="481" t="str">
        <v>Portugal</v>
      </c>
      <c r="C62" s="481" t="str">
        <v>Belgium</v>
      </c>
      <c r="D62" s="481" t="str">
        <v>Colombia</v>
      </c>
      <c r="E62" s="481" t="str">
        <v>Argentina</v>
      </c>
      <c r="F62" s="481" t="str">
        <v>Korea Republic</v>
      </c>
      <c r="G62" s="481" t="str">
        <v>Canada</v>
      </c>
      <c r="H62" s="481" t="str">
        <v>Morocco</v>
      </c>
      <c r="I62" s="481" t="str">
        <v>USA</v>
      </c>
      <c r="J62" s="481" t="str">
        <v>Germany</v>
      </c>
      <c r="K62" s="481" t="str">
        <v>Sweden</v>
      </c>
      <c r="L62" s="481" t="str">
        <v>Belgium</v>
      </c>
      <c r="M62" s="481" t="str">
        <v>Spain</v>
      </c>
      <c r="N62" s="481" t="str">
        <v>France</v>
      </c>
      <c r="O62" s="481" t="str">
        <v>Argentina</v>
      </c>
      <c r="P62" s="481" t="str">
        <v>Colombia</v>
      </c>
      <c r="Q62" s="490" t="str">
        <v>England</v>
      </c>
    </row>
    <row r="63" spans="1:17" x14ac:dyDescent="0.2">
      <c r="A63" s="489">
        <v>60</v>
      </c>
      <c r="B63" s="481" t="str">
        <v>Spain</v>
      </c>
      <c r="C63" s="481" t="str">
        <v>Netherlands</v>
      </c>
      <c r="D63" s="481" t="str">
        <v>Portugal</v>
      </c>
      <c r="E63" s="481" t="str">
        <v>Germany</v>
      </c>
      <c r="F63" s="481" t="str">
        <v>Mexico</v>
      </c>
      <c r="G63" s="481" t="str">
        <v>Canada</v>
      </c>
      <c r="H63" s="481" t="str">
        <v>Morocco</v>
      </c>
      <c r="I63" s="481" t="str">
        <v>USA</v>
      </c>
      <c r="J63" s="481" t="str">
        <v>Germany</v>
      </c>
      <c r="K63" s="481" t="str">
        <v>Netherlands</v>
      </c>
      <c r="L63" s="481" t="str">
        <v>Belgium</v>
      </c>
      <c r="M63" s="481" t="str">
        <v>Uruguay</v>
      </c>
      <c r="N63" s="481" t="str">
        <v>France</v>
      </c>
      <c r="O63" s="481" t="str">
        <v>Argentina</v>
      </c>
      <c r="P63" s="481" t="str">
        <v>Colombia</v>
      </c>
      <c r="Q63" s="490" t="str">
        <v>England</v>
      </c>
    </row>
    <row r="64" spans="1:17" x14ac:dyDescent="0.2">
      <c r="A64" s="489">
        <v>61</v>
      </c>
      <c r="B64" s="481" t="str">
        <v>England</v>
      </c>
      <c r="C64" s="481" t="str">
        <v>Germany</v>
      </c>
      <c r="D64" s="481" t="str">
        <v>France</v>
      </c>
      <c r="E64" s="481" t="str">
        <v>Belgium</v>
      </c>
      <c r="F64" s="481" t="str">
        <v>Korea Republic</v>
      </c>
      <c r="G64" s="481" t="str">
        <v>Switzerland</v>
      </c>
      <c r="H64" s="481" t="str">
        <v>Brazil</v>
      </c>
      <c r="I64" s="481" t="str">
        <v>USA</v>
      </c>
      <c r="J64" s="481" t="str">
        <v>Germany</v>
      </c>
      <c r="K64" s="481" t="str">
        <v>Netherlands</v>
      </c>
      <c r="L64" s="481" t="str">
        <v>Belgium</v>
      </c>
      <c r="M64" s="481" t="str">
        <v>Spain</v>
      </c>
      <c r="N64" s="481" t="str">
        <v>Senegal</v>
      </c>
      <c r="O64" s="481" t="str">
        <v>Argentina</v>
      </c>
      <c r="P64" s="481" t="str">
        <v>Colombia</v>
      </c>
      <c r="Q64" s="490" t="str">
        <v>England</v>
      </c>
    </row>
    <row r="65" spans="1:17" x14ac:dyDescent="0.2">
      <c r="A65" s="489">
        <v>62</v>
      </c>
      <c r="B65" s="481" t="str">
        <v>Spain</v>
      </c>
      <c r="C65" s="481" t="str">
        <v>Netherlands</v>
      </c>
      <c r="D65" s="481" t="str">
        <v>Spain</v>
      </c>
      <c r="E65" s="481" t="str">
        <v>Brazil</v>
      </c>
      <c r="F65" s="481" t="str">
        <v>Mexico</v>
      </c>
      <c r="G65" s="481" t="str">
        <v>Switzerland</v>
      </c>
      <c r="H65" s="481" t="str">
        <v>Brazil</v>
      </c>
      <c r="I65" s="481" t="str">
        <v>Turkiye</v>
      </c>
      <c r="J65" s="481" t="str">
        <v>Germany</v>
      </c>
      <c r="K65" s="481" t="str">
        <v>Sweden</v>
      </c>
      <c r="L65" s="481" t="str">
        <v>Egypt</v>
      </c>
      <c r="M65" s="481" t="str">
        <v>Spain</v>
      </c>
      <c r="N65" s="481" t="str">
        <v>France</v>
      </c>
      <c r="O65" s="481" t="str">
        <v>Argentina</v>
      </c>
      <c r="P65" s="481" t="str">
        <v>Portugal</v>
      </c>
      <c r="Q65" s="490" t="str">
        <v>Croatia</v>
      </c>
    </row>
    <row r="66" spans="1:17" x14ac:dyDescent="0.2">
      <c r="A66" s="489">
        <v>63</v>
      </c>
      <c r="B66" s="481" t="str">
        <v>Uruguay</v>
      </c>
      <c r="C66" s="481" t="str">
        <v>Algeria</v>
      </c>
      <c r="D66" s="481" t="str">
        <v>Belgium</v>
      </c>
      <c r="E66" s="481" t="str">
        <v>Japan</v>
      </c>
      <c r="F66" s="481" t="str">
        <v>Mexico</v>
      </c>
      <c r="G66" s="481" t="str">
        <v>Qatar</v>
      </c>
      <c r="H66" s="481" t="str">
        <v>Brazil</v>
      </c>
      <c r="I66" s="481" t="str">
        <v>Australia</v>
      </c>
      <c r="J66" s="481" t="str">
        <v>Germany</v>
      </c>
      <c r="K66" s="481" t="str">
        <v>Sweden</v>
      </c>
      <c r="L66" s="481" t="str">
        <v>Belgium</v>
      </c>
      <c r="M66" s="481" t="str">
        <v>Saudi Arabia</v>
      </c>
      <c r="N66" s="481" t="str">
        <v>France</v>
      </c>
      <c r="O66" s="481" t="str">
        <v>Argentina</v>
      </c>
      <c r="P66" s="481" t="str">
        <v>Portugal</v>
      </c>
      <c r="Q66" s="490" t="str">
        <v>Croatia</v>
      </c>
    </row>
    <row r="67" spans="1:17" x14ac:dyDescent="0.2">
      <c r="A67" s="489">
        <v>64</v>
      </c>
      <c r="B67" s="481" t="str">
        <v>Spain</v>
      </c>
      <c r="C67" s="481" t="str">
        <v>Brazil</v>
      </c>
      <c r="D67" s="481" t="str">
        <v>USA</v>
      </c>
      <c r="E67" s="481" t="str">
        <v>France</v>
      </c>
      <c r="F67" s="481" t="str">
        <v>Czechia</v>
      </c>
      <c r="G67" s="481" t="str">
        <v>Switzerland</v>
      </c>
      <c r="H67" s="481" t="str">
        <v>Morocco</v>
      </c>
      <c r="I67" s="481" t="str">
        <v>USA</v>
      </c>
      <c r="J67" s="481" t="str">
        <v>Germany</v>
      </c>
      <c r="K67" s="481" t="str">
        <v>Netherlands</v>
      </c>
      <c r="L67" s="481" t="str">
        <v>Belgium</v>
      </c>
      <c r="M67" s="481" t="str">
        <v>Spain</v>
      </c>
      <c r="N67" s="481" t="str">
        <v>Senegal</v>
      </c>
      <c r="O67" s="481" t="str">
        <v>Austria</v>
      </c>
      <c r="P67" s="481" t="str">
        <v>Portugal</v>
      </c>
      <c r="Q67" s="490" t="str">
        <v>England</v>
      </c>
    </row>
    <row r="68" spans="1:17" x14ac:dyDescent="0.2">
      <c r="A68" s="489">
        <v>65</v>
      </c>
      <c r="B68" s="481" t="str">
        <v>Belgium</v>
      </c>
      <c r="C68" s="481" t="str">
        <v>Brazil</v>
      </c>
      <c r="D68" s="481" t="str">
        <v>Argentina</v>
      </c>
      <c r="E68" s="481" t="str">
        <v>Morocco</v>
      </c>
      <c r="F68" s="481" t="str">
        <v>Mexico</v>
      </c>
      <c r="G68" s="481" t="str">
        <v>Bosnia-Herzegovina</v>
      </c>
      <c r="H68" s="481" t="str">
        <v>Morocco</v>
      </c>
      <c r="I68" s="481" t="str">
        <v>Australia</v>
      </c>
      <c r="J68" s="481" t="str">
        <v>Cote d'Ivorie</v>
      </c>
      <c r="K68" s="481" t="str">
        <v>Netherlands</v>
      </c>
      <c r="L68" s="481" t="str">
        <v>Belgium</v>
      </c>
      <c r="M68" s="481" t="str">
        <v>Uruguay</v>
      </c>
      <c r="N68" s="481" t="str">
        <v>France</v>
      </c>
      <c r="O68" s="481" t="str">
        <v>Argentina</v>
      </c>
      <c r="P68" s="481" t="str">
        <v>Portugal</v>
      </c>
      <c r="Q68" s="490" t="str">
        <v>England</v>
      </c>
    </row>
    <row r="69" spans="1:17" x14ac:dyDescent="0.2">
      <c r="A69" s="489">
        <v>66</v>
      </c>
      <c r="B69" s="481" t="str">
        <v>France</v>
      </c>
      <c r="C69" s="481" t="str">
        <v>USA</v>
      </c>
      <c r="D69" s="481" t="str">
        <v>Japan</v>
      </c>
      <c r="E69" s="481" t="str">
        <v>England</v>
      </c>
      <c r="F69" s="481" t="str">
        <v>Mexico</v>
      </c>
      <c r="G69" s="481" t="str">
        <v>Switzerland</v>
      </c>
      <c r="H69" s="481" t="str">
        <v>Morocco</v>
      </c>
      <c r="I69" s="481" t="str">
        <v>USA</v>
      </c>
      <c r="J69" s="481" t="str">
        <v>Ecuador</v>
      </c>
      <c r="K69" s="481" t="str">
        <v>Netherlands</v>
      </c>
      <c r="L69" s="481" t="str">
        <v>Belgium</v>
      </c>
      <c r="M69" s="481" t="str">
        <v>Spain</v>
      </c>
      <c r="N69" s="481" t="str">
        <v>France</v>
      </c>
      <c r="O69" s="481" t="str">
        <v>Argentina</v>
      </c>
      <c r="P69" s="481" t="str">
        <v>Colombia</v>
      </c>
      <c r="Q69" s="490" t="str">
        <v>Croatia</v>
      </c>
    </row>
    <row r="70" spans="1:17" x14ac:dyDescent="0.2">
      <c r="A70" s="489">
        <v>67</v>
      </c>
      <c r="B70" s="481" t="str">
        <v>France</v>
      </c>
      <c r="C70" s="481" t="str">
        <v>Spain</v>
      </c>
      <c r="D70" s="481" t="str">
        <v>Germany</v>
      </c>
      <c r="E70" s="481" t="str">
        <v>Japan</v>
      </c>
      <c r="F70" s="481" t="str">
        <v>Mexico</v>
      </c>
      <c r="G70" s="481" t="str">
        <v>Switzerland</v>
      </c>
      <c r="H70" s="481" t="str">
        <v>Brazil</v>
      </c>
      <c r="I70" s="481" t="str">
        <v>Australia</v>
      </c>
      <c r="J70" s="481" t="str">
        <v>Cote d'Ivorie</v>
      </c>
      <c r="K70" s="481" t="str">
        <v>Netherlands</v>
      </c>
      <c r="L70" s="481" t="str">
        <v>Belgium</v>
      </c>
      <c r="M70" s="481" t="str">
        <v>Spain</v>
      </c>
      <c r="N70" s="481" t="str">
        <v>France</v>
      </c>
      <c r="O70" s="481" t="str">
        <v>Austria</v>
      </c>
      <c r="P70" s="481" t="str">
        <v>Colombia</v>
      </c>
      <c r="Q70" s="490" t="str">
        <v>England</v>
      </c>
    </row>
    <row r="71" spans="1:17" x14ac:dyDescent="0.2">
      <c r="A71" s="489">
        <v>68</v>
      </c>
      <c r="B71" s="481" t="str">
        <v>Portugal</v>
      </c>
      <c r="C71" s="481" t="str">
        <v>Belgium</v>
      </c>
      <c r="D71" s="481" t="str">
        <v>Portugal</v>
      </c>
      <c r="E71" s="481" t="str">
        <v>Egypt</v>
      </c>
      <c r="F71" s="481" t="str">
        <v>Korea Republic</v>
      </c>
      <c r="G71" s="481" t="str">
        <v>Qatar</v>
      </c>
      <c r="H71" s="481" t="str">
        <v>Morocco</v>
      </c>
      <c r="I71" s="481" t="str">
        <v>Turkiye</v>
      </c>
      <c r="J71" s="481" t="str">
        <v>Germany</v>
      </c>
      <c r="K71" s="481" t="str">
        <v>Netherlands</v>
      </c>
      <c r="L71" s="481" t="str">
        <v>Egypt</v>
      </c>
      <c r="M71" s="481" t="str">
        <v>Spain</v>
      </c>
      <c r="N71" s="481" t="str">
        <v>France</v>
      </c>
      <c r="O71" s="481" t="str">
        <v>Argentina</v>
      </c>
      <c r="P71" s="481" t="str">
        <v>Portugal</v>
      </c>
      <c r="Q71" s="490" t="str">
        <v>Panama</v>
      </c>
    </row>
    <row r="72" spans="1:17" x14ac:dyDescent="0.2">
      <c r="A72" s="489">
        <v>69</v>
      </c>
      <c r="B72" s="481" t="str">
        <v>Croatia</v>
      </c>
      <c r="C72" s="481" t="str">
        <v>Spain</v>
      </c>
      <c r="D72" s="481" t="str">
        <v>USA</v>
      </c>
      <c r="E72" s="481" t="str">
        <v>Ecuador</v>
      </c>
      <c r="F72" s="481" t="str">
        <v>Mexico</v>
      </c>
      <c r="G72" s="481" t="str">
        <v>Canada</v>
      </c>
      <c r="H72" s="481" t="str">
        <v>Morocco</v>
      </c>
      <c r="I72" s="481" t="str">
        <v>USA</v>
      </c>
      <c r="J72" s="481" t="str">
        <v>Germany</v>
      </c>
      <c r="K72" s="481" t="str">
        <v>Sweden</v>
      </c>
      <c r="L72" s="481" t="str">
        <v>Belgium</v>
      </c>
      <c r="M72" s="481" t="str">
        <v>Spain</v>
      </c>
      <c r="N72" s="481" t="str">
        <v>France</v>
      </c>
      <c r="O72" s="481" t="str">
        <v>Argentina</v>
      </c>
      <c r="P72" s="481" t="str">
        <v>Colombia</v>
      </c>
      <c r="Q72" s="490" t="str">
        <v>England</v>
      </c>
    </row>
    <row r="73" spans="1:17" x14ac:dyDescent="0.2">
      <c r="A73" s="489">
        <v>70</v>
      </c>
      <c r="B73" s="481" t="str">
        <v>Switzerland</v>
      </c>
      <c r="C73" s="481" t="str">
        <v>Sweden</v>
      </c>
      <c r="D73" s="481" t="str">
        <v>Japan</v>
      </c>
      <c r="E73" s="481" t="str">
        <v>France</v>
      </c>
      <c r="F73" s="481" t="str">
        <v>Mexico</v>
      </c>
      <c r="G73" s="481" t="str">
        <v>Bosnia-Herzegovina</v>
      </c>
      <c r="H73" s="481" t="str">
        <v>Morocco</v>
      </c>
      <c r="I73" s="481" t="str">
        <v>USA</v>
      </c>
      <c r="J73" s="481" t="str">
        <v>Germany</v>
      </c>
      <c r="K73" s="481" t="str">
        <v>Netherlands</v>
      </c>
      <c r="L73" s="481" t="str">
        <v>Belgium</v>
      </c>
      <c r="M73" s="481" t="str">
        <v>Spain</v>
      </c>
      <c r="N73" s="481" t="str">
        <v>France</v>
      </c>
      <c r="O73" s="481" t="str">
        <v>Argentina</v>
      </c>
      <c r="P73" s="481" t="str">
        <v>Colombia</v>
      </c>
      <c r="Q73" s="490" t="str">
        <v>England</v>
      </c>
    </row>
    <row r="74" spans="1:17" x14ac:dyDescent="0.2">
      <c r="A74" s="489">
        <v>71</v>
      </c>
      <c r="B74" s="481" t="str">
        <v>Mexico</v>
      </c>
      <c r="C74" s="481" t="str">
        <v>England</v>
      </c>
      <c r="D74" s="481" t="str">
        <v>Belgium</v>
      </c>
      <c r="E74" s="481" t="str">
        <v>Argentina</v>
      </c>
      <c r="F74" s="481" t="str">
        <v>Mexico</v>
      </c>
      <c r="G74" s="481" t="str">
        <v>Qatar</v>
      </c>
      <c r="H74" s="481" t="str">
        <v>Brazil</v>
      </c>
      <c r="I74" s="481" t="str">
        <v>USA</v>
      </c>
      <c r="J74" s="481" t="str">
        <v>Germany</v>
      </c>
      <c r="K74" s="481" t="str">
        <v>Netherlands</v>
      </c>
      <c r="L74" s="481" t="str">
        <v>Belgium</v>
      </c>
      <c r="M74" s="481" t="str">
        <v>Spain</v>
      </c>
      <c r="N74" s="481" t="str">
        <v>France</v>
      </c>
      <c r="O74" s="481" t="str">
        <v>Austria</v>
      </c>
      <c r="P74" s="481" t="str">
        <v>Portugal</v>
      </c>
      <c r="Q74" s="490" t="str">
        <v>Croatia</v>
      </c>
    </row>
    <row r="75" spans="1:17" x14ac:dyDescent="0.2">
      <c r="A75" s="489">
        <v>72</v>
      </c>
      <c r="B75" s="481" t="str">
        <v>France</v>
      </c>
      <c r="C75" s="481" t="str">
        <v>Germany</v>
      </c>
      <c r="D75" s="481" t="str">
        <v>Canada</v>
      </c>
      <c r="E75" s="481" t="str">
        <v>Portugal</v>
      </c>
      <c r="F75" s="481" t="str">
        <v>Mexico</v>
      </c>
      <c r="G75" s="481" t="str">
        <v>Qatar</v>
      </c>
      <c r="H75" s="481" t="str">
        <v>Brazil</v>
      </c>
      <c r="I75" s="481" t="str">
        <v>USA</v>
      </c>
      <c r="J75" s="481" t="str">
        <v>Germany</v>
      </c>
      <c r="K75" s="481" t="str">
        <v>Sweden</v>
      </c>
      <c r="L75" s="481" t="str">
        <v>Egypt</v>
      </c>
      <c r="M75" s="481" t="str">
        <v>Spain</v>
      </c>
      <c r="N75" s="481" t="str">
        <v>France</v>
      </c>
      <c r="O75" s="481" t="str">
        <v>Argentina</v>
      </c>
      <c r="P75" s="481" t="str">
        <v>Portugal</v>
      </c>
      <c r="Q75" s="490" t="str">
        <v>England</v>
      </c>
    </row>
    <row r="76" spans="1:17" x14ac:dyDescent="0.2">
      <c r="A76" s="489">
        <v>73</v>
      </c>
      <c r="B76" s="481" t="str">
        <v>Germany</v>
      </c>
      <c r="C76" s="481" t="str">
        <v>Germany</v>
      </c>
      <c r="D76" s="481" t="str">
        <v>France</v>
      </c>
      <c r="E76" s="481" t="str">
        <v>Australia</v>
      </c>
      <c r="F76" s="481" t="str">
        <v>Mexico</v>
      </c>
      <c r="G76" s="481" t="str">
        <v>Canada</v>
      </c>
      <c r="H76" s="481" t="str">
        <v>Brazil</v>
      </c>
      <c r="I76" s="481" t="str">
        <v>Australia</v>
      </c>
      <c r="J76" s="481" t="str">
        <v>Germany</v>
      </c>
      <c r="K76" s="481" t="str">
        <v>Japan</v>
      </c>
      <c r="L76" s="481" t="str">
        <v>Egypt</v>
      </c>
      <c r="M76" s="481" t="str">
        <v>Spain</v>
      </c>
      <c r="N76" s="481" t="str">
        <v>France</v>
      </c>
      <c r="O76" s="481" t="str">
        <v>Algeria</v>
      </c>
      <c r="P76" s="481" t="str">
        <v>Colombia</v>
      </c>
      <c r="Q76" s="490" t="str">
        <v>Panama</v>
      </c>
    </row>
    <row r="77" spans="1:17" x14ac:dyDescent="0.2">
      <c r="A77" s="489">
        <v>74</v>
      </c>
      <c r="B77" s="481" t="str">
        <v>Portugal</v>
      </c>
      <c r="C77" s="481" t="str">
        <v>Portugal</v>
      </c>
      <c r="D77" s="481" t="str">
        <v>Germany</v>
      </c>
      <c r="E77" s="481" t="str">
        <v>Brazil</v>
      </c>
      <c r="F77" s="481" t="str">
        <v>South Africa</v>
      </c>
      <c r="G77" s="481" t="str">
        <v>Qatar</v>
      </c>
      <c r="H77" s="481" t="str">
        <v>Brazil</v>
      </c>
      <c r="I77" s="481" t="str">
        <v>USA</v>
      </c>
      <c r="J77" s="481" t="str">
        <v>Ecuador</v>
      </c>
      <c r="K77" s="481" t="str">
        <v>Sweden</v>
      </c>
      <c r="L77" s="481" t="str">
        <v>Belgium</v>
      </c>
      <c r="M77" s="481" t="str">
        <v>Uruguay</v>
      </c>
      <c r="N77" s="481" t="str">
        <v>France</v>
      </c>
      <c r="O77" s="481" t="str">
        <v>Algeria</v>
      </c>
      <c r="P77" s="481" t="str">
        <v>Portugal</v>
      </c>
      <c r="Q77" s="490" t="str">
        <v>Croatia</v>
      </c>
    </row>
    <row r="78" spans="1:17" x14ac:dyDescent="0.2">
      <c r="A78" s="489">
        <v>75</v>
      </c>
      <c r="B78" s="481" t="str">
        <v>England</v>
      </c>
      <c r="C78" s="481" t="str">
        <v>Switzerland</v>
      </c>
      <c r="D78" s="481" t="str">
        <v>Austria</v>
      </c>
      <c r="E78" s="481" t="str">
        <v>Morocco</v>
      </c>
      <c r="F78" s="481" t="str">
        <v>Mexico</v>
      </c>
      <c r="G78" s="481" t="str">
        <v>Canada</v>
      </c>
      <c r="H78" s="481" t="str">
        <v>Morocco</v>
      </c>
      <c r="I78" s="481" t="str">
        <v>Australia</v>
      </c>
      <c r="J78" s="481" t="str">
        <v>Germany</v>
      </c>
      <c r="K78" s="481" t="str">
        <v>Netherlands</v>
      </c>
      <c r="L78" s="481" t="str">
        <v>IR Iran</v>
      </c>
      <c r="M78" s="481" t="str">
        <v>Spain</v>
      </c>
      <c r="N78" s="481" t="str">
        <v>France</v>
      </c>
      <c r="O78" s="481" t="str">
        <v>Austria</v>
      </c>
      <c r="P78" s="481" t="str">
        <v>Colombia</v>
      </c>
      <c r="Q78" s="490" t="str">
        <v>Croatia</v>
      </c>
    </row>
    <row r="79" spans="1:17" x14ac:dyDescent="0.2">
      <c r="A79" s="489">
        <v>76</v>
      </c>
      <c r="B79" s="481" t="str">
        <v>Japan</v>
      </c>
      <c r="C79" s="481" t="str">
        <v>Portugal</v>
      </c>
      <c r="D79" s="481" t="str">
        <v>Belgium</v>
      </c>
      <c r="E79" s="481" t="str">
        <v>Belgium</v>
      </c>
      <c r="F79" s="481" t="str">
        <v>Korea Republic</v>
      </c>
      <c r="G79" s="481" t="str">
        <v>Switzerland</v>
      </c>
      <c r="H79" s="481" t="str">
        <v>Morocco</v>
      </c>
      <c r="I79" s="481" t="str">
        <v>USA</v>
      </c>
      <c r="J79" s="481" t="str">
        <v>Germany</v>
      </c>
      <c r="K79" s="481" t="str">
        <v>Japan</v>
      </c>
      <c r="L79" s="481" t="str">
        <v>Egypt</v>
      </c>
      <c r="M79" s="481" t="str">
        <v>Spain</v>
      </c>
      <c r="N79" s="481" t="str">
        <v>France</v>
      </c>
      <c r="O79" s="481" t="str">
        <v>Austria</v>
      </c>
      <c r="P79" s="481" t="str">
        <v>Portugal</v>
      </c>
      <c r="Q79" s="490" t="str">
        <v>England</v>
      </c>
    </row>
    <row r="80" spans="1:17" x14ac:dyDescent="0.2">
      <c r="A80" s="489">
        <v>77</v>
      </c>
      <c r="B80" s="481" t="str">
        <v>Czechia</v>
      </c>
      <c r="C80" s="481" t="str">
        <v>Argentina</v>
      </c>
      <c r="D80" s="481" t="str">
        <v>Mexico</v>
      </c>
      <c r="E80" s="481" t="str">
        <v>Norway</v>
      </c>
      <c r="F80" s="481" t="str">
        <v>Mexico</v>
      </c>
      <c r="G80" s="481" t="str">
        <v>Canada</v>
      </c>
      <c r="H80" s="481" t="str">
        <v>Morocco</v>
      </c>
      <c r="I80" s="481" t="str">
        <v>USA</v>
      </c>
      <c r="J80" s="481" t="str">
        <v>Germany</v>
      </c>
      <c r="K80" s="481" t="str">
        <v>Sweden</v>
      </c>
      <c r="L80" s="481" t="str">
        <v>Belgium</v>
      </c>
      <c r="M80" s="481" t="str">
        <v>Spain</v>
      </c>
      <c r="N80" s="481" t="str">
        <v>France</v>
      </c>
      <c r="O80" s="481" t="str">
        <v>Argentina</v>
      </c>
      <c r="P80" s="481" t="str">
        <v>Portugal</v>
      </c>
      <c r="Q80" s="490" t="str">
        <v>England</v>
      </c>
    </row>
    <row r="81" spans="1:17" x14ac:dyDescent="0.2">
      <c r="A81" s="489">
        <v>78</v>
      </c>
      <c r="B81" s="481" t="str">
        <v>England</v>
      </c>
      <c r="C81" s="481" t="str">
        <v>Scotland</v>
      </c>
      <c r="D81" s="481" t="str">
        <v>Belgium</v>
      </c>
      <c r="E81" s="481" t="str">
        <v>Argentina</v>
      </c>
      <c r="F81" s="481" t="str">
        <v>Mexico</v>
      </c>
      <c r="G81" s="481" t="str">
        <v>Switzerland</v>
      </c>
      <c r="H81" s="481" t="str">
        <v>Scotland</v>
      </c>
      <c r="I81" s="481" t="str">
        <v>Turkiye</v>
      </c>
      <c r="J81" s="481" t="str">
        <v>Germany</v>
      </c>
      <c r="K81" s="481" t="str">
        <v>Japan</v>
      </c>
      <c r="L81" s="481" t="str">
        <v>Egypt</v>
      </c>
      <c r="M81" s="481" t="str">
        <v>Spain</v>
      </c>
      <c r="N81" s="481" t="str">
        <v>France</v>
      </c>
      <c r="O81" s="481" t="str">
        <v>Argentina</v>
      </c>
      <c r="P81" s="481" t="str">
        <v>Colombia</v>
      </c>
      <c r="Q81" s="490" t="str">
        <v>England</v>
      </c>
    </row>
    <row r="82" spans="1:17" x14ac:dyDescent="0.2">
      <c r="A82" s="489">
        <v>79</v>
      </c>
      <c r="B82" s="481" t="str">
        <v>Portugal</v>
      </c>
      <c r="C82" s="481" t="str">
        <v>Norway</v>
      </c>
      <c r="D82" s="481" t="str">
        <v>Portugal</v>
      </c>
      <c r="E82" s="481" t="str">
        <v>Spain</v>
      </c>
      <c r="F82" s="481" t="str">
        <v>Mexico</v>
      </c>
      <c r="G82" s="481" t="str">
        <v>Switzerland</v>
      </c>
      <c r="H82" s="481" t="str">
        <v>Morocco</v>
      </c>
      <c r="I82" s="481" t="str">
        <v>Australia</v>
      </c>
      <c r="J82" s="481" t="str">
        <v>Germany</v>
      </c>
      <c r="K82" s="481" t="str">
        <v>Japan</v>
      </c>
      <c r="L82" s="481" t="str">
        <v>IR Iran</v>
      </c>
      <c r="M82" s="481" t="str">
        <v>Spain</v>
      </c>
      <c r="N82" s="481" t="str">
        <v>France</v>
      </c>
      <c r="O82" s="481" t="str">
        <v>Argentina</v>
      </c>
      <c r="P82" s="481" t="str">
        <v>Portugal</v>
      </c>
      <c r="Q82" s="490" t="str">
        <v>Croatia</v>
      </c>
    </row>
    <row r="83" spans="1:17" x14ac:dyDescent="0.2">
      <c r="A83" s="489">
        <v>80</v>
      </c>
      <c r="B83" s="481" t="str">
        <v>Senegal</v>
      </c>
      <c r="C83" s="481" t="str">
        <v>Argentina</v>
      </c>
      <c r="D83" s="481" t="str">
        <v>Panama</v>
      </c>
      <c r="E83" s="481" t="str">
        <v>Brazil</v>
      </c>
      <c r="F83" s="481" t="str">
        <v>Mexico</v>
      </c>
      <c r="G83" s="481" t="str">
        <v>Switzerland</v>
      </c>
      <c r="H83" s="481" t="str">
        <v>Brazil</v>
      </c>
      <c r="I83" s="481" t="str">
        <v>USA</v>
      </c>
      <c r="J83" s="481" t="str">
        <v>Germany</v>
      </c>
      <c r="K83" s="481" t="str">
        <v>Sweden</v>
      </c>
      <c r="L83" s="481" t="str">
        <v>Egypt</v>
      </c>
      <c r="M83" s="481" t="str">
        <v>Spain</v>
      </c>
      <c r="N83" s="481" t="str">
        <v>Norway</v>
      </c>
      <c r="O83" s="481" t="str">
        <v>Argentina</v>
      </c>
      <c r="P83" s="481" t="str">
        <v>Portugal</v>
      </c>
      <c r="Q83" s="490" t="str">
        <v>England</v>
      </c>
    </row>
    <row r="84" spans="1:17" x14ac:dyDescent="0.2">
      <c r="A84" s="489">
        <v>81</v>
      </c>
      <c r="B84" s="481" t="str">
        <v>Colombia</v>
      </c>
      <c r="C84" s="481" t="str">
        <v>Netherlands</v>
      </c>
      <c r="D84" s="481" t="str">
        <v>Spain</v>
      </c>
      <c r="E84" s="481" t="str">
        <v>Belgium</v>
      </c>
      <c r="F84" s="481" t="str">
        <v>Korea Republic</v>
      </c>
      <c r="G84" s="481" t="str">
        <v>Qatar</v>
      </c>
      <c r="H84" s="481" t="str">
        <v>Morocco</v>
      </c>
      <c r="I84" s="481" t="str">
        <v>Australia</v>
      </c>
      <c r="J84" s="481" t="str">
        <v>Germany</v>
      </c>
      <c r="K84" s="481" t="str">
        <v>Netherlands</v>
      </c>
      <c r="L84" s="481" t="str">
        <v>Belgium</v>
      </c>
      <c r="M84" s="481" t="str">
        <v>Spain</v>
      </c>
      <c r="N84" s="481" t="str">
        <v>France</v>
      </c>
      <c r="O84" s="481" t="str">
        <v>Argentina</v>
      </c>
      <c r="P84" s="481" t="str">
        <v>Portugal</v>
      </c>
      <c r="Q84" s="490" t="str">
        <v>Panama</v>
      </c>
    </row>
    <row r="85" spans="1:17" x14ac:dyDescent="0.2">
      <c r="A85" s="489">
        <v>82</v>
      </c>
      <c r="B85" s="481" t="str">
        <v>England</v>
      </c>
      <c r="C85" s="481" t="str">
        <v>Argentina</v>
      </c>
      <c r="D85" s="481" t="str">
        <v>Spain</v>
      </c>
      <c r="E85" s="481" t="str">
        <v>Korea Republic</v>
      </c>
      <c r="F85" s="481" t="str">
        <v>Mexico</v>
      </c>
      <c r="G85" s="481" t="str">
        <v>Qatar</v>
      </c>
      <c r="H85" s="481" t="str">
        <v>Brazil</v>
      </c>
      <c r="I85" s="481" t="str">
        <v>Paraguay</v>
      </c>
      <c r="J85" s="481" t="str">
        <v>Germany</v>
      </c>
      <c r="K85" s="481" t="str">
        <v>Sweden</v>
      </c>
      <c r="L85" s="481" t="str">
        <v>IR Iran</v>
      </c>
      <c r="M85" s="481" t="str">
        <v>Spain</v>
      </c>
      <c r="N85" s="481" t="str">
        <v>Norway</v>
      </c>
      <c r="O85" s="481" t="str">
        <v>Argentina</v>
      </c>
      <c r="P85" s="481" t="str">
        <v>Portugal</v>
      </c>
      <c r="Q85" s="490" t="str">
        <v>Croatia</v>
      </c>
    </row>
    <row r="86" spans="1:17" x14ac:dyDescent="0.2">
      <c r="A86" s="489">
        <v>83</v>
      </c>
      <c r="B86" s="481" t="str">
        <v>Spain</v>
      </c>
      <c r="C86" s="481" t="str">
        <v>Belgium</v>
      </c>
      <c r="D86" s="481" t="str">
        <v>Sweden</v>
      </c>
      <c r="E86" s="481" t="str">
        <v>France</v>
      </c>
      <c r="F86" s="481" t="str">
        <v>Korea Republic</v>
      </c>
      <c r="G86" s="481" t="str">
        <v>Switzerland</v>
      </c>
      <c r="H86" s="481" t="str">
        <v>Morocco</v>
      </c>
      <c r="I86" s="481" t="str">
        <v>USA</v>
      </c>
      <c r="J86" s="481" t="str">
        <v>Germany</v>
      </c>
      <c r="K86" s="481" t="str">
        <v>Netherlands</v>
      </c>
      <c r="L86" s="481" t="str">
        <v>IR Iran</v>
      </c>
      <c r="M86" s="481" t="str">
        <v>Spain</v>
      </c>
      <c r="N86" s="481" t="str">
        <v>France</v>
      </c>
      <c r="O86" s="481" t="str">
        <v>Argentina</v>
      </c>
      <c r="P86" s="481" t="str">
        <v>Colombia</v>
      </c>
      <c r="Q86" s="490" t="str">
        <v>England</v>
      </c>
    </row>
    <row r="87" spans="1:17" x14ac:dyDescent="0.2">
      <c r="A87" s="489">
        <v>84</v>
      </c>
      <c r="B87" s="481" t="str">
        <v>Portugal</v>
      </c>
      <c r="C87" s="481" t="str">
        <v>Croatia</v>
      </c>
      <c r="D87" s="481" t="str">
        <v>USA</v>
      </c>
      <c r="E87" s="481" t="str">
        <v>England</v>
      </c>
      <c r="F87" s="481" t="str">
        <v>Korea Republic</v>
      </c>
      <c r="G87" s="481" t="str">
        <v>Canada</v>
      </c>
      <c r="H87" s="481" t="str">
        <v>Brazil</v>
      </c>
      <c r="I87" s="481" t="str">
        <v>Australia</v>
      </c>
      <c r="J87" s="481" t="str">
        <v>Germany</v>
      </c>
      <c r="K87" s="481" t="str">
        <v>Sweden</v>
      </c>
      <c r="L87" s="481" t="str">
        <v>Belgium</v>
      </c>
      <c r="M87" s="481" t="str">
        <v>Spain</v>
      </c>
      <c r="N87" s="481" t="str">
        <v>France</v>
      </c>
      <c r="O87" s="481" t="str">
        <v>Argentina</v>
      </c>
      <c r="P87" s="481" t="str">
        <v>Portugal</v>
      </c>
      <c r="Q87" s="490" t="str">
        <v>England</v>
      </c>
    </row>
    <row r="88" spans="1:17" x14ac:dyDescent="0.2">
      <c r="A88" s="489">
        <v>85</v>
      </c>
      <c r="B88" s="481" t="str">
        <v>France</v>
      </c>
      <c r="C88" s="481" t="str">
        <v>Morocco</v>
      </c>
      <c r="D88" s="481" t="str">
        <v>Brazil</v>
      </c>
      <c r="E88" s="481" t="str">
        <v>Switzerland</v>
      </c>
      <c r="F88" s="481" t="str">
        <v>Mexico</v>
      </c>
      <c r="G88" s="481" t="str">
        <v>Switzerland</v>
      </c>
      <c r="H88" s="481" t="str">
        <v>Brazil</v>
      </c>
      <c r="I88" s="481" t="str">
        <v>USA</v>
      </c>
      <c r="J88" s="481" t="str">
        <v>Germany</v>
      </c>
      <c r="K88" s="481" t="str">
        <v>Netherlands</v>
      </c>
      <c r="L88" s="481" t="str">
        <v>IR Iran</v>
      </c>
      <c r="M88" s="481" t="str">
        <v>Spain</v>
      </c>
      <c r="N88" s="481" t="str">
        <v>Senegal</v>
      </c>
      <c r="O88" s="481" t="str">
        <v>Argentina</v>
      </c>
      <c r="P88" s="481" t="str">
        <v>Portugal</v>
      </c>
      <c r="Q88" s="490" t="str">
        <v>England</v>
      </c>
    </row>
    <row r="89" spans="1:17" x14ac:dyDescent="0.2">
      <c r="A89" s="489">
        <v>86</v>
      </c>
      <c r="B89" s="481" t="str">
        <v>Uruguay</v>
      </c>
      <c r="C89" s="481" t="str">
        <v>Brazil</v>
      </c>
      <c r="D89" s="481" t="str">
        <v>Colombia</v>
      </c>
      <c r="E89" s="481" t="str">
        <v>Cote d'Ivorie</v>
      </c>
      <c r="F89" s="481" t="str">
        <v>Mexico</v>
      </c>
      <c r="G89" s="481" t="str">
        <v>Switzerland</v>
      </c>
      <c r="H89" s="481" t="str">
        <v>Brazil</v>
      </c>
      <c r="I89" s="481" t="str">
        <v>Australia</v>
      </c>
      <c r="J89" s="481" t="str">
        <v>Germany</v>
      </c>
      <c r="K89" s="481" t="str">
        <v>Netherlands</v>
      </c>
      <c r="L89" s="481" t="str">
        <v>Belgium</v>
      </c>
      <c r="M89" s="481" t="str">
        <v>Spain</v>
      </c>
      <c r="N89" s="481" t="str">
        <v>France</v>
      </c>
      <c r="O89" s="481" t="str">
        <v>Argentina</v>
      </c>
      <c r="P89" s="481" t="str">
        <v>Colombia</v>
      </c>
      <c r="Q89" s="490" t="str">
        <v>England</v>
      </c>
    </row>
    <row r="90" spans="1:17" x14ac:dyDescent="0.2">
      <c r="A90" s="489">
        <v>87</v>
      </c>
      <c r="B90" s="481" t="str">
        <v>Spain</v>
      </c>
      <c r="C90" s="481" t="str">
        <v>Germany</v>
      </c>
      <c r="D90" s="481" t="str">
        <v>Netherlands</v>
      </c>
      <c r="E90" s="481" t="str">
        <v>Norway</v>
      </c>
      <c r="F90" s="481" t="str">
        <v>Mexico</v>
      </c>
      <c r="G90" s="481" t="str">
        <v>Canada</v>
      </c>
      <c r="H90" s="481" t="str">
        <v>Morocco</v>
      </c>
      <c r="I90" s="481" t="str">
        <v>USA</v>
      </c>
      <c r="J90" s="481" t="str">
        <v>Germany</v>
      </c>
      <c r="K90" s="481" t="str">
        <v>Sweden</v>
      </c>
      <c r="L90" s="481" t="str">
        <v>Belgium</v>
      </c>
      <c r="M90" s="481" t="str">
        <v>Spain</v>
      </c>
      <c r="N90" s="481" t="str">
        <v>Senegal</v>
      </c>
      <c r="O90" s="481" t="str">
        <v>Argentina</v>
      </c>
      <c r="P90" s="481" t="str">
        <v>Portugal</v>
      </c>
      <c r="Q90" s="490" t="str">
        <v>England</v>
      </c>
    </row>
    <row r="91" spans="1:17" x14ac:dyDescent="0.2">
      <c r="A91" s="489">
        <v>88</v>
      </c>
      <c r="B91" s="481" t="str">
        <v>Uruguay</v>
      </c>
      <c r="C91" s="481" t="str">
        <v>Japan</v>
      </c>
      <c r="D91" s="481" t="str">
        <v>England</v>
      </c>
      <c r="E91" s="481" t="str">
        <v>Turkiye</v>
      </c>
      <c r="F91" s="481" t="str">
        <v>Czechia</v>
      </c>
      <c r="G91" s="481" t="str">
        <v>Canada</v>
      </c>
      <c r="H91" s="481" t="str">
        <v>Scotland</v>
      </c>
      <c r="I91" s="481" t="str">
        <v>USA</v>
      </c>
      <c r="J91" s="481" t="str">
        <v>Germany</v>
      </c>
      <c r="K91" s="481" t="str">
        <v>Netherlands</v>
      </c>
      <c r="L91" s="481" t="str">
        <v>IR Iran</v>
      </c>
      <c r="M91" s="481" t="str">
        <v>Spain</v>
      </c>
      <c r="N91" s="481" t="str">
        <v>Iraq</v>
      </c>
      <c r="O91" s="481" t="str">
        <v>Austria</v>
      </c>
      <c r="P91" s="481" t="str">
        <v>Colombia</v>
      </c>
      <c r="Q91" s="490" t="str">
        <v>Croatia</v>
      </c>
    </row>
    <row r="92" spans="1:17" x14ac:dyDescent="0.2">
      <c r="A92" s="489">
        <v>89</v>
      </c>
      <c r="B92" s="481" t="str">
        <v>Spain</v>
      </c>
      <c r="C92" s="481" t="str">
        <v>Uruguay</v>
      </c>
      <c r="D92" s="481" t="str">
        <v>Morocco</v>
      </c>
      <c r="E92" s="481" t="str">
        <v>Netherlands</v>
      </c>
      <c r="F92" s="481" t="str">
        <v>Korea Republic</v>
      </c>
      <c r="G92" s="481" t="str">
        <v>Switzerland</v>
      </c>
      <c r="H92" s="481" t="str">
        <v>Scotland</v>
      </c>
      <c r="I92" s="481" t="str">
        <v>USA</v>
      </c>
      <c r="J92" s="481" t="str">
        <v>Germany</v>
      </c>
      <c r="K92" s="481" t="str">
        <v>Sweden</v>
      </c>
      <c r="L92" s="481" t="str">
        <v>Egypt</v>
      </c>
      <c r="M92" s="481" t="str">
        <v>Spain</v>
      </c>
      <c r="N92" s="481" t="str">
        <v>Norway</v>
      </c>
      <c r="O92" s="481" t="str">
        <v>Argentina</v>
      </c>
      <c r="P92" s="481" t="str">
        <v>Portugal</v>
      </c>
      <c r="Q92" s="490" t="str">
        <v>Ghana</v>
      </c>
    </row>
    <row r="93" spans="1:17" x14ac:dyDescent="0.2">
      <c r="A93" s="489">
        <v>90</v>
      </c>
      <c r="B93" s="481" t="str">
        <v>England</v>
      </c>
      <c r="C93" s="481" t="str">
        <v>Turkiye</v>
      </c>
      <c r="D93" s="481" t="str">
        <v>Norway</v>
      </c>
      <c r="E93" s="481" t="str">
        <v>Austria</v>
      </c>
      <c r="F93" s="481" t="str">
        <v>Korea Republic</v>
      </c>
      <c r="G93" s="481" t="str">
        <v>Bosnia-Herzegovina</v>
      </c>
      <c r="H93" s="481" t="str">
        <v>Brazil</v>
      </c>
      <c r="I93" s="481" t="str">
        <v>USA</v>
      </c>
      <c r="J93" s="481" t="str">
        <v>Germany</v>
      </c>
      <c r="K93" s="481" t="str">
        <v>Netherlands</v>
      </c>
      <c r="L93" s="481" t="str">
        <v>Belgium</v>
      </c>
      <c r="M93" s="481" t="str">
        <v>Spain</v>
      </c>
      <c r="N93" s="481" t="str">
        <v>France</v>
      </c>
      <c r="O93" s="481" t="str">
        <v>Argentina</v>
      </c>
      <c r="P93" s="481" t="str">
        <v>Colombia</v>
      </c>
      <c r="Q93" s="490" t="str">
        <v>England</v>
      </c>
    </row>
    <row r="94" spans="1:17" x14ac:dyDescent="0.2">
      <c r="A94" s="489">
        <v>91</v>
      </c>
      <c r="B94" s="481" t="str">
        <v>Morocco</v>
      </c>
      <c r="C94" s="481" t="str">
        <v>Brazil</v>
      </c>
      <c r="D94" s="481" t="str">
        <v>USA</v>
      </c>
      <c r="E94" s="481" t="str">
        <v>Belgium</v>
      </c>
      <c r="F94" s="481" t="str">
        <v>Korea Republic</v>
      </c>
      <c r="G94" s="481" t="str">
        <v>Qatar</v>
      </c>
      <c r="H94" s="481" t="str">
        <v>Brazil</v>
      </c>
      <c r="I94" s="481" t="str">
        <v>Paraguay</v>
      </c>
      <c r="J94" s="481" t="str">
        <v>Ecuador</v>
      </c>
      <c r="K94" s="481" t="str">
        <v>Netherlands</v>
      </c>
      <c r="L94" s="481" t="str">
        <v>Belgium</v>
      </c>
      <c r="M94" s="481" t="str">
        <v>Spain</v>
      </c>
      <c r="N94" s="481" t="str">
        <v>France</v>
      </c>
      <c r="O94" s="481" t="str">
        <v>Algeria</v>
      </c>
      <c r="P94" s="481" t="str">
        <v>Portugal</v>
      </c>
      <c r="Q94" s="490" t="str">
        <v>England</v>
      </c>
    </row>
    <row r="95" spans="1:17" x14ac:dyDescent="0.2">
      <c r="A95" s="489">
        <v>92</v>
      </c>
      <c r="B95" s="481" t="str">
        <v>Morocco</v>
      </c>
      <c r="C95" s="481" t="str">
        <v>Belgium</v>
      </c>
      <c r="D95" s="481" t="str">
        <v>France</v>
      </c>
      <c r="E95" s="481" t="str">
        <v>Norway</v>
      </c>
      <c r="F95" s="481" t="str">
        <v>Mexico</v>
      </c>
      <c r="G95" s="481" t="str">
        <v>Qatar</v>
      </c>
      <c r="H95" s="481" t="str">
        <v>Brazil</v>
      </c>
      <c r="I95" s="481" t="str">
        <v>USA</v>
      </c>
      <c r="J95" s="481" t="str">
        <v>Germany</v>
      </c>
      <c r="K95" s="481" t="str">
        <v>Netherlands</v>
      </c>
      <c r="L95" s="481" t="str">
        <v>Egypt</v>
      </c>
      <c r="M95" s="481" t="str">
        <v>Spain</v>
      </c>
      <c r="N95" s="481" t="str">
        <v>France</v>
      </c>
      <c r="O95" s="481" t="str">
        <v>Argentina</v>
      </c>
      <c r="P95" s="481" t="str">
        <v>Portugal</v>
      </c>
      <c r="Q95" s="490" t="str">
        <v>England</v>
      </c>
    </row>
    <row r="96" spans="1:17" x14ac:dyDescent="0.2">
      <c r="A96" s="489">
        <v>93</v>
      </c>
      <c r="B96" s="481" t="str">
        <v>Brazil</v>
      </c>
      <c r="C96" s="481" t="str">
        <v>France</v>
      </c>
      <c r="D96" s="481" t="str">
        <v>Belgium</v>
      </c>
      <c r="E96" s="481" t="str">
        <v>France</v>
      </c>
      <c r="F96" s="481" t="str">
        <v>Czechia</v>
      </c>
      <c r="G96" s="481" t="str">
        <v>Switzerland</v>
      </c>
      <c r="H96" s="481" t="str">
        <v>Brazil</v>
      </c>
      <c r="I96" s="481" t="str">
        <v>Australia</v>
      </c>
      <c r="J96" s="481" t="str">
        <v>Cote d'Ivorie</v>
      </c>
      <c r="K96" s="481" t="str">
        <v>Netherlands</v>
      </c>
      <c r="L96" s="481" t="str">
        <v>Belgium</v>
      </c>
      <c r="M96" s="481" t="str">
        <v>Spain</v>
      </c>
      <c r="N96" s="481" t="str">
        <v>Norway</v>
      </c>
      <c r="O96" s="481" t="str">
        <v>Argentina</v>
      </c>
      <c r="P96" s="481" t="str">
        <v>Portugal</v>
      </c>
      <c r="Q96" s="490" t="str">
        <v>Croatia</v>
      </c>
    </row>
    <row r="97" spans="1:17" x14ac:dyDescent="0.2">
      <c r="A97" s="489">
        <v>94</v>
      </c>
      <c r="B97" s="481" t="str">
        <v>Portugal</v>
      </c>
      <c r="C97" s="481" t="str">
        <v>Argentina</v>
      </c>
      <c r="D97" s="481" t="str">
        <v>Uruguay</v>
      </c>
      <c r="E97" s="481" t="str">
        <v>Spain</v>
      </c>
      <c r="F97" s="481" t="str">
        <v>Korea Republic</v>
      </c>
      <c r="G97" s="481" t="str">
        <v>Canada</v>
      </c>
      <c r="H97" s="481" t="str">
        <v>Brazil</v>
      </c>
      <c r="I97" s="481" t="str">
        <v>USA</v>
      </c>
      <c r="J97" s="481" t="str">
        <v>Germany</v>
      </c>
      <c r="K97" s="481" t="str">
        <v>Sweden</v>
      </c>
      <c r="L97" s="481" t="str">
        <v>Egypt</v>
      </c>
      <c r="M97" s="481" t="str">
        <v>Spain</v>
      </c>
      <c r="N97" s="481" t="str">
        <v>Senegal</v>
      </c>
      <c r="O97" s="481" t="str">
        <v>Argentina</v>
      </c>
      <c r="P97" s="481" t="str">
        <v>Colombia</v>
      </c>
      <c r="Q97" s="490" t="str">
        <v>England</v>
      </c>
    </row>
    <row r="98" spans="1:17" x14ac:dyDescent="0.2">
      <c r="A98" s="489">
        <v>95</v>
      </c>
      <c r="B98" s="481" t="str">
        <v>France</v>
      </c>
      <c r="C98" s="481" t="str">
        <v>Colombia</v>
      </c>
      <c r="D98" s="481" t="str">
        <v>Colombia</v>
      </c>
      <c r="E98" s="481" t="str">
        <v>Spain</v>
      </c>
      <c r="F98" s="481" t="str">
        <v>Korea Republic</v>
      </c>
      <c r="G98" s="481" t="str">
        <v>Canada</v>
      </c>
      <c r="H98" s="481" t="str">
        <v>Morocco</v>
      </c>
      <c r="I98" s="481" t="str">
        <v>USA</v>
      </c>
      <c r="J98" s="481" t="str">
        <v>Germany</v>
      </c>
      <c r="K98" s="481" t="str">
        <v>Netherlands</v>
      </c>
      <c r="L98" s="481" t="str">
        <v>Belgium</v>
      </c>
      <c r="M98" s="481" t="str">
        <v>Uruguay</v>
      </c>
      <c r="N98" s="481" t="str">
        <v>France</v>
      </c>
      <c r="O98" s="481" t="str">
        <v>Argentina</v>
      </c>
      <c r="P98" s="481" t="str">
        <v>Portugal</v>
      </c>
      <c r="Q98" s="490" t="str">
        <v>Croatia</v>
      </c>
    </row>
    <row r="99" spans="1:17" x14ac:dyDescent="0.2">
      <c r="A99" s="489">
        <v>96</v>
      </c>
      <c r="B99" s="481" t="str">
        <v>USA</v>
      </c>
      <c r="C99" s="481" t="str">
        <v>Portugal</v>
      </c>
      <c r="D99" s="481" t="str">
        <v>Brazil</v>
      </c>
      <c r="E99" s="481" t="str">
        <v>Colombia</v>
      </c>
      <c r="F99" s="481" t="str">
        <v>Mexico</v>
      </c>
      <c r="G99" s="481" t="str">
        <v>Canada</v>
      </c>
      <c r="H99" s="481" t="str">
        <v>Morocco</v>
      </c>
      <c r="I99" s="481" t="str">
        <v>USA</v>
      </c>
      <c r="J99" s="481" t="str">
        <v>Germany</v>
      </c>
      <c r="K99" s="481" t="str">
        <v>Sweden</v>
      </c>
      <c r="L99" s="481" t="str">
        <v>Belgium</v>
      </c>
      <c r="M99" s="481" t="str">
        <v>Spain</v>
      </c>
      <c r="N99" s="481" t="str">
        <v>Iraq</v>
      </c>
      <c r="O99" s="481" t="str">
        <v>Austria</v>
      </c>
      <c r="P99" s="481" t="str">
        <v>Colombia</v>
      </c>
      <c r="Q99" s="490" t="str">
        <v>England</v>
      </c>
    </row>
    <row r="100" spans="1:17" x14ac:dyDescent="0.2">
      <c r="A100" s="489">
        <v>97</v>
      </c>
      <c r="B100" s="481" t="str">
        <v>Germany</v>
      </c>
      <c r="C100" s="481" t="str">
        <v>Argentina</v>
      </c>
      <c r="D100" s="481" t="str">
        <v>Spain</v>
      </c>
      <c r="E100" s="481" t="str">
        <v>England</v>
      </c>
      <c r="F100" s="481" t="str">
        <v>Mexico</v>
      </c>
      <c r="G100" s="481" t="str">
        <v>Canada</v>
      </c>
      <c r="H100" s="481" t="str">
        <v>Scotland</v>
      </c>
      <c r="I100" s="481" t="str">
        <v>Australia</v>
      </c>
      <c r="J100" s="481" t="str">
        <v>Germany</v>
      </c>
      <c r="K100" s="481" t="str">
        <v>Netherlands</v>
      </c>
      <c r="L100" s="481" t="str">
        <v>IR Iran</v>
      </c>
      <c r="M100" s="481" t="str">
        <v>Spain</v>
      </c>
      <c r="N100" s="481" t="str">
        <v>Norway</v>
      </c>
      <c r="O100" s="481" t="str">
        <v>Austria</v>
      </c>
      <c r="P100" s="481" t="str">
        <v>Portugal</v>
      </c>
      <c r="Q100" s="490" t="str">
        <v>England</v>
      </c>
    </row>
    <row r="101" spans="1:17" x14ac:dyDescent="0.2">
      <c r="A101" s="489">
        <v>98</v>
      </c>
      <c r="B101" s="481" t="str">
        <v>Argentina</v>
      </c>
      <c r="C101" s="481" t="str">
        <v>Japan</v>
      </c>
      <c r="D101" s="481" t="str">
        <v>Portugal</v>
      </c>
      <c r="E101" s="481" t="str">
        <v>Netherlands</v>
      </c>
      <c r="F101" s="481" t="str">
        <v>Mexico</v>
      </c>
      <c r="G101" s="481" t="str">
        <v>Switzerland</v>
      </c>
      <c r="H101" s="481" t="str">
        <v>Brazil</v>
      </c>
      <c r="I101" s="481" t="str">
        <v>USA</v>
      </c>
      <c r="J101" s="481" t="str">
        <v>Germany</v>
      </c>
      <c r="K101" s="481" t="str">
        <v>Sweden</v>
      </c>
      <c r="L101" s="481" t="str">
        <v>IR Iran</v>
      </c>
      <c r="M101" s="481" t="str">
        <v>Spain</v>
      </c>
      <c r="N101" s="481" t="str">
        <v>France</v>
      </c>
      <c r="O101" s="481" t="str">
        <v>Austria</v>
      </c>
      <c r="P101" s="481" t="str">
        <v>Portugal</v>
      </c>
      <c r="Q101" s="490" t="str">
        <v>Croatia</v>
      </c>
    </row>
    <row r="102" spans="1:17" x14ac:dyDescent="0.2">
      <c r="A102" s="489">
        <v>99</v>
      </c>
      <c r="B102" s="481" t="str">
        <v>Brazil</v>
      </c>
      <c r="C102" s="481" t="str">
        <v>England</v>
      </c>
      <c r="D102" s="481" t="str">
        <v>England</v>
      </c>
      <c r="E102" s="481" t="str">
        <v>Korea Republic</v>
      </c>
      <c r="F102" s="481" t="str">
        <v>Mexico</v>
      </c>
      <c r="G102" s="481" t="str">
        <v>Canada</v>
      </c>
      <c r="H102" s="481" t="str">
        <v>Morocco</v>
      </c>
      <c r="I102" s="481" t="str">
        <v>USA</v>
      </c>
      <c r="J102" s="481" t="str">
        <v>Germany</v>
      </c>
      <c r="K102" s="481" t="str">
        <v>Sweden</v>
      </c>
      <c r="L102" s="481" t="str">
        <v>Belgium</v>
      </c>
      <c r="M102" s="481" t="str">
        <v>Uruguay</v>
      </c>
      <c r="N102" s="481" t="str">
        <v>France</v>
      </c>
      <c r="O102" s="481" t="str">
        <v>Argentina</v>
      </c>
      <c r="P102" s="481" t="str">
        <v>Portugal</v>
      </c>
      <c r="Q102" s="490" t="str">
        <v>England</v>
      </c>
    </row>
    <row r="103" spans="1:17" x14ac:dyDescent="0.2">
      <c r="A103" s="489">
        <v>100</v>
      </c>
      <c r="B103" s="481" t="str">
        <v>Mexico</v>
      </c>
      <c r="C103" s="481" t="str">
        <v>Netherlands</v>
      </c>
      <c r="D103" s="481" t="str">
        <v>Norway</v>
      </c>
      <c r="E103" s="481" t="str">
        <v>Jordan</v>
      </c>
      <c r="F103" s="481" t="str">
        <v>Mexico</v>
      </c>
      <c r="G103" s="481" t="str">
        <v>Switzerland</v>
      </c>
      <c r="H103" s="481" t="str">
        <v>Brazil</v>
      </c>
      <c r="I103" s="481" t="str">
        <v>USA</v>
      </c>
      <c r="J103" s="481" t="str">
        <v>Ecuador</v>
      </c>
      <c r="K103" s="481" t="str">
        <v>Netherlands</v>
      </c>
      <c r="L103" s="481" t="str">
        <v>Egypt</v>
      </c>
      <c r="M103" s="481" t="str">
        <v>Spain</v>
      </c>
      <c r="N103" s="481" t="str">
        <v>Norway</v>
      </c>
      <c r="O103" s="481" t="str">
        <v>Argentina</v>
      </c>
      <c r="P103" s="481" t="str">
        <v>Portugal</v>
      </c>
      <c r="Q103" s="490" t="str">
        <v>Croatia</v>
      </c>
    </row>
    <row r="104" spans="1:17" x14ac:dyDescent="0.2">
      <c r="A104" s="489">
        <v>101</v>
      </c>
      <c r="B104" s="481" t="str">
        <v>France</v>
      </c>
      <c r="C104" s="481" t="str">
        <v>Brazil</v>
      </c>
      <c r="D104" s="481" t="str">
        <v>USA</v>
      </c>
      <c r="E104" s="481" t="str">
        <v>Canada</v>
      </c>
      <c r="F104" s="481" t="str">
        <v>Mexico</v>
      </c>
      <c r="G104" s="481" t="str">
        <v>Qatar</v>
      </c>
      <c r="H104" s="481" t="str">
        <v>Brazil</v>
      </c>
      <c r="I104" s="481" t="str">
        <v>Australia</v>
      </c>
      <c r="J104" s="481" t="str">
        <v>Germany</v>
      </c>
      <c r="K104" s="481" t="str">
        <v>Netherlands</v>
      </c>
      <c r="L104" s="481" t="str">
        <v>Belgium</v>
      </c>
      <c r="M104" s="481" t="str">
        <v>Uruguay</v>
      </c>
      <c r="N104" s="481" t="str">
        <v>France</v>
      </c>
      <c r="O104" s="481" t="str">
        <v>Austria</v>
      </c>
      <c r="P104" s="481" t="str">
        <v>Colombia</v>
      </c>
      <c r="Q104" s="490" t="str">
        <v>England</v>
      </c>
    </row>
    <row r="105" spans="1:17" x14ac:dyDescent="0.2">
      <c r="A105" s="489">
        <v>102</v>
      </c>
      <c r="B105" s="481" t="str">
        <v>Argentina</v>
      </c>
      <c r="C105" s="481" t="str">
        <v>Austria</v>
      </c>
      <c r="D105" s="481" t="str">
        <v>USA</v>
      </c>
      <c r="E105" s="481" t="str">
        <v>Austria</v>
      </c>
      <c r="F105" s="481" t="str">
        <v>Czechia</v>
      </c>
      <c r="G105" s="481" t="str">
        <v>Switzerland</v>
      </c>
      <c r="H105" s="481" t="str">
        <v>Morocco</v>
      </c>
      <c r="I105" s="481" t="str">
        <v>USA</v>
      </c>
      <c r="J105" s="481" t="str">
        <v>Germany</v>
      </c>
      <c r="K105" s="481" t="str">
        <v>Netherlands</v>
      </c>
      <c r="L105" s="481" t="str">
        <v>Egypt</v>
      </c>
      <c r="M105" s="481" t="str">
        <v>Spain</v>
      </c>
      <c r="N105" s="481" t="str">
        <v>France</v>
      </c>
      <c r="O105" s="481" t="str">
        <v>Austria</v>
      </c>
      <c r="P105" s="481" t="str">
        <v>Colombia</v>
      </c>
      <c r="Q105" s="490" t="str">
        <v>England</v>
      </c>
    </row>
    <row r="106" spans="1:17" x14ac:dyDescent="0.2">
      <c r="A106" s="489">
        <v>103</v>
      </c>
      <c r="B106" s="481" t="str">
        <v>Netherlands</v>
      </c>
      <c r="C106" s="481" t="str">
        <v>Morocco</v>
      </c>
      <c r="D106" s="481" t="str">
        <v>Portugal</v>
      </c>
      <c r="E106" s="481" t="str">
        <v>USA</v>
      </c>
      <c r="F106" s="481" t="str">
        <v>Mexico</v>
      </c>
      <c r="G106" s="481" t="str">
        <v>Switzerland</v>
      </c>
      <c r="H106" s="481" t="str">
        <v>Scotland</v>
      </c>
      <c r="I106" s="481" t="str">
        <v>USA</v>
      </c>
      <c r="J106" s="481" t="str">
        <v>Germany</v>
      </c>
      <c r="K106" s="481" t="str">
        <v>Netherlands</v>
      </c>
      <c r="L106" s="481" t="str">
        <v>Belgium</v>
      </c>
      <c r="M106" s="481" t="str">
        <v>Spain</v>
      </c>
      <c r="N106" s="481" t="str">
        <v>France</v>
      </c>
      <c r="O106" s="481" t="str">
        <v>Argentina</v>
      </c>
      <c r="P106" s="481" t="str">
        <v>Portugal</v>
      </c>
      <c r="Q106" s="490" t="str">
        <v>England</v>
      </c>
    </row>
    <row r="107" spans="1:17" x14ac:dyDescent="0.2">
      <c r="A107" s="489">
        <v>104</v>
      </c>
      <c r="B107" s="481" t="str">
        <v>Argentina</v>
      </c>
      <c r="C107" s="481" t="str">
        <v>Brazil</v>
      </c>
      <c r="D107" s="481" t="str">
        <v>USA</v>
      </c>
      <c r="E107" s="481" t="str">
        <v>Sweden</v>
      </c>
      <c r="F107" s="481" t="str">
        <v>Mexico</v>
      </c>
      <c r="G107" s="481" t="str">
        <v>Canada</v>
      </c>
      <c r="H107" s="481" t="str">
        <v>Morocco</v>
      </c>
      <c r="I107" s="481" t="str">
        <v>USA</v>
      </c>
      <c r="J107" s="481" t="str">
        <v>Germany</v>
      </c>
      <c r="K107" s="481" t="str">
        <v>Sweden</v>
      </c>
      <c r="L107" s="481" t="str">
        <v>Egypt</v>
      </c>
      <c r="M107" s="481" t="str">
        <v>Spain</v>
      </c>
      <c r="N107" s="481" t="str">
        <v>France</v>
      </c>
      <c r="O107" s="481" t="str">
        <v>Argentina</v>
      </c>
      <c r="P107" s="481" t="str">
        <v>Colombia</v>
      </c>
      <c r="Q107" s="490" t="str">
        <v>Croatia</v>
      </c>
    </row>
    <row r="108" spans="1:17" x14ac:dyDescent="0.2">
      <c r="A108" s="489">
        <v>105</v>
      </c>
      <c r="B108" s="481" t="str">
        <v>Brazil</v>
      </c>
      <c r="C108" s="481" t="str">
        <v>Argentina</v>
      </c>
      <c r="D108" s="481" t="str">
        <v>Argentina</v>
      </c>
      <c r="E108" s="481" t="str">
        <v>Portugal</v>
      </c>
      <c r="F108" s="481" t="str">
        <v>Mexico</v>
      </c>
      <c r="G108" s="481" t="str">
        <v>Switzerland</v>
      </c>
      <c r="H108" s="481" t="str">
        <v>Brazil</v>
      </c>
      <c r="I108" s="481" t="str">
        <v>Australia</v>
      </c>
      <c r="J108" s="481" t="str">
        <v>Cote d'Ivorie</v>
      </c>
      <c r="K108" s="481" t="str">
        <v>Netherlands</v>
      </c>
      <c r="L108" s="481" t="str">
        <v>Belgium</v>
      </c>
      <c r="M108" s="481" t="str">
        <v>Spain</v>
      </c>
      <c r="N108" s="481" t="str">
        <v>France</v>
      </c>
      <c r="O108" s="481" t="str">
        <v>Austria</v>
      </c>
      <c r="P108" s="481" t="str">
        <v>Portugal</v>
      </c>
      <c r="Q108" s="490" t="str">
        <v>Croatia</v>
      </c>
    </row>
    <row r="109" spans="1:17" x14ac:dyDescent="0.2">
      <c r="A109" s="489">
        <v>106</v>
      </c>
      <c r="B109" s="481" t="str">
        <v>Argentina</v>
      </c>
      <c r="C109" s="481" t="str">
        <v>France</v>
      </c>
      <c r="D109" s="481" t="str">
        <v>Germany</v>
      </c>
      <c r="E109" s="481" t="str">
        <v>France</v>
      </c>
      <c r="F109" s="481" t="str">
        <v>Korea Republic</v>
      </c>
      <c r="G109" s="481" t="str">
        <v>Switzerland</v>
      </c>
      <c r="H109" s="481" t="str">
        <v>Brazil</v>
      </c>
      <c r="I109" s="481" t="str">
        <v>USA</v>
      </c>
      <c r="J109" s="481" t="str">
        <v>Germany</v>
      </c>
      <c r="K109" s="481" t="str">
        <v>Netherlands</v>
      </c>
      <c r="L109" s="481" t="str">
        <v>Belgium</v>
      </c>
      <c r="M109" s="481" t="str">
        <v>Uruguay</v>
      </c>
      <c r="N109" s="481" t="str">
        <v>Iraq</v>
      </c>
      <c r="O109" s="481" t="str">
        <v>Argentina</v>
      </c>
      <c r="P109" s="481" t="str">
        <v>Colombia</v>
      </c>
      <c r="Q109" s="490" t="str">
        <v>England</v>
      </c>
    </row>
    <row r="110" spans="1:17" x14ac:dyDescent="0.2">
      <c r="A110" s="489">
        <v>107</v>
      </c>
      <c r="B110" s="481" t="str">
        <v>Morocco</v>
      </c>
      <c r="C110" s="481" t="str">
        <v>Mexico</v>
      </c>
      <c r="D110" s="481" t="str">
        <v>England</v>
      </c>
      <c r="E110" s="481" t="str">
        <v>Switzerland</v>
      </c>
      <c r="F110" s="481" t="str">
        <v>Korea Republic</v>
      </c>
      <c r="G110" s="481" t="str">
        <v>Bosnia-Herzegovina</v>
      </c>
      <c r="H110" s="481" t="str">
        <v>Morocco</v>
      </c>
      <c r="I110" s="481" t="str">
        <v>USA</v>
      </c>
      <c r="J110" s="481" t="str">
        <v>Germany</v>
      </c>
      <c r="K110" s="481" t="str">
        <v>Sweden</v>
      </c>
      <c r="L110" s="481" t="str">
        <v>Belgium</v>
      </c>
      <c r="M110" s="481" t="str">
        <v>Spain</v>
      </c>
      <c r="N110" s="481" t="str">
        <v>France</v>
      </c>
      <c r="O110" s="481" t="str">
        <v>Argentina</v>
      </c>
      <c r="P110" s="481" t="str">
        <v>Portugal</v>
      </c>
      <c r="Q110" s="490" t="str">
        <v>England</v>
      </c>
    </row>
    <row r="111" spans="1:17" x14ac:dyDescent="0.2">
      <c r="A111" s="489">
        <v>108</v>
      </c>
      <c r="B111" s="481" t="str">
        <v>Germany</v>
      </c>
      <c r="C111" s="481" t="str">
        <v>Senegal</v>
      </c>
      <c r="D111" s="481" t="str">
        <v>Belgium</v>
      </c>
      <c r="E111" s="481" t="str">
        <v>Sweden</v>
      </c>
      <c r="F111" s="481" t="str">
        <v>Korea Republic</v>
      </c>
      <c r="G111" s="481" t="str">
        <v>Switzerland</v>
      </c>
      <c r="H111" s="481" t="str">
        <v>Brazil</v>
      </c>
      <c r="I111" s="481" t="str">
        <v>USA</v>
      </c>
      <c r="J111" s="481" t="str">
        <v>Germany</v>
      </c>
      <c r="K111" s="481" t="str">
        <v>Sweden</v>
      </c>
      <c r="L111" s="481" t="str">
        <v>Belgium</v>
      </c>
      <c r="M111" s="481" t="str">
        <v>Uruguay</v>
      </c>
      <c r="N111" s="481" t="str">
        <v>France</v>
      </c>
      <c r="O111" s="481" t="str">
        <v>Argentina</v>
      </c>
      <c r="P111" s="481" t="str">
        <v>Portugal</v>
      </c>
      <c r="Q111" s="490" t="str">
        <v>Croatia</v>
      </c>
    </row>
    <row r="112" spans="1:17" x14ac:dyDescent="0.2">
      <c r="A112" s="489">
        <v>109</v>
      </c>
      <c r="B112" s="481" t="str">
        <v>Brazil</v>
      </c>
      <c r="C112" s="481" t="str">
        <v>USA</v>
      </c>
      <c r="D112" s="481" t="str">
        <v>Uruguay</v>
      </c>
      <c r="E112" s="481" t="str">
        <v>Colombia</v>
      </c>
      <c r="F112" s="481" t="str">
        <v>Mexico</v>
      </c>
      <c r="G112" s="481" t="str">
        <v>Switzerland</v>
      </c>
      <c r="H112" s="481" t="str">
        <v>Brazil</v>
      </c>
      <c r="I112" s="481" t="str">
        <v>USA</v>
      </c>
      <c r="J112" s="481" t="str">
        <v>Germany</v>
      </c>
      <c r="K112" s="481" t="str">
        <v>Netherlands</v>
      </c>
      <c r="L112" s="481" t="str">
        <v>IR Iran</v>
      </c>
      <c r="M112" s="481" t="str">
        <v>Uruguay</v>
      </c>
      <c r="N112" s="481" t="str">
        <v>France</v>
      </c>
      <c r="O112" s="481" t="str">
        <v>Argentina</v>
      </c>
      <c r="P112" s="481" t="str">
        <v>Colombia</v>
      </c>
      <c r="Q112" s="490" t="str">
        <v>England</v>
      </c>
    </row>
    <row r="113" spans="1:17" x14ac:dyDescent="0.2">
      <c r="A113" s="489">
        <v>110</v>
      </c>
      <c r="B113" s="481" t="str">
        <v>France</v>
      </c>
      <c r="C113" s="481" t="str">
        <v>Croatia</v>
      </c>
      <c r="D113" s="481" t="str">
        <v>Colombia</v>
      </c>
      <c r="E113" s="481" t="str">
        <v>Croatia</v>
      </c>
      <c r="F113" s="481" t="str">
        <v>Korea Republic</v>
      </c>
      <c r="G113" s="481" t="str">
        <v>Switzerland</v>
      </c>
      <c r="H113" s="481" t="str">
        <v>Morocco</v>
      </c>
      <c r="I113" s="481" t="str">
        <v>USA</v>
      </c>
      <c r="J113" s="481" t="str">
        <v>Curaçao</v>
      </c>
      <c r="K113" s="481" t="str">
        <v>Netherlands</v>
      </c>
      <c r="L113" s="481" t="str">
        <v>Belgium</v>
      </c>
      <c r="M113" s="481" t="str">
        <v>Spain</v>
      </c>
      <c r="N113" s="481" t="str">
        <v>Norway</v>
      </c>
      <c r="O113" s="481" t="str">
        <v>Argentina</v>
      </c>
      <c r="P113" s="481" t="str">
        <v>Colombia</v>
      </c>
      <c r="Q113" s="490" t="str">
        <v>England</v>
      </c>
    </row>
    <row r="114" spans="1:17" x14ac:dyDescent="0.2">
      <c r="A114" s="489">
        <v>111</v>
      </c>
      <c r="B114" s="481" t="str">
        <v>England</v>
      </c>
      <c r="C114" s="481" t="str">
        <v>Uruguay</v>
      </c>
      <c r="D114" s="481" t="str">
        <v>Croatia</v>
      </c>
      <c r="E114" s="481" t="str">
        <v>Colombia</v>
      </c>
      <c r="F114" s="481" t="str">
        <v>South Africa</v>
      </c>
      <c r="G114" s="481" t="str">
        <v>Canada</v>
      </c>
      <c r="H114" s="481" t="str">
        <v>Scotland</v>
      </c>
      <c r="I114" s="481" t="str">
        <v>USA</v>
      </c>
      <c r="J114" s="481" t="str">
        <v>Germany</v>
      </c>
      <c r="K114" s="481" t="str">
        <v>Netherlands</v>
      </c>
      <c r="L114" s="481" t="str">
        <v>Egypt</v>
      </c>
      <c r="M114" s="481" t="str">
        <v>Spain</v>
      </c>
      <c r="N114" s="481" t="str">
        <v>France</v>
      </c>
      <c r="O114" s="481" t="str">
        <v>Argentina</v>
      </c>
      <c r="P114" s="481" t="str">
        <v>Colombia</v>
      </c>
      <c r="Q114" s="490" t="str">
        <v>Croatia</v>
      </c>
    </row>
    <row r="115" spans="1:17" x14ac:dyDescent="0.2">
      <c r="A115" s="489">
        <v>112</v>
      </c>
      <c r="B115" s="481" t="str">
        <v>England</v>
      </c>
      <c r="C115" s="481" t="str">
        <v>England</v>
      </c>
      <c r="D115" s="481" t="str">
        <v>England</v>
      </c>
      <c r="E115" s="481" t="str">
        <v>Spain</v>
      </c>
      <c r="F115" s="481" t="str">
        <v>Czechia</v>
      </c>
      <c r="G115" s="481" t="str">
        <v>Switzerland</v>
      </c>
      <c r="H115" s="481" t="str">
        <v>Scotland</v>
      </c>
      <c r="I115" s="481" t="str">
        <v>Australia</v>
      </c>
      <c r="J115" s="481" t="str">
        <v>Germany</v>
      </c>
      <c r="K115" s="481" t="str">
        <v>Japan</v>
      </c>
      <c r="L115" s="481" t="str">
        <v>Belgium</v>
      </c>
      <c r="M115" s="481" t="str">
        <v>Spain</v>
      </c>
      <c r="N115" s="481" t="str">
        <v>France</v>
      </c>
      <c r="O115" s="481" t="str">
        <v>Argentina</v>
      </c>
      <c r="P115" s="481" t="str">
        <v>Portugal</v>
      </c>
      <c r="Q115" s="490" t="str">
        <v>England</v>
      </c>
    </row>
    <row r="116" spans="1:17" x14ac:dyDescent="0.2">
      <c r="A116" s="489">
        <v>113</v>
      </c>
      <c r="B116" s="481" t="str">
        <v>Spain</v>
      </c>
      <c r="C116" s="481" t="str">
        <v>USA</v>
      </c>
      <c r="D116" s="481" t="str">
        <v>Argentina</v>
      </c>
      <c r="E116" s="481" t="str">
        <v>Ecuador</v>
      </c>
      <c r="F116" s="481" t="str">
        <v>Czechia</v>
      </c>
      <c r="G116" s="481" t="str">
        <v>Canada</v>
      </c>
      <c r="H116" s="481" t="str">
        <v>Morocco</v>
      </c>
      <c r="I116" s="481" t="str">
        <v>USA</v>
      </c>
      <c r="J116" s="481" t="str">
        <v>Germany</v>
      </c>
      <c r="K116" s="481" t="str">
        <v>Sweden</v>
      </c>
      <c r="L116" s="481" t="str">
        <v>Belgium</v>
      </c>
      <c r="M116" s="481" t="str">
        <v>Saudi Arabia</v>
      </c>
      <c r="N116" s="481" t="str">
        <v>France</v>
      </c>
      <c r="O116" s="481" t="str">
        <v>Argentina</v>
      </c>
      <c r="P116" s="481" t="str">
        <v>Colombia</v>
      </c>
      <c r="Q116" s="490" t="str">
        <v>England</v>
      </c>
    </row>
    <row r="117" spans="1:17" x14ac:dyDescent="0.2">
      <c r="A117" s="489">
        <v>114</v>
      </c>
      <c r="B117" s="481" t="str">
        <v>France</v>
      </c>
      <c r="C117" s="481" t="str">
        <v>USA</v>
      </c>
      <c r="D117" s="481" t="str">
        <v>Netherlands</v>
      </c>
      <c r="E117" s="481" t="str">
        <v>Egypt</v>
      </c>
      <c r="F117" s="481" t="str">
        <v>Mexico</v>
      </c>
      <c r="G117" s="481" t="str">
        <v>Canada</v>
      </c>
      <c r="H117" s="481" t="str">
        <v>Morocco</v>
      </c>
      <c r="I117" s="481" t="str">
        <v>USA</v>
      </c>
      <c r="J117" s="481" t="str">
        <v>Cote d'Ivorie</v>
      </c>
      <c r="K117" s="481" t="str">
        <v>Sweden</v>
      </c>
      <c r="L117" s="481" t="str">
        <v>Belgium</v>
      </c>
      <c r="M117" s="481" t="str">
        <v>Spain</v>
      </c>
      <c r="N117" s="481" t="str">
        <v>Norway</v>
      </c>
      <c r="O117" s="481" t="str">
        <v>Argentina</v>
      </c>
      <c r="P117" s="481" t="str">
        <v>Portugal</v>
      </c>
      <c r="Q117" s="490" t="str">
        <v>Croatia</v>
      </c>
    </row>
    <row r="118" spans="1:17" x14ac:dyDescent="0.2">
      <c r="A118" s="489">
        <v>115</v>
      </c>
      <c r="B118" s="481" t="str">
        <v>Argentina</v>
      </c>
      <c r="C118" s="481" t="str">
        <v>Algeria</v>
      </c>
      <c r="D118" s="481" t="str">
        <v>Germany</v>
      </c>
      <c r="E118" s="481" t="str">
        <v>Switzerland</v>
      </c>
      <c r="F118" s="481" t="str">
        <v>Mexico</v>
      </c>
      <c r="G118" s="481" t="str">
        <v>Canada</v>
      </c>
      <c r="H118" s="481" t="str">
        <v>Morocco</v>
      </c>
      <c r="I118" s="481" t="str">
        <v>Australia</v>
      </c>
      <c r="J118" s="481" t="str">
        <v>Germany</v>
      </c>
      <c r="K118" s="481" t="str">
        <v>Netherlands</v>
      </c>
      <c r="L118" s="481" t="str">
        <v>IR Iran</v>
      </c>
      <c r="M118" s="481" t="str">
        <v>Spain</v>
      </c>
      <c r="N118" s="481" t="str">
        <v>Senegal</v>
      </c>
      <c r="O118" s="481" t="str">
        <v>Argentina</v>
      </c>
      <c r="P118" s="481" t="str">
        <v>Colombia</v>
      </c>
      <c r="Q118" s="490" t="str">
        <v>England</v>
      </c>
    </row>
    <row r="119" spans="1:17" x14ac:dyDescent="0.2">
      <c r="A119" s="489">
        <v>116</v>
      </c>
      <c r="B119" s="481" t="str">
        <v>Belgium</v>
      </c>
      <c r="C119" s="481" t="str">
        <v>Colombia</v>
      </c>
      <c r="D119" s="481" t="str">
        <v>USA</v>
      </c>
      <c r="E119" s="481" t="str">
        <v>Spain</v>
      </c>
      <c r="F119" s="481" t="str">
        <v>Mexico</v>
      </c>
      <c r="G119" s="481" t="str">
        <v>Switzerland</v>
      </c>
      <c r="H119" s="481" t="str">
        <v>Morocco</v>
      </c>
      <c r="I119" s="481" t="str">
        <v>Australia</v>
      </c>
      <c r="J119" s="481" t="str">
        <v>Germany</v>
      </c>
      <c r="K119" s="481" t="str">
        <v>Sweden</v>
      </c>
      <c r="L119" s="481" t="str">
        <v>Belgium</v>
      </c>
      <c r="M119" s="481" t="str">
        <v>Spain</v>
      </c>
      <c r="N119" s="481" t="str">
        <v>France</v>
      </c>
      <c r="O119" s="481" t="str">
        <v>Argentina</v>
      </c>
      <c r="P119" s="481" t="str">
        <v>Portugal</v>
      </c>
      <c r="Q119" s="490" t="str">
        <v>England</v>
      </c>
    </row>
    <row r="120" spans="1:17" x14ac:dyDescent="0.2">
      <c r="A120" s="489">
        <v>117</v>
      </c>
      <c r="B120" s="481" t="str">
        <v>Spain</v>
      </c>
      <c r="C120" s="481" t="str">
        <v>England</v>
      </c>
      <c r="D120" s="481" t="str">
        <v>Portugal</v>
      </c>
      <c r="E120" s="481" t="str">
        <v>Switzerland</v>
      </c>
      <c r="F120" s="481" t="str">
        <v>Mexico</v>
      </c>
      <c r="G120" s="481" t="str">
        <v>Canada</v>
      </c>
      <c r="H120" s="481" t="str">
        <v>Brazil</v>
      </c>
      <c r="I120" s="481" t="str">
        <v>Australia</v>
      </c>
      <c r="J120" s="481" t="str">
        <v>Cote d'Ivorie</v>
      </c>
      <c r="K120" s="481" t="str">
        <v>Japan</v>
      </c>
      <c r="L120" s="481" t="str">
        <v>Egypt</v>
      </c>
      <c r="M120" s="481" t="str">
        <v>Spain</v>
      </c>
      <c r="N120" s="481" t="str">
        <v>France</v>
      </c>
      <c r="O120" s="481" t="str">
        <v>Austria</v>
      </c>
      <c r="P120" s="481" t="str">
        <v>Colombia</v>
      </c>
      <c r="Q120" s="490" t="str">
        <v>England</v>
      </c>
    </row>
    <row r="121" spans="1:17" x14ac:dyDescent="0.2">
      <c r="A121" s="489">
        <v>118</v>
      </c>
      <c r="B121" s="481" t="str">
        <v>Brazil</v>
      </c>
      <c r="C121" s="481" t="str">
        <v>England</v>
      </c>
      <c r="D121" s="481" t="str">
        <v>Colombia</v>
      </c>
      <c r="E121" s="481" t="str">
        <v>France</v>
      </c>
      <c r="F121" s="481" t="str">
        <v>Korea Republic</v>
      </c>
      <c r="G121" s="481" t="str">
        <v>Switzerland</v>
      </c>
      <c r="H121" s="481" t="str">
        <v>Morocco</v>
      </c>
      <c r="I121" s="481" t="str">
        <v>USA</v>
      </c>
      <c r="J121" s="481" t="str">
        <v>Germany</v>
      </c>
      <c r="K121" s="481" t="str">
        <v>Netherlands</v>
      </c>
      <c r="L121" s="481" t="str">
        <v>Egypt</v>
      </c>
      <c r="M121" s="481" t="str">
        <v>Uruguay</v>
      </c>
      <c r="N121" s="481" t="str">
        <v>Senegal</v>
      </c>
      <c r="O121" s="481" t="str">
        <v>Austria</v>
      </c>
      <c r="P121" s="481" t="str">
        <v>Portugal</v>
      </c>
      <c r="Q121" s="490" t="str">
        <v>Croatia</v>
      </c>
    </row>
    <row r="122" spans="1:17" x14ac:dyDescent="0.2">
      <c r="A122" s="489">
        <v>119</v>
      </c>
      <c r="B122" s="481" t="str">
        <v>Argentina</v>
      </c>
      <c r="C122" s="481" t="str">
        <v>Germany</v>
      </c>
      <c r="D122" s="481" t="str">
        <v>USA</v>
      </c>
      <c r="E122" s="481" t="str">
        <v>Portugal</v>
      </c>
      <c r="F122" s="481" t="str">
        <v>Czechia</v>
      </c>
      <c r="G122" s="481" t="str">
        <v>Canada</v>
      </c>
      <c r="H122" s="481" t="str">
        <v>Scotland</v>
      </c>
      <c r="I122" s="481" t="str">
        <v>Australia</v>
      </c>
      <c r="J122" s="481" t="str">
        <v>Germany</v>
      </c>
      <c r="K122" s="481" t="str">
        <v>Japan</v>
      </c>
      <c r="L122" s="481" t="str">
        <v>Belgium</v>
      </c>
      <c r="M122" s="481" t="str">
        <v>Uruguay</v>
      </c>
      <c r="N122" s="481" t="str">
        <v>France</v>
      </c>
      <c r="O122" s="481" t="str">
        <v>Argentina</v>
      </c>
      <c r="P122" s="481" t="str">
        <v>Colombia</v>
      </c>
      <c r="Q122" s="490" t="str">
        <v>England</v>
      </c>
    </row>
    <row r="123" spans="1:17" x14ac:dyDescent="0.2">
      <c r="A123" s="489">
        <v>120</v>
      </c>
      <c r="B123" s="481" t="str">
        <v>France</v>
      </c>
      <c r="C123" s="481" t="str">
        <v>Brazil</v>
      </c>
      <c r="D123" s="481" t="str">
        <v>Sweden</v>
      </c>
      <c r="E123" s="481" t="str">
        <v>USA</v>
      </c>
      <c r="F123" s="481" t="str">
        <v>Mexico</v>
      </c>
      <c r="G123" s="481" t="str">
        <v>Bosnia-Herzegovina</v>
      </c>
      <c r="H123" s="481" t="str">
        <v>Morocco</v>
      </c>
      <c r="I123" s="481" t="str">
        <v>USA</v>
      </c>
      <c r="J123" s="481" t="str">
        <v>Ecuador</v>
      </c>
      <c r="K123" s="481" t="str">
        <v>Netherlands</v>
      </c>
      <c r="L123" s="481" t="str">
        <v>Belgium</v>
      </c>
      <c r="M123" s="481" t="str">
        <v>Spain</v>
      </c>
      <c r="N123" s="481" t="str">
        <v>France</v>
      </c>
      <c r="O123" s="481" t="str">
        <v>Argentina</v>
      </c>
      <c r="P123" s="481" t="str">
        <v>Portugal</v>
      </c>
      <c r="Q123" s="490" t="str">
        <v>Croatia</v>
      </c>
    </row>
    <row r="124" spans="1:17" x14ac:dyDescent="0.2">
      <c r="A124" s="489">
        <v>121</v>
      </c>
      <c r="B124" s="481" t="str">
        <v>Belgium</v>
      </c>
      <c r="C124" s="481" t="str">
        <v>USA</v>
      </c>
      <c r="D124" s="481" t="str">
        <v>France</v>
      </c>
      <c r="E124" s="481" t="str">
        <v>Croatia</v>
      </c>
      <c r="F124" s="481" t="str">
        <v>Mexico</v>
      </c>
      <c r="G124" s="481" t="str">
        <v>Qatar</v>
      </c>
      <c r="H124" s="481" t="str">
        <v>Morocco</v>
      </c>
      <c r="I124" s="481" t="str">
        <v>Australia</v>
      </c>
      <c r="J124" s="481" t="str">
        <v>Germany</v>
      </c>
      <c r="K124" s="481" t="str">
        <v>Netherlands</v>
      </c>
      <c r="L124" s="481" t="str">
        <v>Egypt</v>
      </c>
      <c r="M124" s="481" t="str">
        <v>Spain</v>
      </c>
      <c r="N124" s="481" t="str">
        <v>France</v>
      </c>
      <c r="O124" s="481" t="str">
        <v>Argentina</v>
      </c>
      <c r="P124" s="481" t="str">
        <v>Portugal</v>
      </c>
      <c r="Q124" s="490" t="str">
        <v>England</v>
      </c>
    </row>
    <row r="125" spans="1:17" x14ac:dyDescent="0.2">
      <c r="A125" s="489">
        <v>122</v>
      </c>
      <c r="B125" s="481" t="str">
        <v>Spain</v>
      </c>
      <c r="C125" s="481" t="str">
        <v>Germany</v>
      </c>
      <c r="D125" s="481" t="str">
        <v>Korea Republic</v>
      </c>
      <c r="E125" s="481" t="str">
        <v>Austria</v>
      </c>
      <c r="F125" s="481" t="str">
        <v>Mexico</v>
      </c>
      <c r="G125" s="481" t="str">
        <v>Canada</v>
      </c>
      <c r="H125" s="481" t="str">
        <v>Morocco</v>
      </c>
      <c r="I125" s="481" t="str">
        <v>Australia</v>
      </c>
      <c r="J125" s="481" t="str">
        <v>Germany</v>
      </c>
      <c r="K125" s="481" t="str">
        <v>Netherlands</v>
      </c>
      <c r="L125" s="481" t="str">
        <v>Belgium</v>
      </c>
      <c r="M125" s="481" t="str">
        <v>Uruguay</v>
      </c>
      <c r="N125" s="481" t="str">
        <v>France</v>
      </c>
      <c r="O125" s="481" t="str">
        <v>Algeria</v>
      </c>
      <c r="P125" s="481" t="str">
        <v>Colombia</v>
      </c>
      <c r="Q125" s="490" t="str">
        <v>England</v>
      </c>
    </row>
    <row r="126" spans="1:17" x14ac:dyDescent="0.2">
      <c r="A126" s="489">
        <v>123</v>
      </c>
      <c r="B126" s="481" t="str">
        <v>Spain</v>
      </c>
      <c r="C126" s="481" t="str">
        <v>Germany</v>
      </c>
      <c r="D126" s="481" t="str">
        <v>Argentina</v>
      </c>
      <c r="E126" s="481" t="str">
        <v>Panama</v>
      </c>
      <c r="F126" s="481" t="str">
        <v>Czechia</v>
      </c>
      <c r="G126" s="481" t="str">
        <v>Switzerland</v>
      </c>
      <c r="H126" s="481" t="str">
        <v>Brazil</v>
      </c>
      <c r="I126" s="481" t="str">
        <v>USA</v>
      </c>
      <c r="J126" s="481" t="str">
        <v>Germany</v>
      </c>
      <c r="K126" s="481" t="str">
        <v>Japan</v>
      </c>
      <c r="L126" s="481" t="str">
        <v>Belgium</v>
      </c>
      <c r="M126" s="481" t="str">
        <v>Spain</v>
      </c>
      <c r="N126" s="481" t="str">
        <v>France</v>
      </c>
      <c r="O126" s="481" t="str">
        <v>Argentina</v>
      </c>
      <c r="P126" s="481" t="str">
        <v>Colombia</v>
      </c>
      <c r="Q126" s="490" t="str">
        <v>England</v>
      </c>
    </row>
    <row r="127" spans="1:17" x14ac:dyDescent="0.2">
      <c r="A127" s="489">
        <v>124</v>
      </c>
      <c r="B127" s="481" t="str">
        <v>England</v>
      </c>
      <c r="C127" s="481" t="str">
        <v>Belgium</v>
      </c>
      <c r="D127" s="481" t="str">
        <v>Portugal</v>
      </c>
      <c r="E127" s="481" t="str">
        <v>Belgium</v>
      </c>
      <c r="F127" s="481" t="str">
        <v>Mexico</v>
      </c>
      <c r="G127" s="481" t="str">
        <v>Switzerland</v>
      </c>
      <c r="H127" s="481" t="str">
        <v>Brazil</v>
      </c>
      <c r="I127" s="481" t="str">
        <v>USA</v>
      </c>
      <c r="J127" s="481" t="str">
        <v>Germany</v>
      </c>
      <c r="K127" s="481" t="str">
        <v>Japan</v>
      </c>
      <c r="L127" s="481" t="str">
        <v>Belgium</v>
      </c>
      <c r="M127" s="481" t="str">
        <v>Cabo Verde</v>
      </c>
      <c r="N127" s="481" t="str">
        <v>France</v>
      </c>
      <c r="O127" s="481" t="str">
        <v>Algeria</v>
      </c>
      <c r="P127" s="481" t="str">
        <v>Portugal</v>
      </c>
      <c r="Q127" s="490" t="str">
        <v>Panama</v>
      </c>
    </row>
    <row r="128" spans="1:17" x14ac:dyDescent="0.2">
      <c r="A128" s="489">
        <v>125</v>
      </c>
      <c r="B128" s="481" t="str">
        <v>Belgium</v>
      </c>
      <c r="C128" s="481" t="str">
        <v>Netherlands</v>
      </c>
      <c r="D128" s="481" t="str">
        <v>Colombia</v>
      </c>
      <c r="E128" s="481" t="str">
        <v>Austria</v>
      </c>
      <c r="F128" s="481" t="str">
        <v>Mexico</v>
      </c>
      <c r="G128" s="481" t="str">
        <v>Switzerland</v>
      </c>
      <c r="H128" s="481" t="str">
        <v>Brazil</v>
      </c>
      <c r="I128" s="481" t="str">
        <v>USA</v>
      </c>
      <c r="J128" s="481" t="str">
        <v>Germany</v>
      </c>
      <c r="K128" s="481" t="str">
        <v>Netherlands</v>
      </c>
      <c r="L128" s="481" t="str">
        <v>Belgium</v>
      </c>
      <c r="M128" s="481" t="str">
        <v>Spain</v>
      </c>
      <c r="N128" s="481" t="str">
        <v>France</v>
      </c>
      <c r="O128" s="481" t="str">
        <v>Argentina</v>
      </c>
      <c r="P128" s="481" t="str">
        <v>Portugal</v>
      </c>
      <c r="Q128" s="490" t="str">
        <v>England</v>
      </c>
    </row>
    <row r="129" spans="1:17" x14ac:dyDescent="0.2">
      <c r="A129" s="489">
        <v>126</v>
      </c>
      <c r="B129" s="481" t="str">
        <v>Brazil</v>
      </c>
      <c r="C129" s="481" t="str">
        <v>Switzerland</v>
      </c>
      <c r="D129" s="481" t="str">
        <v>Argentina</v>
      </c>
      <c r="E129" s="481" t="str">
        <v>South Africa</v>
      </c>
      <c r="F129" s="481" t="str">
        <v>Mexico</v>
      </c>
      <c r="G129" s="481" t="str">
        <v>Canada</v>
      </c>
      <c r="H129" s="481" t="str">
        <v>Brazil</v>
      </c>
      <c r="I129" s="481" t="str">
        <v>USA</v>
      </c>
      <c r="J129" s="481" t="str">
        <v>Germany</v>
      </c>
      <c r="K129" s="481" t="str">
        <v>Japan</v>
      </c>
      <c r="L129" s="481" t="str">
        <v>Egypt</v>
      </c>
      <c r="M129" s="481" t="str">
        <v>Spain</v>
      </c>
      <c r="N129" s="481" t="str">
        <v>Norway</v>
      </c>
      <c r="O129" s="481" t="str">
        <v>Argentina</v>
      </c>
      <c r="P129" s="481" t="str">
        <v>Portugal</v>
      </c>
      <c r="Q129" s="490" t="str">
        <v>Croatia</v>
      </c>
    </row>
    <row r="130" spans="1:17" x14ac:dyDescent="0.2">
      <c r="A130" s="489">
        <v>127</v>
      </c>
      <c r="B130" s="481" t="str">
        <v>France</v>
      </c>
      <c r="C130" s="481" t="str">
        <v>Spain</v>
      </c>
      <c r="D130" s="481" t="str">
        <v>Ecuador</v>
      </c>
      <c r="E130" s="481" t="str">
        <v>Algeria</v>
      </c>
      <c r="F130" s="481" t="str">
        <v>Mexico</v>
      </c>
      <c r="G130" s="481" t="str">
        <v>Qatar</v>
      </c>
      <c r="H130" s="481" t="str">
        <v>Morocco</v>
      </c>
      <c r="I130" s="481" t="str">
        <v>USA</v>
      </c>
      <c r="J130" s="481" t="str">
        <v>Germany</v>
      </c>
      <c r="K130" s="481" t="str">
        <v>Netherlands</v>
      </c>
      <c r="L130" s="481" t="str">
        <v>Belgium</v>
      </c>
      <c r="M130" s="481" t="str">
        <v>Spain</v>
      </c>
      <c r="N130" s="481" t="str">
        <v>France</v>
      </c>
      <c r="O130" s="481" t="str">
        <v>Argentina</v>
      </c>
      <c r="P130" s="481" t="str">
        <v>Portugal</v>
      </c>
      <c r="Q130" s="490" t="str">
        <v>Croatia</v>
      </c>
    </row>
    <row r="131" spans="1:17" x14ac:dyDescent="0.2">
      <c r="A131" s="489">
        <v>128</v>
      </c>
      <c r="B131" s="481" t="str">
        <v>Argentina</v>
      </c>
      <c r="C131" s="481" t="str">
        <v>Argentina</v>
      </c>
      <c r="D131" s="481" t="str">
        <v>Portugal</v>
      </c>
      <c r="E131" s="481" t="str">
        <v>Netherlands</v>
      </c>
      <c r="F131" s="481" t="str">
        <v>Korea Republic</v>
      </c>
      <c r="G131" s="481" t="str">
        <v>Canada</v>
      </c>
      <c r="H131" s="481" t="str">
        <v>Brazil</v>
      </c>
      <c r="I131" s="481" t="str">
        <v>USA</v>
      </c>
      <c r="J131" s="481" t="str">
        <v>Germany</v>
      </c>
      <c r="K131" s="481" t="str">
        <v>Sweden</v>
      </c>
      <c r="L131" s="481" t="str">
        <v>Belgium</v>
      </c>
      <c r="M131" s="481" t="str">
        <v>Uruguay</v>
      </c>
      <c r="N131" s="481" t="str">
        <v>France</v>
      </c>
      <c r="O131" s="481" t="str">
        <v>Argentina</v>
      </c>
      <c r="P131" s="481" t="str">
        <v>Colombia</v>
      </c>
      <c r="Q131" s="490" t="str">
        <v>England</v>
      </c>
    </row>
    <row r="132" spans="1:17" x14ac:dyDescent="0.2">
      <c r="A132" s="489">
        <v>129</v>
      </c>
      <c r="B132" s="481" t="str">
        <v>Japan</v>
      </c>
      <c r="C132" s="481" t="str">
        <v>France</v>
      </c>
      <c r="D132" s="481" t="str">
        <v>Portugal</v>
      </c>
      <c r="E132" s="481" t="str">
        <v>Japan</v>
      </c>
      <c r="F132" s="481" t="str">
        <v>Mexico</v>
      </c>
      <c r="G132" s="481" t="str">
        <v>Switzerland</v>
      </c>
      <c r="H132" s="481" t="str">
        <v>Brazil</v>
      </c>
      <c r="I132" s="481" t="str">
        <v>USA</v>
      </c>
      <c r="J132" s="481" t="str">
        <v>Germany</v>
      </c>
      <c r="K132" s="481" t="str">
        <v>Japan</v>
      </c>
      <c r="L132" s="481" t="str">
        <v>Belgium</v>
      </c>
      <c r="M132" s="481" t="str">
        <v>Cabo Verde</v>
      </c>
      <c r="N132" s="481" t="str">
        <v>France</v>
      </c>
      <c r="O132" s="481" t="str">
        <v>Argentina</v>
      </c>
      <c r="P132" s="481" t="str">
        <v>Portugal</v>
      </c>
      <c r="Q132" s="490" t="str">
        <v>England</v>
      </c>
    </row>
    <row r="133" spans="1:17" x14ac:dyDescent="0.2">
      <c r="A133" s="489">
        <v>130</v>
      </c>
      <c r="B133" s="481" t="str">
        <v>Brazil</v>
      </c>
      <c r="C133" s="481" t="str">
        <v>Netherlands</v>
      </c>
      <c r="D133" s="481" t="str">
        <v>Brazil</v>
      </c>
      <c r="E133" s="481" t="str">
        <v>USA</v>
      </c>
      <c r="F133" s="481" t="str">
        <v>Korea Republic</v>
      </c>
      <c r="G133" s="481" t="str">
        <v>Switzerland</v>
      </c>
      <c r="H133" s="481" t="str">
        <v>Brazil</v>
      </c>
      <c r="I133" s="481" t="str">
        <v>Australia</v>
      </c>
      <c r="J133" s="481" t="str">
        <v>Germany</v>
      </c>
      <c r="K133" s="481" t="str">
        <v>Netherlands</v>
      </c>
      <c r="L133" s="481" t="str">
        <v>IR Iran</v>
      </c>
      <c r="M133" s="481" t="str">
        <v>Spain</v>
      </c>
      <c r="N133" s="481" t="str">
        <v>France</v>
      </c>
      <c r="O133" s="481" t="str">
        <v>Algeria</v>
      </c>
      <c r="P133" s="481" t="str">
        <v>Portugal</v>
      </c>
      <c r="Q133" s="490" t="str">
        <v>England</v>
      </c>
    </row>
    <row r="134" spans="1:17" x14ac:dyDescent="0.2">
      <c r="A134" s="489">
        <v>131</v>
      </c>
      <c r="B134" s="481" t="str">
        <v>Ecuador</v>
      </c>
      <c r="C134" s="481" t="str">
        <v>England</v>
      </c>
      <c r="D134" s="481" t="str">
        <v>Norway</v>
      </c>
      <c r="E134" s="481" t="str">
        <v>Argentina</v>
      </c>
      <c r="F134" s="481" t="str">
        <v>Korea Republic</v>
      </c>
      <c r="G134" s="481" t="str">
        <v>Canada</v>
      </c>
      <c r="H134" s="481" t="str">
        <v>Brazil</v>
      </c>
      <c r="I134" s="481" t="str">
        <v>USA</v>
      </c>
      <c r="J134" s="481" t="str">
        <v>Germany</v>
      </c>
      <c r="K134" s="481" t="str">
        <v>Netherlands</v>
      </c>
      <c r="L134" s="481" t="str">
        <v>Belgium</v>
      </c>
      <c r="M134" s="481" t="str">
        <v>Spain</v>
      </c>
      <c r="N134" s="481" t="str">
        <v>France</v>
      </c>
      <c r="O134" s="481" t="str">
        <v>Argentina</v>
      </c>
      <c r="P134" s="481" t="str">
        <v>Portugal</v>
      </c>
      <c r="Q134" s="490" t="str">
        <v>England</v>
      </c>
    </row>
    <row r="135" spans="1:17" x14ac:dyDescent="0.2">
      <c r="A135" s="489">
        <v>132</v>
      </c>
      <c r="B135" s="481" t="str">
        <v>Spain</v>
      </c>
      <c r="C135" s="481" t="str">
        <v>Morocco</v>
      </c>
      <c r="D135" s="481" t="str">
        <v>Portugal</v>
      </c>
      <c r="E135" s="481" t="str">
        <v>Germany</v>
      </c>
      <c r="F135" s="481" t="str">
        <v>Czechia</v>
      </c>
      <c r="G135" s="481" t="str">
        <v>Switzerland</v>
      </c>
      <c r="H135" s="481" t="str">
        <v>Morocco</v>
      </c>
      <c r="I135" s="481" t="str">
        <v>USA</v>
      </c>
      <c r="J135" s="481" t="str">
        <v>Germany</v>
      </c>
      <c r="K135" s="481" t="str">
        <v>Japan</v>
      </c>
      <c r="L135" s="481" t="str">
        <v>IR Iran</v>
      </c>
      <c r="M135" s="481" t="str">
        <v>Spain</v>
      </c>
      <c r="N135" s="481" t="str">
        <v>Senegal</v>
      </c>
      <c r="O135" s="481" t="str">
        <v>Argentina</v>
      </c>
      <c r="P135" s="481" t="str">
        <v>Portugal</v>
      </c>
      <c r="Q135" s="490" t="str">
        <v>England</v>
      </c>
    </row>
    <row r="136" spans="1:17" x14ac:dyDescent="0.2">
      <c r="A136" s="489">
        <v>133</v>
      </c>
      <c r="B136" s="481" t="str">
        <v>Germany</v>
      </c>
      <c r="C136" s="481" t="str">
        <v>Portugal</v>
      </c>
      <c r="D136" s="481" t="str">
        <v>Spain</v>
      </c>
      <c r="E136" s="481" t="str">
        <v>Egypt</v>
      </c>
      <c r="F136" s="481" t="str">
        <v>Korea Republic</v>
      </c>
      <c r="G136" s="481" t="str">
        <v>Switzerland</v>
      </c>
      <c r="H136" s="481" t="str">
        <v>Morocco</v>
      </c>
      <c r="I136" s="481" t="str">
        <v>Australia</v>
      </c>
      <c r="J136" s="481" t="str">
        <v>Germany</v>
      </c>
      <c r="K136" s="481" t="str">
        <v>Netherlands</v>
      </c>
      <c r="L136" s="481" t="str">
        <v>Belgium</v>
      </c>
      <c r="M136" s="481" t="str">
        <v>Spain</v>
      </c>
      <c r="N136" s="481" t="str">
        <v>France</v>
      </c>
      <c r="O136" s="481" t="str">
        <v>Algeria</v>
      </c>
      <c r="P136" s="481" t="str">
        <v>Portugal</v>
      </c>
      <c r="Q136" s="490" t="str">
        <v>England</v>
      </c>
    </row>
    <row r="137" spans="1:17" x14ac:dyDescent="0.2">
      <c r="A137" s="489">
        <v>134</v>
      </c>
      <c r="B137" s="481" t="str">
        <v>Belgium</v>
      </c>
      <c r="C137" s="481" t="str">
        <v>Canada</v>
      </c>
      <c r="D137" s="481" t="str">
        <v>Belgium</v>
      </c>
      <c r="E137" s="481" t="str">
        <v>England</v>
      </c>
      <c r="F137" s="481" t="str">
        <v>Mexico</v>
      </c>
      <c r="G137" s="481" t="str">
        <v>Canada</v>
      </c>
      <c r="H137" s="481" t="str">
        <v>Brazil</v>
      </c>
      <c r="I137" s="481" t="str">
        <v>Australia</v>
      </c>
      <c r="J137" s="481" t="str">
        <v>Germany</v>
      </c>
      <c r="K137" s="481" t="str">
        <v>Japan</v>
      </c>
      <c r="L137" s="481" t="str">
        <v>Egypt</v>
      </c>
      <c r="M137" s="481" t="str">
        <v>Cabo Verde</v>
      </c>
      <c r="N137" s="481" t="str">
        <v>France</v>
      </c>
      <c r="O137" s="481" t="str">
        <v>Argentina</v>
      </c>
      <c r="P137" s="481" t="str">
        <v>Portugal</v>
      </c>
      <c r="Q137" s="490" t="str">
        <v>England</v>
      </c>
    </row>
    <row r="138" spans="1:17" x14ac:dyDescent="0.2">
      <c r="A138" s="489">
        <v>135</v>
      </c>
      <c r="B138" s="481" t="str">
        <v>England</v>
      </c>
      <c r="C138" s="481" t="str">
        <v>Croatia</v>
      </c>
      <c r="D138" s="481" t="str">
        <v>France</v>
      </c>
      <c r="E138" s="481" t="str">
        <v>Spain</v>
      </c>
      <c r="F138" s="481" t="str">
        <v>Mexico</v>
      </c>
      <c r="G138" s="481" t="str">
        <v>Bosnia-Herzegovina</v>
      </c>
      <c r="H138" s="481" t="str">
        <v>Morocco</v>
      </c>
      <c r="I138" s="481" t="str">
        <v>USA</v>
      </c>
      <c r="J138" s="481" t="str">
        <v>Cote d'Ivorie</v>
      </c>
      <c r="K138" s="481" t="str">
        <v>Netherlands</v>
      </c>
      <c r="L138" s="481" t="str">
        <v>Egypt</v>
      </c>
      <c r="M138" s="481" t="str">
        <v>Uruguay</v>
      </c>
      <c r="N138" s="481" t="str">
        <v>France</v>
      </c>
      <c r="O138" s="481" t="str">
        <v>Argentina</v>
      </c>
      <c r="P138" s="481" t="str">
        <v>Portugal</v>
      </c>
      <c r="Q138" s="490" t="str">
        <v>England</v>
      </c>
    </row>
    <row r="139" spans="1:17" x14ac:dyDescent="0.2">
      <c r="A139" s="489">
        <v>136</v>
      </c>
      <c r="B139" s="481" t="str">
        <v>England</v>
      </c>
      <c r="C139" s="481" t="str">
        <v>Austria</v>
      </c>
      <c r="D139" s="481" t="str">
        <v>France</v>
      </c>
      <c r="E139" s="481" t="str">
        <v>Morocco</v>
      </c>
      <c r="F139" s="481" t="str">
        <v>Korea Republic</v>
      </c>
      <c r="G139" s="481" t="str">
        <v>Canada</v>
      </c>
      <c r="H139" s="481" t="str">
        <v>Morocco</v>
      </c>
      <c r="I139" s="481" t="str">
        <v>Australia</v>
      </c>
      <c r="J139" s="481" t="str">
        <v>Germany</v>
      </c>
      <c r="K139" s="481" t="str">
        <v>Netherlands</v>
      </c>
      <c r="L139" s="481" t="str">
        <v>Egypt</v>
      </c>
      <c r="M139" s="481" t="str">
        <v>Spain</v>
      </c>
      <c r="N139" s="481" t="str">
        <v>Norway</v>
      </c>
      <c r="O139" s="481" t="str">
        <v>Austria</v>
      </c>
      <c r="P139" s="481" t="str">
        <v>Colombia</v>
      </c>
      <c r="Q139" s="490" t="str">
        <v>England</v>
      </c>
    </row>
    <row r="140" spans="1:17" x14ac:dyDescent="0.2">
      <c r="A140" s="489">
        <v>137</v>
      </c>
      <c r="B140" s="481" t="str">
        <v>England</v>
      </c>
      <c r="C140" s="481" t="str">
        <v>Mexico</v>
      </c>
      <c r="D140" s="481" t="str">
        <v>France</v>
      </c>
      <c r="E140" s="481" t="str">
        <v>Portugal</v>
      </c>
      <c r="F140" s="481" t="str">
        <v>Korea Republic</v>
      </c>
      <c r="G140" s="481" t="str">
        <v>Qatar</v>
      </c>
      <c r="H140" s="481" t="str">
        <v>Brazil</v>
      </c>
      <c r="I140" s="481" t="str">
        <v>Australia</v>
      </c>
      <c r="J140" s="481" t="str">
        <v>Germany</v>
      </c>
      <c r="K140" s="481" t="str">
        <v>Netherlands</v>
      </c>
      <c r="L140" s="481" t="str">
        <v>Egypt</v>
      </c>
      <c r="M140" s="481" t="str">
        <v>Saudi Arabia</v>
      </c>
      <c r="N140" s="481" t="str">
        <v>Senegal</v>
      </c>
      <c r="O140" s="481" t="str">
        <v>Argentina</v>
      </c>
      <c r="P140" s="481" t="str">
        <v>Portugal</v>
      </c>
      <c r="Q140" s="490" t="str">
        <v>Croatia</v>
      </c>
    </row>
    <row r="141" spans="1:17" x14ac:dyDescent="0.2">
      <c r="A141" s="489">
        <v>138</v>
      </c>
      <c r="B141" s="481" t="str">
        <v>France</v>
      </c>
      <c r="C141" s="481" t="str">
        <v>Germany</v>
      </c>
      <c r="D141" s="481" t="str">
        <v>Mexico</v>
      </c>
      <c r="E141" s="481" t="str">
        <v>Brazil</v>
      </c>
      <c r="F141" s="481" t="str">
        <v>Mexico</v>
      </c>
      <c r="G141" s="481" t="str">
        <v>Switzerland</v>
      </c>
      <c r="H141" s="481" t="str">
        <v>Brazil</v>
      </c>
      <c r="I141" s="481" t="str">
        <v>USA</v>
      </c>
      <c r="J141" s="481" t="str">
        <v>Cote d'Ivorie</v>
      </c>
      <c r="K141" s="481" t="str">
        <v>Netherlands</v>
      </c>
      <c r="L141" s="481" t="str">
        <v>Belgium</v>
      </c>
      <c r="M141" s="481" t="str">
        <v>Saudi Arabia</v>
      </c>
      <c r="N141" s="481" t="str">
        <v>France</v>
      </c>
      <c r="O141" s="481" t="str">
        <v>Argentina</v>
      </c>
      <c r="P141" s="481" t="str">
        <v>Portugal</v>
      </c>
      <c r="Q141" s="490" t="str">
        <v>England</v>
      </c>
    </row>
    <row r="142" spans="1:17" x14ac:dyDescent="0.2">
      <c r="A142" s="489">
        <v>139</v>
      </c>
      <c r="B142" s="481" t="str">
        <v>Switzerland</v>
      </c>
      <c r="C142" s="481" t="str">
        <v>Brazil</v>
      </c>
      <c r="D142" s="481" t="str">
        <v>Argentina</v>
      </c>
      <c r="E142" s="481" t="str">
        <v>Senegal</v>
      </c>
      <c r="F142" s="481" t="str">
        <v>Mexico</v>
      </c>
      <c r="G142" s="481" t="str">
        <v>Switzerland</v>
      </c>
      <c r="H142" s="481" t="str">
        <v>Morocco</v>
      </c>
      <c r="I142" s="481" t="str">
        <v>Australia</v>
      </c>
      <c r="J142" s="481" t="str">
        <v>Germany</v>
      </c>
      <c r="K142" s="481" t="str">
        <v>Netherlands</v>
      </c>
      <c r="L142" s="481" t="str">
        <v>Belgium</v>
      </c>
      <c r="M142" s="481" t="str">
        <v>Spain</v>
      </c>
      <c r="N142" s="481" t="str">
        <v>France</v>
      </c>
      <c r="O142" s="481" t="str">
        <v>Argentina</v>
      </c>
      <c r="P142" s="481" t="str">
        <v>Portugal</v>
      </c>
      <c r="Q142" s="490" t="str">
        <v>Croatia</v>
      </c>
    </row>
    <row r="143" spans="1:17" x14ac:dyDescent="0.2">
      <c r="A143" s="489">
        <v>140</v>
      </c>
      <c r="B143" s="481" t="str">
        <v>Netherlands</v>
      </c>
      <c r="C143" s="481" t="str">
        <v>France</v>
      </c>
      <c r="D143" s="481" t="str">
        <v>Germany</v>
      </c>
      <c r="E143" s="481" t="str">
        <v>Japan</v>
      </c>
      <c r="F143" s="481" t="str">
        <v>Mexico</v>
      </c>
      <c r="G143" s="481" t="str">
        <v>Canada</v>
      </c>
      <c r="H143" s="481" t="str">
        <v>Brazil</v>
      </c>
      <c r="I143" s="481" t="str">
        <v>USA</v>
      </c>
      <c r="J143" s="481" t="str">
        <v>Germany</v>
      </c>
      <c r="K143" s="481" t="str">
        <v>Netherlands</v>
      </c>
      <c r="L143" s="481" t="str">
        <v>Egypt</v>
      </c>
      <c r="M143" s="481" t="str">
        <v>Spain</v>
      </c>
      <c r="N143" s="481" t="str">
        <v>Senegal</v>
      </c>
      <c r="O143" s="481" t="str">
        <v>Argentina</v>
      </c>
      <c r="P143" s="481" t="str">
        <v>Portugal</v>
      </c>
      <c r="Q143" s="490" t="str">
        <v>Croatia</v>
      </c>
    </row>
    <row r="144" spans="1:17" x14ac:dyDescent="0.2">
      <c r="A144" s="489">
        <v>141</v>
      </c>
      <c r="B144" s="481" t="str">
        <v>Brazil</v>
      </c>
      <c r="C144" s="481" t="str">
        <v>Netherlands</v>
      </c>
      <c r="D144" s="481" t="str">
        <v>Argentina</v>
      </c>
      <c r="E144" s="481" t="str">
        <v>Korea Republic</v>
      </c>
      <c r="F144" s="481" t="str">
        <v>Korea Republic</v>
      </c>
      <c r="G144" s="481" t="str">
        <v>Switzerland</v>
      </c>
      <c r="H144" s="481" t="str">
        <v>Brazil</v>
      </c>
      <c r="I144" s="481" t="str">
        <v>Paraguay</v>
      </c>
      <c r="J144" s="481" t="str">
        <v>Germany</v>
      </c>
      <c r="K144" s="481" t="str">
        <v>Netherlands</v>
      </c>
      <c r="L144" s="481" t="str">
        <v>IR Iran</v>
      </c>
      <c r="M144" s="481" t="str">
        <v>Uruguay</v>
      </c>
      <c r="N144" s="481" t="str">
        <v>France</v>
      </c>
      <c r="O144" s="481" t="str">
        <v>Argentina</v>
      </c>
      <c r="P144" s="481" t="str">
        <v>Colombia</v>
      </c>
      <c r="Q144" s="490" t="str">
        <v>Croatia</v>
      </c>
    </row>
    <row r="145" spans="1:17" x14ac:dyDescent="0.2">
      <c r="A145" s="489">
        <v>142</v>
      </c>
      <c r="B145" s="481" t="str">
        <v>Japan</v>
      </c>
      <c r="C145" s="481" t="str">
        <v>Algeria</v>
      </c>
      <c r="D145" s="481" t="str">
        <v>Portugal</v>
      </c>
      <c r="E145" s="481" t="str">
        <v>Portugal</v>
      </c>
      <c r="F145" s="481" t="str">
        <v>Mexico</v>
      </c>
      <c r="G145" s="481" t="str">
        <v>Canada</v>
      </c>
      <c r="H145" s="481" t="str">
        <v>Brazil</v>
      </c>
      <c r="I145" s="481" t="str">
        <v>USA</v>
      </c>
      <c r="J145" s="481" t="str">
        <v>Cote d'Ivorie</v>
      </c>
      <c r="K145" s="481" t="str">
        <v>Japan</v>
      </c>
      <c r="L145" s="481" t="str">
        <v>Egypt</v>
      </c>
      <c r="M145" s="481" t="str">
        <v>Spain</v>
      </c>
      <c r="N145" s="481" t="str">
        <v>France</v>
      </c>
      <c r="O145" s="481" t="str">
        <v>Algeria</v>
      </c>
      <c r="P145" s="481" t="str">
        <v>Portugal</v>
      </c>
      <c r="Q145" s="490" t="str">
        <v>England</v>
      </c>
    </row>
    <row r="146" spans="1:17" x14ac:dyDescent="0.2">
      <c r="A146" s="489">
        <v>143</v>
      </c>
      <c r="B146" s="481" t="str">
        <v>Portugal</v>
      </c>
      <c r="C146" s="481" t="str">
        <v>England</v>
      </c>
      <c r="D146" s="481" t="str">
        <v>Morocco</v>
      </c>
      <c r="E146" s="481" t="str">
        <v>Switzerland</v>
      </c>
      <c r="F146" s="481" t="str">
        <v>Korea Republic</v>
      </c>
      <c r="G146" s="481" t="str">
        <v>Switzerland</v>
      </c>
      <c r="H146" s="481" t="str">
        <v>Brazil</v>
      </c>
      <c r="I146" s="481" t="str">
        <v>USA</v>
      </c>
      <c r="J146" s="481" t="str">
        <v>Germany</v>
      </c>
      <c r="K146" s="481" t="str">
        <v>Japan</v>
      </c>
      <c r="L146" s="481" t="str">
        <v>Belgium</v>
      </c>
      <c r="M146" s="481" t="str">
        <v>Saudi Arabia</v>
      </c>
      <c r="N146" s="481" t="str">
        <v>Senegal</v>
      </c>
      <c r="O146" s="481" t="str">
        <v>Argentina</v>
      </c>
      <c r="P146" s="481" t="str">
        <v>Portugal</v>
      </c>
      <c r="Q146" s="490" t="str">
        <v>England</v>
      </c>
    </row>
    <row r="147" spans="1:17" x14ac:dyDescent="0.2">
      <c r="A147" s="489">
        <v>144</v>
      </c>
      <c r="B147" s="481" t="str">
        <v>Spain</v>
      </c>
      <c r="C147" s="481" t="str">
        <v>France</v>
      </c>
      <c r="D147" s="481" t="str">
        <v>Germany</v>
      </c>
      <c r="E147" s="481" t="str">
        <v>Croatia</v>
      </c>
      <c r="F147" s="481" t="str">
        <v>Mexico</v>
      </c>
      <c r="G147" s="481" t="str">
        <v>Qatar</v>
      </c>
      <c r="H147" s="481" t="str">
        <v>Brazil</v>
      </c>
      <c r="I147" s="481" t="str">
        <v>USA</v>
      </c>
      <c r="J147" s="481" t="str">
        <v>Germany</v>
      </c>
      <c r="K147" s="481" t="str">
        <v>Sweden</v>
      </c>
      <c r="L147" s="481" t="str">
        <v>Belgium</v>
      </c>
      <c r="M147" s="481" t="str">
        <v>Spain</v>
      </c>
      <c r="N147" s="481" t="str">
        <v>France</v>
      </c>
      <c r="O147" s="481" t="str">
        <v>Argentina</v>
      </c>
      <c r="P147" s="481" t="str">
        <v>Portugal</v>
      </c>
      <c r="Q147" s="490" t="str">
        <v>England</v>
      </c>
    </row>
    <row r="148" spans="1:17" x14ac:dyDescent="0.2">
      <c r="A148" s="489">
        <v>145</v>
      </c>
      <c r="B148" s="481" t="str">
        <v>Croatia</v>
      </c>
      <c r="C148" s="481" t="str">
        <v>Belgium</v>
      </c>
      <c r="D148" s="481" t="str">
        <v>France</v>
      </c>
      <c r="E148" s="481" t="str">
        <v>Argentina</v>
      </c>
      <c r="F148" s="481" t="str">
        <v>Mexico</v>
      </c>
      <c r="G148" s="481" t="str">
        <v>Bosnia-Herzegovina</v>
      </c>
      <c r="H148" s="481" t="str">
        <v>Morocco</v>
      </c>
      <c r="I148" s="481" t="str">
        <v>Australia</v>
      </c>
      <c r="J148" s="481" t="str">
        <v>Ecuador</v>
      </c>
      <c r="K148" s="481" t="str">
        <v>Sweden</v>
      </c>
      <c r="L148" s="481" t="str">
        <v>Egypt</v>
      </c>
      <c r="M148" s="481" t="str">
        <v>Spain</v>
      </c>
      <c r="N148" s="481" t="str">
        <v>France</v>
      </c>
      <c r="O148" s="481" t="str">
        <v>Argentina</v>
      </c>
      <c r="P148" s="481" t="str">
        <v>Portugal</v>
      </c>
      <c r="Q148" s="490" t="str">
        <v>England</v>
      </c>
    </row>
    <row r="149" spans="1:17" x14ac:dyDescent="0.2">
      <c r="A149" s="489">
        <v>146</v>
      </c>
      <c r="B149" s="481" t="str">
        <v>Spain</v>
      </c>
      <c r="C149" s="481" t="str">
        <v>Argentina</v>
      </c>
      <c r="D149" s="481" t="str">
        <v>England</v>
      </c>
      <c r="E149" s="481" t="str">
        <v>Switzerland</v>
      </c>
      <c r="F149" s="481" t="str">
        <v>Korea Republic</v>
      </c>
      <c r="G149" s="481" t="str">
        <v>Switzerland</v>
      </c>
      <c r="H149" s="481" t="str">
        <v>Brazil</v>
      </c>
      <c r="I149" s="481" t="str">
        <v>Australia</v>
      </c>
      <c r="J149" s="481" t="str">
        <v>Germany</v>
      </c>
      <c r="K149" s="481" t="str">
        <v>Netherlands</v>
      </c>
      <c r="L149" s="481" t="str">
        <v>Belgium</v>
      </c>
      <c r="M149" s="481" t="str">
        <v>Uruguay</v>
      </c>
      <c r="N149" s="481" t="str">
        <v>France</v>
      </c>
      <c r="O149" s="481" t="str">
        <v>Argentina</v>
      </c>
      <c r="P149" s="481" t="str">
        <v>Colombia</v>
      </c>
      <c r="Q149" s="490" t="str">
        <v>Panama</v>
      </c>
    </row>
    <row r="150" spans="1:17" x14ac:dyDescent="0.2">
      <c r="A150" s="489">
        <v>147</v>
      </c>
      <c r="B150" s="481" t="str">
        <v>Korea Republic</v>
      </c>
      <c r="C150" s="481" t="str">
        <v>England</v>
      </c>
      <c r="D150" s="481" t="str">
        <v>Portugal</v>
      </c>
      <c r="E150" s="481" t="str">
        <v>France</v>
      </c>
      <c r="F150" s="481" t="str">
        <v>Mexico</v>
      </c>
      <c r="G150" s="481" t="str">
        <v>Canada</v>
      </c>
      <c r="H150" s="481" t="str">
        <v>Morocco</v>
      </c>
      <c r="I150" s="481" t="str">
        <v>USA</v>
      </c>
      <c r="J150" s="481" t="str">
        <v>Germany</v>
      </c>
      <c r="K150" s="481" t="str">
        <v>Netherlands</v>
      </c>
      <c r="L150" s="481" t="str">
        <v>Belgium</v>
      </c>
      <c r="M150" s="481" t="str">
        <v>Uruguay</v>
      </c>
      <c r="N150" s="481" t="str">
        <v>France</v>
      </c>
      <c r="O150" s="481" t="str">
        <v>Argentina</v>
      </c>
      <c r="P150" s="481" t="str">
        <v>Portugal</v>
      </c>
      <c r="Q150" s="490" t="str">
        <v>England</v>
      </c>
    </row>
    <row r="151" spans="1:17" x14ac:dyDescent="0.2">
      <c r="A151" s="489">
        <v>148</v>
      </c>
      <c r="B151" s="481" t="str">
        <v>Portugal</v>
      </c>
      <c r="C151" s="481" t="str">
        <v>Korea Republic</v>
      </c>
      <c r="D151" s="481" t="str">
        <v>Norway</v>
      </c>
      <c r="E151" s="481" t="str">
        <v>Colombia</v>
      </c>
      <c r="F151" s="481" t="str">
        <v>Korea Republic</v>
      </c>
      <c r="G151" s="481" t="str">
        <v>Switzerland</v>
      </c>
      <c r="H151" s="481" t="str">
        <v>Brazil</v>
      </c>
      <c r="I151" s="481" t="str">
        <v>Turkiye</v>
      </c>
      <c r="J151" s="481" t="str">
        <v>Germany</v>
      </c>
      <c r="K151" s="481" t="str">
        <v>Japan</v>
      </c>
      <c r="L151" s="481" t="str">
        <v>New Zealand</v>
      </c>
      <c r="M151" s="481" t="str">
        <v>Spain</v>
      </c>
      <c r="N151" s="481" t="str">
        <v>Norway</v>
      </c>
      <c r="O151" s="481" t="str">
        <v>Algeria</v>
      </c>
      <c r="P151" s="481" t="str">
        <v>Portugal</v>
      </c>
      <c r="Q151" s="490" t="str">
        <v>Croatia</v>
      </c>
    </row>
    <row r="152" spans="1:17" x14ac:dyDescent="0.2">
      <c r="A152" s="489">
        <v>149</v>
      </c>
      <c r="B152" s="481" t="str">
        <v>Argentina</v>
      </c>
      <c r="C152" s="481" t="str">
        <v>Spain</v>
      </c>
      <c r="D152" s="481" t="str">
        <v>Scotland</v>
      </c>
      <c r="E152" s="481" t="str">
        <v>Germany</v>
      </c>
      <c r="F152" s="481" t="str">
        <v>Mexico</v>
      </c>
      <c r="G152" s="481" t="str">
        <v>Switzerland</v>
      </c>
      <c r="H152" s="481" t="str">
        <v>Brazil</v>
      </c>
      <c r="I152" s="481" t="str">
        <v>USA</v>
      </c>
      <c r="J152" s="481" t="str">
        <v>Germany</v>
      </c>
      <c r="K152" s="481" t="str">
        <v>Japan</v>
      </c>
      <c r="L152" s="481" t="str">
        <v>Egypt</v>
      </c>
      <c r="M152" s="481" t="str">
        <v>Spain</v>
      </c>
      <c r="N152" s="481" t="str">
        <v>France</v>
      </c>
      <c r="O152" s="481" t="str">
        <v>Argentina</v>
      </c>
      <c r="P152" s="481" t="str">
        <v>Portugal</v>
      </c>
      <c r="Q152" s="490" t="str">
        <v>England</v>
      </c>
    </row>
    <row r="153" spans="1:17" x14ac:dyDescent="0.2">
      <c r="A153" s="489">
        <v>150</v>
      </c>
      <c r="B153" s="481" t="str">
        <v>Spain</v>
      </c>
      <c r="C153" s="481" t="str">
        <v>France</v>
      </c>
      <c r="D153" s="481" t="str">
        <v>Netherlands</v>
      </c>
      <c r="E153" s="481" t="str">
        <v>Senegal</v>
      </c>
      <c r="F153" s="481" t="str">
        <v>Mexico</v>
      </c>
      <c r="G153" s="481" t="str">
        <v>Switzerland</v>
      </c>
      <c r="H153" s="481" t="str">
        <v>Brazil</v>
      </c>
      <c r="I153" s="481" t="str">
        <v>USA</v>
      </c>
      <c r="J153" s="481" t="str">
        <v>Cote d'Ivorie</v>
      </c>
      <c r="K153" s="481" t="str">
        <v>Netherlands</v>
      </c>
      <c r="L153" s="481" t="str">
        <v>Belgium</v>
      </c>
      <c r="M153" s="481" t="str">
        <v>Spain</v>
      </c>
      <c r="N153" s="481" t="str">
        <v>France</v>
      </c>
      <c r="O153" s="481" t="str">
        <v>Argentina</v>
      </c>
      <c r="P153" s="481" t="str">
        <v>Portugal</v>
      </c>
      <c r="Q153" s="490" t="str">
        <v>Panama</v>
      </c>
    </row>
    <row r="154" spans="1:17" x14ac:dyDescent="0.2">
      <c r="A154" s="489">
        <v>151</v>
      </c>
      <c r="B154" s="481" t="str">
        <v>Argentina</v>
      </c>
      <c r="C154" s="481" t="str">
        <v>France</v>
      </c>
      <c r="D154" s="481" t="str">
        <v>England</v>
      </c>
      <c r="E154" s="481" t="str">
        <v>Colombia</v>
      </c>
      <c r="F154" s="481" t="str">
        <v>Mexico</v>
      </c>
      <c r="G154" s="481" t="str">
        <v>Canada</v>
      </c>
      <c r="H154" s="481" t="str">
        <v>Morocco</v>
      </c>
      <c r="I154" s="481" t="str">
        <v>USA</v>
      </c>
      <c r="J154" s="481" t="str">
        <v>Cote d'Ivorie</v>
      </c>
      <c r="K154" s="481" t="str">
        <v>Japan</v>
      </c>
      <c r="L154" s="481" t="str">
        <v>Belgium</v>
      </c>
      <c r="M154" s="481" t="str">
        <v>Spain</v>
      </c>
      <c r="N154" s="481" t="str">
        <v>France</v>
      </c>
      <c r="O154" s="481" t="str">
        <v>Argentina</v>
      </c>
      <c r="P154" s="481" t="str">
        <v>Portugal</v>
      </c>
      <c r="Q154" s="490" t="str">
        <v>England</v>
      </c>
    </row>
    <row r="155" spans="1:17" x14ac:dyDescent="0.2">
      <c r="A155" s="489">
        <v>152</v>
      </c>
      <c r="B155" s="481" t="str">
        <v>Germany</v>
      </c>
      <c r="C155" s="481" t="str">
        <v>Brazil</v>
      </c>
      <c r="D155" s="481" t="str">
        <v>England</v>
      </c>
      <c r="E155" s="481" t="str">
        <v>Japan</v>
      </c>
      <c r="F155" s="481" t="str">
        <v>Mexico</v>
      </c>
      <c r="G155" s="481" t="str">
        <v>Switzerland</v>
      </c>
      <c r="H155" s="481" t="str">
        <v>Morocco</v>
      </c>
      <c r="I155" s="481" t="str">
        <v>USA</v>
      </c>
      <c r="J155" s="481" t="str">
        <v>Germany</v>
      </c>
      <c r="K155" s="481" t="str">
        <v>Netherlands</v>
      </c>
      <c r="L155" s="481" t="str">
        <v>Egypt</v>
      </c>
      <c r="M155" s="481" t="str">
        <v>Uruguay</v>
      </c>
      <c r="N155" s="481" t="str">
        <v>France</v>
      </c>
      <c r="O155" s="481" t="str">
        <v>Argentina</v>
      </c>
      <c r="P155" s="481" t="str">
        <v>Colombia</v>
      </c>
      <c r="Q155" s="490" t="str">
        <v>England</v>
      </c>
    </row>
    <row r="156" spans="1:17" x14ac:dyDescent="0.2">
      <c r="A156" s="489">
        <v>153</v>
      </c>
      <c r="B156" s="481" t="str">
        <v>Senegal</v>
      </c>
      <c r="C156" s="481" t="str">
        <v>Netherlands</v>
      </c>
      <c r="D156" s="481" t="str">
        <v>Argentina</v>
      </c>
      <c r="E156" s="481" t="str">
        <v>France</v>
      </c>
      <c r="F156" s="481" t="str">
        <v>Korea Republic</v>
      </c>
      <c r="G156" s="481" t="str">
        <v>Switzerland</v>
      </c>
      <c r="H156" s="481" t="str">
        <v>Morocco</v>
      </c>
      <c r="I156" s="481" t="str">
        <v>USA</v>
      </c>
      <c r="J156" s="481" t="str">
        <v>Germany</v>
      </c>
      <c r="K156" s="481" t="str">
        <v>Netherlands</v>
      </c>
      <c r="L156" s="481" t="str">
        <v>Egypt</v>
      </c>
      <c r="M156" s="481" t="str">
        <v>Spain</v>
      </c>
      <c r="N156" s="481" t="str">
        <v>Norway</v>
      </c>
      <c r="O156" s="481" t="str">
        <v>Austria</v>
      </c>
      <c r="P156" s="481" t="str">
        <v>Portugal</v>
      </c>
      <c r="Q156" s="490" t="str">
        <v>Croatia</v>
      </c>
    </row>
    <row r="157" spans="1:17" x14ac:dyDescent="0.2">
      <c r="A157" s="489">
        <v>154</v>
      </c>
      <c r="B157" s="481" t="str">
        <v>Argentina</v>
      </c>
      <c r="C157" s="481" t="str">
        <v>France</v>
      </c>
      <c r="D157" s="481" t="str">
        <v>Germany</v>
      </c>
      <c r="E157" s="481" t="str">
        <v>Mexico</v>
      </c>
      <c r="F157" s="481" t="str">
        <v>Mexico</v>
      </c>
      <c r="G157" s="481" t="str">
        <v>Canada</v>
      </c>
      <c r="H157" s="481" t="str">
        <v>Morocco</v>
      </c>
      <c r="I157" s="481" t="str">
        <v>USA</v>
      </c>
      <c r="J157" s="481" t="str">
        <v>Cote d'Ivorie</v>
      </c>
      <c r="K157" s="481" t="str">
        <v>Japan</v>
      </c>
      <c r="L157" s="481" t="str">
        <v>Belgium</v>
      </c>
      <c r="M157" s="481" t="str">
        <v>Spain</v>
      </c>
      <c r="N157" s="481" t="str">
        <v>France</v>
      </c>
      <c r="O157" s="481" t="str">
        <v>Argentina</v>
      </c>
      <c r="P157" s="481" t="str">
        <v>Colombia</v>
      </c>
      <c r="Q157" s="490" t="str">
        <v>England</v>
      </c>
    </row>
    <row r="158" spans="1:17" x14ac:dyDescent="0.2">
      <c r="A158" s="489">
        <v>155</v>
      </c>
      <c r="B158" s="481" t="str">
        <v>Portugal</v>
      </c>
      <c r="C158" s="481" t="str">
        <v>Colombia</v>
      </c>
      <c r="D158" s="481" t="str">
        <v>Uruguay</v>
      </c>
      <c r="E158" s="481" t="str">
        <v>Mexico</v>
      </c>
      <c r="F158" s="481" t="str">
        <v>Mexico</v>
      </c>
      <c r="G158" s="481" t="str">
        <v>Qatar</v>
      </c>
      <c r="H158" s="481" t="str">
        <v>Morocco</v>
      </c>
      <c r="I158" s="481" t="str">
        <v>Australia</v>
      </c>
      <c r="J158" s="481" t="str">
        <v>Germany</v>
      </c>
      <c r="K158" s="481" t="str">
        <v>Netherlands</v>
      </c>
      <c r="L158" s="481" t="str">
        <v>IR Iran</v>
      </c>
      <c r="M158" s="481" t="str">
        <v>Spain</v>
      </c>
      <c r="N158" s="481" t="str">
        <v>Senegal</v>
      </c>
      <c r="O158" s="481" t="str">
        <v>Argentina</v>
      </c>
      <c r="P158" s="481" t="str">
        <v>Portugal</v>
      </c>
      <c r="Q158" s="490" t="str">
        <v>Panama</v>
      </c>
    </row>
    <row r="159" spans="1:17" x14ac:dyDescent="0.2">
      <c r="A159" s="489">
        <v>156</v>
      </c>
      <c r="B159" s="481" t="str">
        <v>Argentina</v>
      </c>
      <c r="C159" s="481" t="str">
        <v>Japan</v>
      </c>
      <c r="D159" s="481" t="str">
        <v>Spain</v>
      </c>
      <c r="E159" s="481" t="str">
        <v>Korea Republic</v>
      </c>
      <c r="F159" s="481" t="str">
        <v>Mexico</v>
      </c>
      <c r="G159" s="481" t="str">
        <v>Switzerland</v>
      </c>
      <c r="H159" s="481" t="str">
        <v>Morocco</v>
      </c>
      <c r="I159" s="481" t="str">
        <v>Australia</v>
      </c>
      <c r="J159" s="481" t="str">
        <v>Germany</v>
      </c>
      <c r="K159" s="481" t="str">
        <v>Sweden</v>
      </c>
      <c r="L159" s="481" t="str">
        <v>Belgium</v>
      </c>
      <c r="M159" s="481" t="str">
        <v>Spain</v>
      </c>
      <c r="N159" s="481" t="str">
        <v>France</v>
      </c>
      <c r="O159" s="481" t="str">
        <v>Austria</v>
      </c>
      <c r="P159" s="481" t="str">
        <v>Portugal</v>
      </c>
      <c r="Q159" s="490" t="str">
        <v>England</v>
      </c>
    </row>
    <row r="160" spans="1:17" x14ac:dyDescent="0.2">
      <c r="A160" s="489">
        <v>157</v>
      </c>
      <c r="B160" s="481" t="str">
        <v>Argentina</v>
      </c>
      <c r="C160" s="481" t="str">
        <v>France</v>
      </c>
      <c r="D160" s="481" t="str">
        <v>Mexico</v>
      </c>
      <c r="E160" s="481" t="str">
        <v>Norway</v>
      </c>
      <c r="F160" s="481" t="str">
        <v>Mexico</v>
      </c>
      <c r="G160" s="481" t="str">
        <v>Switzerland</v>
      </c>
      <c r="H160" s="481" t="str">
        <v>Brazil</v>
      </c>
      <c r="I160" s="481" t="str">
        <v>Australia</v>
      </c>
      <c r="J160" s="481" t="str">
        <v>Germany</v>
      </c>
      <c r="K160" s="481" t="str">
        <v>Netherlands</v>
      </c>
      <c r="L160" s="481" t="str">
        <v>Egypt</v>
      </c>
      <c r="M160" s="481" t="str">
        <v>Uruguay</v>
      </c>
      <c r="N160" s="481" t="str">
        <v>France</v>
      </c>
      <c r="O160" s="481" t="str">
        <v>Argentina</v>
      </c>
      <c r="P160" s="481" t="str">
        <v>Portugal</v>
      </c>
      <c r="Q160" s="490" t="str">
        <v>England</v>
      </c>
    </row>
    <row r="161" spans="1:17" x14ac:dyDescent="0.2">
      <c r="A161" s="489">
        <v>158</v>
      </c>
      <c r="B161" s="481" t="str">
        <v>Spain</v>
      </c>
      <c r="C161" s="481" t="str">
        <v>France</v>
      </c>
      <c r="D161" s="481" t="str">
        <v>Portugal</v>
      </c>
      <c r="E161" s="481" t="str">
        <v>Uruguay</v>
      </c>
      <c r="F161" s="481" t="str">
        <v>Mexico</v>
      </c>
      <c r="G161" s="481" t="str">
        <v>Switzerland</v>
      </c>
      <c r="H161" s="481" t="str">
        <v>Morocco</v>
      </c>
      <c r="I161" s="481" t="str">
        <v>USA</v>
      </c>
      <c r="J161" s="481" t="str">
        <v>Germany</v>
      </c>
      <c r="K161" s="481" t="str">
        <v>Netherlands</v>
      </c>
      <c r="L161" s="481" t="str">
        <v>Egypt</v>
      </c>
      <c r="M161" s="481" t="str">
        <v>Spain</v>
      </c>
      <c r="N161" s="481" t="str">
        <v>France</v>
      </c>
      <c r="O161" s="481" t="str">
        <v>Argentina</v>
      </c>
      <c r="P161" s="481" t="str">
        <v>Portugal</v>
      </c>
      <c r="Q161" s="490" t="str">
        <v>Croatia</v>
      </c>
    </row>
    <row r="162" spans="1:17" x14ac:dyDescent="0.2">
      <c r="A162" s="489">
        <v>159</v>
      </c>
      <c r="B162" s="481" t="str">
        <v>Germany</v>
      </c>
      <c r="C162" s="481" t="str">
        <v>USA</v>
      </c>
      <c r="D162" s="481" t="str">
        <v>Netherlands</v>
      </c>
      <c r="E162" s="481" t="str">
        <v>Argentina</v>
      </c>
      <c r="F162" s="481" t="str">
        <v>Korea Republic</v>
      </c>
      <c r="G162" s="481" t="str">
        <v>Switzerland</v>
      </c>
      <c r="H162" s="481" t="str">
        <v>Morocco</v>
      </c>
      <c r="I162" s="481" t="str">
        <v>Australia</v>
      </c>
      <c r="J162" s="481" t="str">
        <v>Germany</v>
      </c>
      <c r="K162" s="481" t="str">
        <v>Sweden</v>
      </c>
      <c r="L162" s="481" t="str">
        <v>IR Iran</v>
      </c>
      <c r="M162" s="481" t="str">
        <v>Spain</v>
      </c>
      <c r="N162" s="481" t="str">
        <v>France</v>
      </c>
      <c r="O162" s="481" t="str">
        <v>Argentina</v>
      </c>
      <c r="P162" s="481" t="str">
        <v>Colombia</v>
      </c>
      <c r="Q162" s="490" t="str">
        <v>England</v>
      </c>
    </row>
    <row r="163" spans="1:17" x14ac:dyDescent="0.2">
      <c r="A163" s="489">
        <v>160</v>
      </c>
      <c r="B163" s="481" t="str">
        <v>Portugal</v>
      </c>
      <c r="C163" s="481" t="str">
        <v>Portugal</v>
      </c>
      <c r="D163" s="481" t="str">
        <v>Cote d'Ivorie</v>
      </c>
      <c r="E163" s="481" t="str">
        <v>Netherlands</v>
      </c>
      <c r="F163" s="481" t="str">
        <v>Korea Republic</v>
      </c>
      <c r="G163" s="481" t="str">
        <v>Switzerland</v>
      </c>
      <c r="H163" s="481" t="str">
        <v>Brazil</v>
      </c>
      <c r="I163" s="481" t="str">
        <v>Australia</v>
      </c>
      <c r="J163" s="481" t="str">
        <v>Germany</v>
      </c>
      <c r="K163" s="481" t="str">
        <v>Sweden</v>
      </c>
      <c r="L163" s="481" t="str">
        <v>Belgium</v>
      </c>
      <c r="M163" s="481" t="str">
        <v>Uruguay</v>
      </c>
      <c r="N163" s="481" t="str">
        <v>Senegal</v>
      </c>
      <c r="O163" s="481" t="str">
        <v>Argentina</v>
      </c>
      <c r="P163" s="481" t="str">
        <v>Portugal</v>
      </c>
      <c r="Q163" s="490" t="str">
        <v>England</v>
      </c>
    </row>
    <row r="164" spans="1:17" x14ac:dyDescent="0.2">
      <c r="A164" s="489">
        <v>161</v>
      </c>
      <c r="B164" s="481" t="str">
        <v>Colombia</v>
      </c>
      <c r="C164" s="481" t="str">
        <v>Belgium</v>
      </c>
      <c r="D164" s="481" t="str">
        <v>Netherlands</v>
      </c>
      <c r="E164" s="481" t="str">
        <v>Canada</v>
      </c>
      <c r="F164" s="481" t="str">
        <v>Mexico</v>
      </c>
      <c r="G164" s="481" t="str">
        <v>Bosnia-Herzegovina</v>
      </c>
      <c r="H164" s="481" t="str">
        <v>Morocco</v>
      </c>
      <c r="I164" s="481" t="str">
        <v>USA</v>
      </c>
      <c r="J164" s="481" t="str">
        <v>Germany</v>
      </c>
      <c r="K164" s="481" t="str">
        <v>Sweden</v>
      </c>
      <c r="L164" s="481" t="str">
        <v>Belgium</v>
      </c>
      <c r="M164" s="481" t="str">
        <v>Spain</v>
      </c>
      <c r="N164" s="481" t="str">
        <v>France</v>
      </c>
      <c r="O164" s="481" t="str">
        <v>Argentina</v>
      </c>
      <c r="P164" s="481" t="str">
        <v>Colombia</v>
      </c>
      <c r="Q164" s="490" t="str">
        <v>Panama</v>
      </c>
    </row>
    <row r="165" spans="1:17" x14ac:dyDescent="0.2">
      <c r="A165" s="489">
        <v>162</v>
      </c>
      <c r="B165" s="481" t="str">
        <v>Netherlands</v>
      </c>
      <c r="C165" s="481" t="str">
        <v>Mexico</v>
      </c>
      <c r="D165" s="481" t="str">
        <v>Portugal</v>
      </c>
      <c r="E165" s="481" t="str">
        <v>USA</v>
      </c>
      <c r="F165" s="481" t="str">
        <v>Mexico</v>
      </c>
      <c r="G165" s="481" t="str">
        <v>Canada</v>
      </c>
      <c r="H165" s="481" t="str">
        <v>Morocco</v>
      </c>
      <c r="I165" s="481" t="str">
        <v>USA</v>
      </c>
      <c r="J165" s="481" t="str">
        <v>Germany</v>
      </c>
      <c r="K165" s="481" t="str">
        <v>Netherlands</v>
      </c>
      <c r="L165" s="481" t="str">
        <v>Belgium</v>
      </c>
      <c r="M165" s="481" t="str">
        <v>Spain</v>
      </c>
      <c r="N165" s="481" t="str">
        <v>France</v>
      </c>
      <c r="O165" s="481" t="str">
        <v>Argentina</v>
      </c>
      <c r="P165" s="481" t="str">
        <v>Colombia</v>
      </c>
      <c r="Q165" s="490" t="str">
        <v>England</v>
      </c>
    </row>
    <row r="166" spans="1:17" x14ac:dyDescent="0.2">
      <c r="A166" s="489">
        <v>163</v>
      </c>
      <c r="B166" s="481" t="str">
        <v>Algeria</v>
      </c>
      <c r="C166" s="481" t="str">
        <v>Germany</v>
      </c>
      <c r="D166" s="481" t="str">
        <v>Colombia</v>
      </c>
      <c r="E166" s="481" t="str">
        <v>Brazil</v>
      </c>
      <c r="F166" s="481" t="str">
        <v>Korea Republic</v>
      </c>
      <c r="G166" s="481" t="str">
        <v>Qatar</v>
      </c>
      <c r="H166" s="481" t="str">
        <v>Brazil</v>
      </c>
      <c r="I166" s="481" t="str">
        <v>USA</v>
      </c>
      <c r="J166" s="481" t="str">
        <v>Germany</v>
      </c>
      <c r="K166" s="481" t="str">
        <v>Japan</v>
      </c>
      <c r="L166" s="481" t="str">
        <v>Belgium</v>
      </c>
      <c r="M166" s="481" t="str">
        <v>Spain</v>
      </c>
      <c r="N166" s="481" t="str">
        <v>France</v>
      </c>
      <c r="O166" s="481" t="str">
        <v>Argentina</v>
      </c>
      <c r="P166" s="481" t="str">
        <v>Portugal</v>
      </c>
      <c r="Q166" s="490" t="str">
        <v>England</v>
      </c>
    </row>
    <row r="167" spans="1:17" x14ac:dyDescent="0.2">
      <c r="A167" s="489">
        <v>164</v>
      </c>
      <c r="B167" s="481" t="str">
        <v>England</v>
      </c>
      <c r="C167" s="481" t="str">
        <v>Uruguay</v>
      </c>
      <c r="D167" s="481" t="str">
        <v>France</v>
      </c>
      <c r="E167" s="481" t="str">
        <v>England</v>
      </c>
      <c r="F167" s="481" t="str">
        <v>Mexico</v>
      </c>
      <c r="G167" s="481" t="str">
        <v>Switzerland</v>
      </c>
      <c r="H167" s="481" t="str">
        <v>Morocco</v>
      </c>
      <c r="I167" s="481" t="str">
        <v>USA</v>
      </c>
      <c r="J167" s="481" t="str">
        <v>Germany</v>
      </c>
      <c r="K167" s="481" t="str">
        <v>Netherlands</v>
      </c>
      <c r="L167" s="481" t="str">
        <v>Egypt</v>
      </c>
      <c r="M167" s="481" t="str">
        <v>Spain</v>
      </c>
      <c r="N167" s="481" t="str">
        <v>France</v>
      </c>
      <c r="O167" s="481" t="str">
        <v>Argentina</v>
      </c>
      <c r="P167" s="481" t="str">
        <v>Colombia</v>
      </c>
      <c r="Q167" s="490" t="str">
        <v>Ghana</v>
      </c>
    </row>
    <row r="168" spans="1:17" x14ac:dyDescent="0.2">
      <c r="A168" s="489">
        <v>165</v>
      </c>
      <c r="B168" s="481" t="str">
        <v>Argentina</v>
      </c>
      <c r="C168" s="481" t="str">
        <v>England</v>
      </c>
      <c r="D168" s="481" t="str">
        <v>France</v>
      </c>
      <c r="E168" s="481" t="str">
        <v>Croatia</v>
      </c>
      <c r="F168" s="481" t="str">
        <v>Mexico</v>
      </c>
      <c r="G168" s="481" t="str">
        <v>Canada</v>
      </c>
      <c r="H168" s="481" t="str">
        <v>Morocco</v>
      </c>
      <c r="I168" s="481" t="str">
        <v>USA</v>
      </c>
      <c r="J168" s="481" t="str">
        <v>Germany</v>
      </c>
      <c r="K168" s="481" t="str">
        <v>Netherlands</v>
      </c>
      <c r="L168" s="481" t="str">
        <v>Egypt</v>
      </c>
      <c r="M168" s="481" t="str">
        <v>Spain</v>
      </c>
      <c r="N168" s="481" t="str">
        <v>France</v>
      </c>
      <c r="O168" s="481" t="str">
        <v>Argentina</v>
      </c>
      <c r="P168" s="481" t="str">
        <v>Portugal</v>
      </c>
      <c r="Q168" s="490" t="str">
        <v>England</v>
      </c>
    </row>
    <row r="169" spans="1:17" x14ac:dyDescent="0.2">
      <c r="A169" s="489">
        <v>166</v>
      </c>
      <c r="B169" s="481" t="str">
        <v>Morocco</v>
      </c>
      <c r="C169" s="481" t="str">
        <v>Germany</v>
      </c>
      <c r="D169" s="481" t="str">
        <v>Brazil</v>
      </c>
      <c r="E169" s="481" t="str">
        <v>USA</v>
      </c>
      <c r="F169" s="481" t="str">
        <v>Mexico</v>
      </c>
      <c r="G169" s="481" t="str">
        <v>Switzerland</v>
      </c>
      <c r="H169" s="481" t="str">
        <v>Brazil</v>
      </c>
      <c r="I169" s="481" t="str">
        <v>Australia</v>
      </c>
      <c r="J169" s="481" t="str">
        <v>Germany</v>
      </c>
      <c r="K169" s="481" t="str">
        <v>Sweden</v>
      </c>
      <c r="L169" s="481" t="str">
        <v>Belgium</v>
      </c>
      <c r="M169" s="481" t="str">
        <v>Saudi Arabia</v>
      </c>
      <c r="N169" s="481" t="str">
        <v>Senegal</v>
      </c>
      <c r="O169" s="481" t="str">
        <v>Austria</v>
      </c>
      <c r="P169" s="481" t="str">
        <v>Colombia</v>
      </c>
      <c r="Q169" s="490" t="str">
        <v>England</v>
      </c>
    </row>
    <row r="170" spans="1:17" x14ac:dyDescent="0.2">
      <c r="A170" s="489">
        <v>167</v>
      </c>
      <c r="B170" s="481" t="str">
        <v>Spain</v>
      </c>
      <c r="C170" s="481" t="str">
        <v>Portugal</v>
      </c>
      <c r="D170" s="481" t="str">
        <v>Norway</v>
      </c>
      <c r="E170" s="481" t="str">
        <v>France</v>
      </c>
      <c r="F170" s="481" t="str">
        <v>Korea Republic</v>
      </c>
      <c r="G170" s="481" t="str">
        <v>Switzerland</v>
      </c>
      <c r="H170" s="481" t="str">
        <v>Brazil</v>
      </c>
      <c r="I170" s="481" t="str">
        <v>USA</v>
      </c>
      <c r="J170" s="481" t="str">
        <v>Germany</v>
      </c>
      <c r="K170" s="481" t="str">
        <v>Japan</v>
      </c>
      <c r="L170" s="481" t="str">
        <v>Belgium</v>
      </c>
      <c r="M170" s="481" t="str">
        <v>Spain</v>
      </c>
      <c r="N170" s="481" t="str">
        <v>France</v>
      </c>
      <c r="O170" s="481" t="str">
        <v>Argentina</v>
      </c>
      <c r="P170" s="481" t="str">
        <v>Portugal</v>
      </c>
      <c r="Q170" s="490" t="str">
        <v>Croatia</v>
      </c>
    </row>
    <row r="171" spans="1:17" x14ac:dyDescent="0.2">
      <c r="A171" s="489">
        <v>168</v>
      </c>
      <c r="B171" s="481" t="str">
        <v>England</v>
      </c>
      <c r="C171" s="481" t="str">
        <v>Japan</v>
      </c>
      <c r="D171" s="481" t="str">
        <v>Netherlands</v>
      </c>
      <c r="E171" s="481" t="str">
        <v>USA</v>
      </c>
      <c r="F171" s="481" t="str">
        <v>Mexico</v>
      </c>
      <c r="G171" s="481" t="str">
        <v>Canada</v>
      </c>
      <c r="H171" s="481" t="str">
        <v>Brazil</v>
      </c>
      <c r="I171" s="481" t="str">
        <v>USA</v>
      </c>
      <c r="J171" s="481" t="str">
        <v>Germany</v>
      </c>
      <c r="K171" s="481" t="str">
        <v>Netherlands</v>
      </c>
      <c r="L171" s="481" t="str">
        <v>Belgium</v>
      </c>
      <c r="M171" s="481" t="str">
        <v>Uruguay</v>
      </c>
      <c r="N171" s="481" t="str">
        <v>France</v>
      </c>
      <c r="O171" s="481" t="str">
        <v>Argentina</v>
      </c>
      <c r="P171" s="481" t="str">
        <v>Portugal</v>
      </c>
      <c r="Q171" s="490" t="str">
        <v>Croatia</v>
      </c>
    </row>
    <row r="172" spans="1:17" x14ac:dyDescent="0.2">
      <c r="A172" s="489">
        <v>169</v>
      </c>
      <c r="B172" s="481" t="str">
        <v>Norway</v>
      </c>
      <c r="C172" s="481" t="str">
        <v>Colombia</v>
      </c>
      <c r="D172" s="481" t="str">
        <v>Brazil</v>
      </c>
      <c r="E172" s="481" t="str">
        <v>Switzerland</v>
      </c>
      <c r="F172" s="481" t="str">
        <v>Mexico</v>
      </c>
      <c r="G172" s="481" t="str">
        <v>Switzerland</v>
      </c>
      <c r="H172" s="481" t="str">
        <v>Morocco</v>
      </c>
      <c r="I172" s="481" t="str">
        <v>USA</v>
      </c>
      <c r="J172" s="481" t="str">
        <v>Germany</v>
      </c>
      <c r="K172" s="481" t="str">
        <v>Netherlands</v>
      </c>
      <c r="L172" s="481" t="str">
        <v>Belgium</v>
      </c>
      <c r="M172" s="481" t="str">
        <v>Spain</v>
      </c>
      <c r="N172" s="481" t="str">
        <v>France</v>
      </c>
      <c r="O172" s="481" t="str">
        <v>Argentina</v>
      </c>
      <c r="P172" s="481" t="str">
        <v>Portugal</v>
      </c>
      <c r="Q172" s="490" t="str">
        <v>England</v>
      </c>
    </row>
    <row r="173" spans="1:17" x14ac:dyDescent="0.2">
      <c r="A173" s="489">
        <v>170</v>
      </c>
      <c r="B173" s="481" t="str">
        <v>Germany</v>
      </c>
      <c r="C173" s="481" t="str">
        <v>Germany</v>
      </c>
      <c r="D173" s="481" t="str">
        <v>Austria</v>
      </c>
      <c r="E173" s="481" t="str">
        <v>Croatia</v>
      </c>
      <c r="F173" s="481" t="str">
        <v>Mexico</v>
      </c>
      <c r="G173" s="481" t="str">
        <v>Canada</v>
      </c>
      <c r="H173" s="481" t="str">
        <v>Scotland</v>
      </c>
      <c r="I173" s="481" t="str">
        <v>USA</v>
      </c>
      <c r="J173" s="481" t="str">
        <v>Germany</v>
      </c>
      <c r="K173" s="481" t="str">
        <v>Netherlands</v>
      </c>
      <c r="L173" s="481" t="str">
        <v>Egypt</v>
      </c>
      <c r="M173" s="481" t="str">
        <v>Uruguay</v>
      </c>
      <c r="N173" s="481" t="str">
        <v>France</v>
      </c>
      <c r="O173" s="481" t="str">
        <v>Algeria</v>
      </c>
      <c r="P173" s="481" t="str">
        <v>Portugal</v>
      </c>
      <c r="Q173" s="490" t="str">
        <v>England</v>
      </c>
    </row>
    <row r="174" spans="1:17" x14ac:dyDescent="0.2">
      <c r="A174" s="489">
        <v>171</v>
      </c>
      <c r="B174" s="481" t="str">
        <v>France</v>
      </c>
      <c r="C174" s="481" t="str">
        <v>Argentina</v>
      </c>
      <c r="D174" s="481" t="str">
        <v>France</v>
      </c>
      <c r="E174" s="481" t="str">
        <v>Senegal</v>
      </c>
      <c r="F174" s="481" t="str">
        <v>Mexico</v>
      </c>
      <c r="G174" s="481" t="str">
        <v>Canada</v>
      </c>
      <c r="H174" s="481" t="str">
        <v>Brazil</v>
      </c>
      <c r="I174" s="481" t="str">
        <v>USA</v>
      </c>
      <c r="J174" s="481" t="str">
        <v>Germany</v>
      </c>
      <c r="K174" s="481" t="str">
        <v>Netherlands</v>
      </c>
      <c r="L174" s="481" t="str">
        <v>Belgium</v>
      </c>
      <c r="M174" s="481" t="str">
        <v>Spain</v>
      </c>
      <c r="N174" s="481" t="str">
        <v>France</v>
      </c>
      <c r="O174" s="481" t="str">
        <v>Austria</v>
      </c>
      <c r="P174" s="481" t="str">
        <v>Portugal</v>
      </c>
      <c r="Q174" s="490" t="str">
        <v>England</v>
      </c>
    </row>
    <row r="175" spans="1:17" x14ac:dyDescent="0.2">
      <c r="A175" s="489">
        <v>172</v>
      </c>
      <c r="B175" s="481" t="str">
        <v>Argentina</v>
      </c>
      <c r="C175" s="481" t="str">
        <v>England</v>
      </c>
      <c r="D175" s="481" t="str">
        <v>Belgium</v>
      </c>
      <c r="E175" s="481" t="str">
        <v>USA</v>
      </c>
      <c r="F175" s="481" t="str">
        <v>Mexico</v>
      </c>
      <c r="G175" s="481" t="str">
        <v>Switzerland</v>
      </c>
      <c r="H175" s="481" t="str">
        <v>Brazil</v>
      </c>
      <c r="I175" s="481" t="str">
        <v>Australia</v>
      </c>
      <c r="J175" s="481" t="str">
        <v>Germany</v>
      </c>
      <c r="K175" s="481" t="str">
        <v>Japan</v>
      </c>
      <c r="L175" s="481" t="str">
        <v>Egypt</v>
      </c>
      <c r="M175" s="481" t="str">
        <v>Uruguay</v>
      </c>
      <c r="N175" s="481" t="str">
        <v>France</v>
      </c>
      <c r="O175" s="481" t="str">
        <v>Argentina</v>
      </c>
      <c r="P175" s="481" t="str">
        <v>Portugal</v>
      </c>
      <c r="Q175" s="490" t="str">
        <v>England</v>
      </c>
    </row>
    <row r="176" spans="1:17" x14ac:dyDescent="0.2">
      <c r="A176" s="489">
        <v>173</v>
      </c>
      <c r="B176" s="481" t="str">
        <v>Spain</v>
      </c>
      <c r="C176" s="481" t="str">
        <v>Spain</v>
      </c>
      <c r="D176" s="481" t="str">
        <v>Germany</v>
      </c>
      <c r="E176" s="481" t="str">
        <v>Colombia</v>
      </c>
      <c r="F176" s="481" t="str">
        <v>Korea Republic</v>
      </c>
      <c r="G176" s="481" t="str">
        <v>Switzerland</v>
      </c>
      <c r="H176" s="481" t="str">
        <v>Brazil</v>
      </c>
      <c r="I176" s="481" t="str">
        <v>Australia</v>
      </c>
      <c r="J176" s="481" t="str">
        <v>Germany</v>
      </c>
      <c r="K176" s="481" t="str">
        <v>Netherlands</v>
      </c>
      <c r="L176" s="481" t="str">
        <v>Belgium</v>
      </c>
      <c r="M176" s="481" t="str">
        <v>Spain</v>
      </c>
      <c r="N176" s="481" t="str">
        <v>Norway</v>
      </c>
      <c r="O176" s="481" t="str">
        <v>Argentina</v>
      </c>
      <c r="P176" s="481" t="str">
        <v>Portugal</v>
      </c>
      <c r="Q176" s="490" t="str">
        <v>England</v>
      </c>
    </row>
    <row r="177" spans="1:17" x14ac:dyDescent="0.2">
      <c r="A177" s="489">
        <v>174</v>
      </c>
      <c r="B177" s="481" t="str">
        <v>Mexico</v>
      </c>
      <c r="C177" s="481" t="str">
        <v>Mexico</v>
      </c>
      <c r="D177" s="481" t="str">
        <v>Portugal</v>
      </c>
      <c r="E177" s="481" t="str">
        <v>Austria</v>
      </c>
      <c r="F177" s="481" t="str">
        <v>Mexico</v>
      </c>
      <c r="G177" s="481" t="str">
        <v>Switzerland</v>
      </c>
      <c r="H177" s="481" t="str">
        <v>Brazil</v>
      </c>
      <c r="I177" s="481" t="str">
        <v>USA</v>
      </c>
      <c r="J177" s="481" t="str">
        <v>Germany</v>
      </c>
      <c r="K177" s="481" t="str">
        <v>Netherlands</v>
      </c>
      <c r="L177" s="481" t="str">
        <v>Belgium</v>
      </c>
      <c r="M177" s="481" t="str">
        <v>Spain</v>
      </c>
      <c r="N177" s="481" t="str">
        <v>Norway</v>
      </c>
      <c r="O177" s="481" t="str">
        <v>Argentina</v>
      </c>
      <c r="P177" s="481" t="str">
        <v>Portugal</v>
      </c>
      <c r="Q177" s="490" t="str">
        <v>Croatia</v>
      </c>
    </row>
    <row r="178" spans="1:17" x14ac:dyDescent="0.2">
      <c r="A178" s="489">
        <v>175</v>
      </c>
      <c r="B178" s="481" t="str">
        <v>Argentina</v>
      </c>
      <c r="C178" s="481" t="str">
        <v>Argentina</v>
      </c>
      <c r="D178" s="481" t="str">
        <v>Portugal</v>
      </c>
      <c r="E178" s="481" t="str">
        <v>England</v>
      </c>
      <c r="F178" s="481" t="str">
        <v>Korea Republic</v>
      </c>
      <c r="G178" s="481" t="str">
        <v>Switzerland</v>
      </c>
      <c r="H178" s="481" t="str">
        <v>Scotland</v>
      </c>
      <c r="I178" s="481" t="str">
        <v>USA</v>
      </c>
      <c r="J178" s="481" t="str">
        <v>Cote d'Ivorie</v>
      </c>
      <c r="K178" s="481" t="str">
        <v>Netherlands</v>
      </c>
      <c r="L178" s="481" t="str">
        <v>New Zealand</v>
      </c>
      <c r="M178" s="481" t="str">
        <v>Spain</v>
      </c>
      <c r="N178" s="481" t="str">
        <v>France</v>
      </c>
      <c r="O178" s="481" t="str">
        <v>Argentina</v>
      </c>
      <c r="P178" s="481" t="str">
        <v>Colombia</v>
      </c>
      <c r="Q178" s="490" t="str">
        <v>England</v>
      </c>
    </row>
    <row r="179" spans="1:17" x14ac:dyDescent="0.2">
      <c r="A179" s="489">
        <v>176</v>
      </c>
      <c r="B179" s="481" t="str">
        <v>Mexico</v>
      </c>
      <c r="C179" s="481" t="str">
        <v>Germany</v>
      </c>
      <c r="D179" s="481" t="str">
        <v>Germany</v>
      </c>
      <c r="E179" s="481" t="str">
        <v>Austria</v>
      </c>
      <c r="F179" s="481" t="str">
        <v>Korea Republic</v>
      </c>
      <c r="G179" s="481" t="str">
        <v>Switzerland</v>
      </c>
      <c r="H179" s="481" t="str">
        <v>Brazil</v>
      </c>
      <c r="I179" s="481" t="str">
        <v>USA</v>
      </c>
      <c r="J179" s="481" t="str">
        <v>Germany</v>
      </c>
      <c r="K179" s="481" t="str">
        <v>Netherlands</v>
      </c>
      <c r="L179" s="481" t="str">
        <v>Egypt</v>
      </c>
      <c r="M179" s="481" t="str">
        <v>Uruguay</v>
      </c>
      <c r="N179" s="481" t="str">
        <v>Senegal</v>
      </c>
      <c r="O179" s="481" t="str">
        <v>Austria</v>
      </c>
      <c r="P179" s="481" t="str">
        <v>Portugal</v>
      </c>
      <c r="Q179" s="490" t="str">
        <v>England</v>
      </c>
    </row>
    <row r="180" spans="1:17" x14ac:dyDescent="0.2">
      <c r="A180" s="489">
        <v>177</v>
      </c>
      <c r="B180" s="481" t="str">
        <v>Mexico</v>
      </c>
      <c r="C180" s="481" t="str">
        <v>Brazil</v>
      </c>
      <c r="D180" s="481" t="str">
        <v>Switzerland</v>
      </c>
      <c r="E180" s="481" t="str">
        <v>Colombia</v>
      </c>
      <c r="F180" s="481" t="str">
        <v>Korea Republic</v>
      </c>
      <c r="G180" s="481" t="str">
        <v>Switzerland</v>
      </c>
      <c r="H180" s="481" t="str">
        <v>Brazil</v>
      </c>
      <c r="I180" s="481" t="str">
        <v>Australia</v>
      </c>
      <c r="J180" s="481" t="str">
        <v>Germany</v>
      </c>
      <c r="K180" s="481" t="str">
        <v>Netherlands</v>
      </c>
      <c r="L180" s="481" t="str">
        <v>Belgium</v>
      </c>
      <c r="M180" s="481" t="str">
        <v>Spain</v>
      </c>
      <c r="N180" s="481" t="str">
        <v>France</v>
      </c>
      <c r="O180" s="481" t="str">
        <v>Argentina</v>
      </c>
      <c r="P180" s="481" t="str">
        <v>Portugal</v>
      </c>
      <c r="Q180" s="490" t="str">
        <v>England</v>
      </c>
    </row>
    <row r="181" spans="1:17" x14ac:dyDescent="0.2">
      <c r="A181" s="489">
        <v>178</v>
      </c>
      <c r="B181" s="481" t="str">
        <v>USA</v>
      </c>
      <c r="C181" s="481" t="str">
        <v>Mexico</v>
      </c>
      <c r="D181" s="481" t="str">
        <v>Colombia</v>
      </c>
      <c r="E181" s="481" t="str">
        <v>Japan</v>
      </c>
      <c r="F181" s="481" t="str">
        <v>Mexico</v>
      </c>
      <c r="G181" s="481" t="str">
        <v>Canada</v>
      </c>
      <c r="H181" s="481" t="str">
        <v>Brazil</v>
      </c>
      <c r="I181" s="481" t="str">
        <v>USA</v>
      </c>
      <c r="J181" s="481" t="str">
        <v>Germany</v>
      </c>
      <c r="K181" s="481" t="str">
        <v>Tunisia</v>
      </c>
      <c r="L181" s="481" t="str">
        <v>IR Iran</v>
      </c>
      <c r="M181" s="481" t="str">
        <v>Uruguay</v>
      </c>
      <c r="N181" s="481" t="str">
        <v>Iraq</v>
      </c>
      <c r="O181" s="481" t="str">
        <v>Argentina</v>
      </c>
      <c r="P181" s="481" t="str">
        <v>Colombia</v>
      </c>
      <c r="Q181" s="490" t="str">
        <v>England</v>
      </c>
    </row>
    <row r="182" spans="1:17" x14ac:dyDescent="0.2">
      <c r="A182" s="489">
        <v>179</v>
      </c>
      <c r="B182" s="481" t="str">
        <v>Croatia</v>
      </c>
      <c r="C182" s="481" t="str">
        <v>Japan</v>
      </c>
      <c r="D182" s="481" t="str">
        <v>Belgium</v>
      </c>
      <c r="E182" s="481" t="str">
        <v>Germany</v>
      </c>
      <c r="F182" s="481" t="str">
        <v>Korea Republic</v>
      </c>
      <c r="G182" s="481" t="str">
        <v>Canada</v>
      </c>
      <c r="H182" s="481" t="str">
        <v>Morocco</v>
      </c>
      <c r="I182" s="481" t="str">
        <v>USA</v>
      </c>
      <c r="J182" s="481" t="str">
        <v>Ecuador</v>
      </c>
      <c r="K182" s="481" t="str">
        <v>Sweden</v>
      </c>
      <c r="L182" s="481" t="str">
        <v>Belgium</v>
      </c>
      <c r="M182" s="481" t="str">
        <v>Spain</v>
      </c>
      <c r="N182" s="481" t="str">
        <v>Senegal</v>
      </c>
      <c r="O182" s="481" t="str">
        <v>Austria</v>
      </c>
      <c r="P182" s="481" t="str">
        <v>Portugal</v>
      </c>
      <c r="Q182" s="490" t="str">
        <v>England</v>
      </c>
    </row>
    <row r="183" spans="1:17" x14ac:dyDescent="0.2">
      <c r="A183" s="489">
        <v>180</v>
      </c>
      <c r="B183" s="481" t="str">
        <v>England</v>
      </c>
      <c r="C183" s="481" t="str">
        <v>Germany</v>
      </c>
      <c r="D183" s="481" t="str">
        <v>France</v>
      </c>
      <c r="E183" s="481" t="str">
        <v>France</v>
      </c>
      <c r="F183" s="481" t="str">
        <v>Mexico</v>
      </c>
      <c r="G183" s="481" t="str">
        <v>Canada</v>
      </c>
      <c r="H183" s="481" t="str">
        <v>Brazil</v>
      </c>
      <c r="I183" s="481" t="str">
        <v>USA</v>
      </c>
      <c r="J183" s="481" t="str">
        <v>Germany</v>
      </c>
      <c r="K183" s="481" t="str">
        <v>Sweden</v>
      </c>
      <c r="L183" s="481" t="str">
        <v>Egypt</v>
      </c>
      <c r="M183" s="481" t="str">
        <v>Spain</v>
      </c>
      <c r="N183" s="481" t="str">
        <v>France</v>
      </c>
      <c r="O183" s="481" t="str">
        <v>Austria</v>
      </c>
      <c r="P183" s="481" t="str">
        <v>Colombia</v>
      </c>
      <c r="Q183" s="490" t="str">
        <v>England</v>
      </c>
    </row>
    <row r="184" spans="1:17" x14ac:dyDescent="0.2">
      <c r="A184" s="489">
        <v>181</v>
      </c>
      <c r="B184" s="481" t="str">
        <v>Morocco</v>
      </c>
      <c r="C184" s="481" t="str">
        <v>Spain</v>
      </c>
      <c r="D184" s="481" t="str">
        <v>Spain</v>
      </c>
      <c r="E184" s="481" t="str">
        <v>Portugal</v>
      </c>
      <c r="F184" s="481" t="str">
        <v>Korea Republic</v>
      </c>
      <c r="G184" s="481" t="str">
        <v>Canada</v>
      </c>
      <c r="H184" s="481" t="str">
        <v>Brazil</v>
      </c>
      <c r="I184" s="481" t="str">
        <v>Australia</v>
      </c>
      <c r="J184" s="481" t="str">
        <v>Germany</v>
      </c>
      <c r="K184" s="481" t="str">
        <v>Japan</v>
      </c>
      <c r="L184" s="481" t="str">
        <v>Egypt</v>
      </c>
      <c r="M184" s="481" t="str">
        <v>Spain</v>
      </c>
      <c r="N184" s="481" t="str">
        <v>Senegal</v>
      </c>
      <c r="O184" s="481" t="str">
        <v>Argentina</v>
      </c>
      <c r="P184" s="481" t="str">
        <v>Colombia</v>
      </c>
      <c r="Q184" s="490" t="str">
        <v>England</v>
      </c>
    </row>
    <row r="185" spans="1:17" x14ac:dyDescent="0.2">
      <c r="A185" s="489">
        <v>182</v>
      </c>
      <c r="B185" s="481" t="str">
        <v>England</v>
      </c>
      <c r="C185" s="481" t="str">
        <v>Argentina</v>
      </c>
      <c r="D185" s="481" t="str">
        <v>Mexico</v>
      </c>
      <c r="E185" s="481" t="str">
        <v>England</v>
      </c>
      <c r="F185" s="481" t="str">
        <v>Mexico</v>
      </c>
      <c r="G185" s="481" t="str">
        <v>Bosnia-Herzegovina</v>
      </c>
      <c r="H185" s="481" t="str">
        <v>Morocco</v>
      </c>
      <c r="I185" s="481" t="str">
        <v>Australia</v>
      </c>
      <c r="J185" s="481" t="str">
        <v>Cote d'Ivorie</v>
      </c>
      <c r="K185" s="481" t="str">
        <v>Netherlands</v>
      </c>
      <c r="L185" s="481" t="str">
        <v>IR Iran</v>
      </c>
      <c r="M185" s="481" t="str">
        <v>Saudi Arabia</v>
      </c>
      <c r="N185" s="481" t="str">
        <v>France</v>
      </c>
      <c r="O185" s="481" t="str">
        <v>Argentina</v>
      </c>
      <c r="P185" s="481" t="str">
        <v>Congo DR</v>
      </c>
      <c r="Q185" s="490" t="str">
        <v>England</v>
      </c>
    </row>
    <row r="186" spans="1:17" x14ac:dyDescent="0.2">
      <c r="A186" s="489">
        <v>183</v>
      </c>
      <c r="B186" s="481" t="str">
        <v>Belgium</v>
      </c>
      <c r="C186" s="481" t="str">
        <v>England</v>
      </c>
      <c r="D186" s="481" t="str">
        <v>France</v>
      </c>
      <c r="E186" s="481" t="str">
        <v>Spain</v>
      </c>
      <c r="F186" s="481" t="str">
        <v>Mexico</v>
      </c>
      <c r="G186" s="481" t="str">
        <v>Switzerland</v>
      </c>
      <c r="H186" s="481" t="str">
        <v>Morocco</v>
      </c>
      <c r="I186" s="481" t="str">
        <v>USA</v>
      </c>
      <c r="J186" s="481" t="str">
        <v>Germany</v>
      </c>
      <c r="K186" s="481" t="str">
        <v>Japan</v>
      </c>
      <c r="L186" s="481" t="str">
        <v>Belgium</v>
      </c>
      <c r="M186" s="481" t="str">
        <v>Spain</v>
      </c>
      <c r="N186" s="481" t="str">
        <v>France</v>
      </c>
      <c r="O186" s="481" t="str">
        <v>Austria</v>
      </c>
      <c r="P186" s="481" t="str">
        <v>Portugal</v>
      </c>
      <c r="Q186" s="490" t="str">
        <v>Panama</v>
      </c>
    </row>
    <row r="187" spans="1:17" x14ac:dyDescent="0.2">
      <c r="A187" s="489">
        <v>184</v>
      </c>
      <c r="B187" s="481" t="str">
        <v>Uruguay</v>
      </c>
      <c r="C187" s="481" t="str">
        <v>Germany</v>
      </c>
      <c r="D187" s="481" t="str">
        <v>Belgium</v>
      </c>
      <c r="E187" s="481" t="str">
        <v>Belgium</v>
      </c>
      <c r="F187" s="481" t="str">
        <v>Mexico</v>
      </c>
      <c r="G187" s="481" t="str">
        <v>Switzerland</v>
      </c>
      <c r="H187" s="481" t="str">
        <v>Morocco</v>
      </c>
      <c r="I187" s="481" t="str">
        <v>USA</v>
      </c>
      <c r="J187" s="481" t="str">
        <v>Germany</v>
      </c>
      <c r="K187" s="481" t="str">
        <v>Sweden</v>
      </c>
      <c r="L187" s="481" t="str">
        <v>IR Iran</v>
      </c>
      <c r="M187" s="481" t="str">
        <v>Uruguay</v>
      </c>
      <c r="N187" s="481" t="str">
        <v>France</v>
      </c>
      <c r="O187" s="481" t="str">
        <v>Algeria</v>
      </c>
      <c r="P187" s="481" t="str">
        <v>Portugal</v>
      </c>
      <c r="Q187" s="490" t="str">
        <v>England</v>
      </c>
    </row>
    <row r="188" spans="1:17" x14ac:dyDescent="0.2">
      <c r="A188" s="489">
        <v>185</v>
      </c>
      <c r="B188" s="481" t="str">
        <v>France</v>
      </c>
      <c r="C188" s="481" t="str">
        <v>Mexico</v>
      </c>
      <c r="D188" s="481" t="str">
        <v>Germany</v>
      </c>
      <c r="E188" s="481" t="str">
        <v>Brazil</v>
      </c>
      <c r="F188" s="481" t="str">
        <v>Mexico</v>
      </c>
      <c r="G188" s="481" t="str">
        <v>Canada</v>
      </c>
      <c r="H188" s="481" t="str">
        <v>Morocco</v>
      </c>
      <c r="I188" s="481" t="str">
        <v>USA</v>
      </c>
      <c r="J188" s="481" t="str">
        <v>Germany</v>
      </c>
      <c r="K188" s="481" t="str">
        <v>Netherlands</v>
      </c>
      <c r="L188" s="481" t="str">
        <v>Belgium</v>
      </c>
      <c r="M188" s="481" t="str">
        <v>Spain</v>
      </c>
      <c r="N188" s="481" t="str">
        <v>France</v>
      </c>
      <c r="O188" s="481" t="str">
        <v>Algeria</v>
      </c>
      <c r="P188" s="481" t="str">
        <v>Colombia</v>
      </c>
      <c r="Q188" s="490" t="str">
        <v>England</v>
      </c>
    </row>
    <row r="189" spans="1:17" x14ac:dyDescent="0.2">
      <c r="A189" s="489">
        <v>186</v>
      </c>
      <c r="B189" s="481" t="str">
        <v>Brazil</v>
      </c>
      <c r="C189" s="481" t="str">
        <v>Germany</v>
      </c>
      <c r="D189" s="481" t="str">
        <v>Spain</v>
      </c>
      <c r="E189" s="481" t="str">
        <v>Croatia</v>
      </c>
      <c r="F189" s="481" t="str">
        <v>Czechia</v>
      </c>
      <c r="G189" s="481" t="str">
        <v>Canada</v>
      </c>
      <c r="H189" s="481" t="str">
        <v>Morocco</v>
      </c>
      <c r="I189" s="481" t="str">
        <v>USA</v>
      </c>
      <c r="J189" s="481" t="str">
        <v>Germany</v>
      </c>
      <c r="K189" s="481" t="str">
        <v>Sweden</v>
      </c>
      <c r="L189" s="481" t="str">
        <v>Belgium</v>
      </c>
      <c r="M189" s="481" t="str">
        <v>Spain</v>
      </c>
      <c r="N189" s="481" t="str">
        <v>France</v>
      </c>
      <c r="O189" s="481" t="str">
        <v>Austria</v>
      </c>
      <c r="P189" s="481" t="str">
        <v>Portugal</v>
      </c>
      <c r="Q189" s="490" t="str">
        <v>Croatia</v>
      </c>
    </row>
    <row r="190" spans="1:17" x14ac:dyDescent="0.2">
      <c r="A190" s="489">
        <v>187</v>
      </c>
      <c r="B190" s="481" t="str">
        <v>Senegal</v>
      </c>
      <c r="C190" s="481" t="str">
        <v>Netherlands</v>
      </c>
      <c r="D190" s="481" t="str">
        <v>Argentina</v>
      </c>
      <c r="E190" s="481" t="str">
        <v>England</v>
      </c>
      <c r="F190" s="481" t="str">
        <v>Mexico</v>
      </c>
      <c r="G190" s="481" t="str">
        <v>Canada</v>
      </c>
      <c r="H190" s="481" t="str">
        <v>Morocco</v>
      </c>
      <c r="I190" s="481" t="str">
        <v>Paraguay</v>
      </c>
      <c r="J190" s="481" t="str">
        <v>Germany</v>
      </c>
      <c r="K190" s="481" t="str">
        <v>Japan</v>
      </c>
      <c r="L190" s="481" t="str">
        <v>Belgium</v>
      </c>
      <c r="M190" s="481" t="str">
        <v>Spain</v>
      </c>
      <c r="N190" s="481" t="str">
        <v>France</v>
      </c>
      <c r="O190" s="481" t="str">
        <v>Argentina</v>
      </c>
      <c r="P190" s="481" t="str">
        <v>Colombia</v>
      </c>
      <c r="Q190" s="490" t="str">
        <v>Croatia</v>
      </c>
    </row>
    <row r="191" spans="1:17" x14ac:dyDescent="0.2">
      <c r="A191" s="489">
        <v>188</v>
      </c>
      <c r="B191" s="481" t="str">
        <v>France</v>
      </c>
      <c r="C191" s="481" t="str">
        <v>Argentina</v>
      </c>
      <c r="D191" s="481" t="str">
        <v>Germany</v>
      </c>
      <c r="E191" s="481" t="str">
        <v>England</v>
      </c>
      <c r="F191" s="481" t="str">
        <v>Mexico</v>
      </c>
      <c r="G191" s="481" t="str">
        <v>Switzerland</v>
      </c>
      <c r="H191" s="481" t="str">
        <v>Morocco</v>
      </c>
      <c r="I191" s="481" t="str">
        <v>Turkiye</v>
      </c>
      <c r="J191" s="481" t="str">
        <v>Cote d'Ivorie</v>
      </c>
      <c r="K191" s="481" t="str">
        <v>Netherlands</v>
      </c>
      <c r="L191" s="481" t="str">
        <v>Belgium</v>
      </c>
      <c r="M191" s="481" t="str">
        <v>Spain</v>
      </c>
      <c r="N191" s="481" t="str">
        <v>France</v>
      </c>
      <c r="O191" s="481" t="str">
        <v>Austria</v>
      </c>
      <c r="P191" s="481" t="str">
        <v>Colombia</v>
      </c>
      <c r="Q191" s="490" t="str">
        <v>England</v>
      </c>
    </row>
    <row r="192" spans="1:17" x14ac:dyDescent="0.2">
      <c r="A192" s="489">
        <v>189</v>
      </c>
      <c r="B192" s="481" t="str">
        <v>England</v>
      </c>
      <c r="C192" s="481" t="str">
        <v>Portugal</v>
      </c>
      <c r="D192" s="481" t="str">
        <v>Panama</v>
      </c>
      <c r="E192" s="481" t="str">
        <v>Switzerland</v>
      </c>
      <c r="F192" s="481" t="str">
        <v>Mexico</v>
      </c>
      <c r="G192" s="481" t="str">
        <v>Canada</v>
      </c>
      <c r="H192" s="481" t="str">
        <v>Morocco</v>
      </c>
      <c r="I192" s="481" t="str">
        <v>USA</v>
      </c>
      <c r="J192" s="481" t="str">
        <v>Germany</v>
      </c>
      <c r="K192" s="481" t="str">
        <v>Japan</v>
      </c>
      <c r="L192" s="481" t="str">
        <v>Belgium</v>
      </c>
      <c r="M192" s="481" t="str">
        <v>Uruguay</v>
      </c>
      <c r="N192" s="481" t="str">
        <v>Senegal</v>
      </c>
      <c r="O192" s="481" t="str">
        <v>Argentina</v>
      </c>
      <c r="P192" s="481" t="str">
        <v>Portugal</v>
      </c>
      <c r="Q192" s="490" t="str">
        <v>England</v>
      </c>
    </row>
    <row r="193" spans="1:17" x14ac:dyDescent="0.2">
      <c r="A193" s="489">
        <v>190</v>
      </c>
      <c r="B193" s="481" t="str">
        <v>Argentina</v>
      </c>
      <c r="C193" s="481" t="str">
        <v>England</v>
      </c>
      <c r="D193" s="481" t="str">
        <v>England</v>
      </c>
      <c r="E193" s="481" t="str">
        <v>Uruguay</v>
      </c>
      <c r="F193" s="481" t="str">
        <v>Mexico</v>
      </c>
      <c r="G193" s="481" t="str">
        <v>Canada</v>
      </c>
      <c r="H193" s="481" t="str">
        <v>Brazil</v>
      </c>
      <c r="I193" s="481" t="str">
        <v>USA</v>
      </c>
      <c r="J193" s="481" t="str">
        <v>Germany</v>
      </c>
      <c r="K193" s="481" t="str">
        <v>Netherlands</v>
      </c>
      <c r="L193" s="481" t="str">
        <v>Egypt</v>
      </c>
      <c r="M193" s="481" t="str">
        <v>Spain</v>
      </c>
      <c r="N193" s="481" t="str">
        <v>Senegal</v>
      </c>
      <c r="O193" s="481" t="str">
        <v>Argentina</v>
      </c>
      <c r="P193" s="481" t="str">
        <v>Portugal</v>
      </c>
      <c r="Q193" s="490" t="str">
        <v>England</v>
      </c>
    </row>
    <row r="194" spans="1:17" x14ac:dyDescent="0.2">
      <c r="A194" s="489">
        <v>191</v>
      </c>
      <c r="B194" s="481" t="str">
        <v>Belgium</v>
      </c>
      <c r="C194" s="481" t="str">
        <v>England</v>
      </c>
      <c r="D194" s="481" t="str">
        <v>Brazil</v>
      </c>
      <c r="E194" s="481" t="str">
        <v>Netherlands</v>
      </c>
      <c r="F194" s="481" t="str">
        <v>Mexico</v>
      </c>
      <c r="G194" s="481" t="str">
        <v>Switzerland</v>
      </c>
      <c r="H194" s="481" t="str">
        <v>Morocco</v>
      </c>
      <c r="I194" s="481" t="str">
        <v>USA</v>
      </c>
      <c r="J194" s="481" t="str">
        <v>Germany</v>
      </c>
      <c r="K194" s="481" t="str">
        <v>Japan</v>
      </c>
      <c r="L194" s="481" t="str">
        <v>Belgium</v>
      </c>
      <c r="M194" s="481" t="str">
        <v>Uruguay</v>
      </c>
      <c r="N194" s="481" t="str">
        <v>France</v>
      </c>
      <c r="O194" s="481" t="str">
        <v>Austria</v>
      </c>
      <c r="P194" s="481" t="str">
        <v>Colombia</v>
      </c>
      <c r="Q194" s="490" t="str">
        <v>England</v>
      </c>
    </row>
    <row r="195" spans="1:17" x14ac:dyDescent="0.2">
      <c r="A195" s="489">
        <v>192</v>
      </c>
      <c r="B195" s="481" t="str">
        <v>Netherlands</v>
      </c>
      <c r="C195" s="481" t="str">
        <v>Portugal</v>
      </c>
      <c r="D195" s="481" t="str">
        <v>Belgium</v>
      </c>
      <c r="E195" s="481" t="str">
        <v>Belgium</v>
      </c>
      <c r="F195" s="481" t="str">
        <v>Mexico</v>
      </c>
      <c r="G195" s="481" t="str">
        <v>Canada</v>
      </c>
      <c r="H195" s="481" t="str">
        <v>Brazil</v>
      </c>
      <c r="I195" s="481" t="str">
        <v>USA</v>
      </c>
      <c r="J195" s="481" t="str">
        <v>Germany</v>
      </c>
      <c r="K195" s="481" t="str">
        <v>Netherlands</v>
      </c>
      <c r="L195" s="481" t="str">
        <v>Belgium</v>
      </c>
      <c r="M195" s="481" t="str">
        <v>Spain</v>
      </c>
      <c r="N195" s="481" t="str">
        <v>Norway</v>
      </c>
      <c r="O195" s="481" t="str">
        <v>Argentina</v>
      </c>
      <c r="P195" s="481" t="str">
        <v>Portugal</v>
      </c>
      <c r="Q195" s="490" t="str">
        <v>England</v>
      </c>
    </row>
    <row r="196" spans="1:17" x14ac:dyDescent="0.2">
      <c r="A196" s="489">
        <v>193</v>
      </c>
      <c r="B196" s="481" t="str">
        <v>Portugal</v>
      </c>
      <c r="C196" s="481" t="str">
        <v>Senegal</v>
      </c>
      <c r="D196" s="481" t="str">
        <v>Uruguay</v>
      </c>
      <c r="E196" s="481" t="str">
        <v>Germany</v>
      </c>
      <c r="F196" s="481" t="str">
        <v>Mexico</v>
      </c>
      <c r="G196" s="481" t="str">
        <v>Switzerland</v>
      </c>
      <c r="H196" s="481" t="str">
        <v>Scotland</v>
      </c>
      <c r="I196" s="481" t="str">
        <v>USA</v>
      </c>
      <c r="J196" s="481" t="str">
        <v>Cote d'Ivorie</v>
      </c>
      <c r="K196" s="481" t="str">
        <v>Netherlands</v>
      </c>
      <c r="L196" s="481" t="str">
        <v>Belgium</v>
      </c>
      <c r="M196" s="481" t="str">
        <v>Uruguay</v>
      </c>
      <c r="N196" s="481" t="str">
        <v>France</v>
      </c>
      <c r="O196" s="481" t="str">
        <v>Argentina</v>
      </c>
      <c r="P196" s="481" t="str">
        <v>Colombia</v>
      </c>
      <c r="Q196" s="490" t="str">
        <v>Croatia</v>
      </c>
    </row>
    <row r="197" spans="1:17" x14ac:dyDescent="0.2">
      <c r="A197" s="489">
        <v>194</v>
      </c>
      <c r="B197" s="481" t="str">
        <v>Belgium</v>
      </c>
      <c r="C197" s="481" t="str">
        <v>Portugal</v>
      </c>
      <c r="D197" s="481" t="str">
        <v>Argentina</v>
      </c>
      <c r="E197" s="481" t="str">
        <v>Belgium</v>
      </c>
      <c r="F197" s="481" t="str">
        <v>Korea Republic</v>
      </c>
      <c r="G197" s="481" t="str">
        <v>Canada</v>
      </c>
      <c r="H197" s="481" t="str">
        <v>Scotland</v>
      </c>
      <c r="I197" s="481" t="str">
        <v>USA</v>
      </c>
      <c r="J197" s="481" t="str">
        <v>Ecuador</v>
      </c>
      <c r="K197" s="481" t="str">
        <v>Japan</v>
      </c>
      <c r="L197" s="481" t="str">
        <v>Belgium</v>
      </c>
      <c r="M197" s="481" t="str">
        <v>Uruguay</v>
      </c>
      <c r="N197" s="481" t="str">
        <v>Norway</v>
      </c>
      <c r="O197" s="481" t="str">
        <v>Argentina</v>
      </c>
      <c r="P197" s="481" t="str">
        <v>Portugal</v>
      </c>
      <c r="Q197" s="490" t="str">
        <v>England</v>
      </c>
    </row>
    <row r="198" spans="1:17" x14ac:dyDescent="0.2">
      <c r="A198" s="489">
        <v>195</v>
      </c>
      <c r="B198" s="481" t="str">
        <v>Belgium</v>
      </c>
      <c r="C198" s="481" t="str">
        <v>Netherlands</v>
      </c>
      <c r="D198" s="481" t="str">
        <v>Canada</v>
      </c>
      <c r="E198" s="481" t="str">
        <v>Korea Republic</v>
      </c>
      <c r="F198" s="481" t="str">
        <v>Mexico</v>
      </c>
      <c r="G198" s="481" t="str">
        <v>Switzerland</v>
      </c>
      <c r="H198" s="481" t="str">
        <v>Brazil</v>
      </c>
      <c r="I198" s="481" t="str">
        <v>USA</v>
      </c>
      <c r="J198" s="481" t="str">
        <v>Germany</v>
      </c>
      <c r="K198" s="481" t="str">
        <v>Sweden</v>
      </c>
      <c r="L198" s="481" t="str">
        <v>Egypt</v>
      </c>
      <c r="M198" s="481" t="str">
        <v>Spain</v>
      </c>
      <c r="N198" s="481" t="str">
        <v>France</v>
      </c>
      <c r="O198" s="481" t="str">
        <v>Argentina</v>
      </c>
      <c r="P198" s="481" t="str">
        <v>Portugal</v>
      </c>
      <c r="Q198" s="490" t="str">
        <v>Croatia</v>
      </c>
    </row>
    <row r="199" spans="1:17" x14ac:dyDescent="0.2">
      <c r="A199" s="489">
        <v>196</v>
      </c>
      <c r="B199" s="481" t="str">
        <v>Morocco</v>
      </c>
      <c r="C199" s="481" t="str">
        <v>Portugal</v>
      </c>
      <c r="D199" s="481" t="str">
        <v>France</v>
      </c>
      <c r="E199" s="481" t="str">
        <v>Japan</v>
      </c>
      <c r="F199" s="481" t="str">
        <v>Korea Republic</v>
      </c>
      <c r="G199" s="481" t="str">
        <v>Switzerland</v>
      </c>
      <c r="H199" s="481" t="str">
        <v>Scotland</v>
      </c>
      <c r="I199" s="481" t="str">
        <v>USA</v>
      </c>
      <c r="J199" s="481" t="str">
        <v>Cote d'Ivorie</v>
      </c>
      <c r="K199" s="481" t="str">
        <v>Netherlands</v>
      </c>
      <c r="L199" s="481" t="str">
        <v>New Zealand</v>
      </c>
      <c r="M199" s="481" t="str">
        <v>Uruguay</v>
      </c>
      <c r="N199" s="481" t="str">
        <v>France</v>
      </c>
      <c r="O199" s="481" t="str">
        <v>Argentina</v>
      </c>
      <c r="P199" s="481" t="str">
        <v>Colombia</v>
      </c>
      <c r="Q199" s="490" t="str">
        <v>England</v>
      </c>
    </row>
    <row r="200" spans="1:17" x14ac:dyDescent="0.2">
      <c r="A200" s="489">
        <v>197</v>
      </c>
      <c r="B200" s="481" t="str">
        <v>England</v>
      </c>
      <c r="C200" s="481" t="str">
        <v>Belgium</v>
      </c>
      <c r="D200" s="481" t="str">
        <v>Belgium</v>
      </c>
      <c r="E200" s="481" t="str">
        <v>Netherlands</v>
      </c>
      <c r="F200" s="481" t="str">
        <v>Mexico</v>
      </c>
      <c r="G200" s="481" t="str">
        <v>Switzerland</v>
      </c>
      <c r="H200" s="481" t="str">
        <v>Morocco</v>
      </c>
      <c r="I200" s="481" t="str">
        <v>Turkiye</v>
      </c>
      <c r="J200" s="481" t="str">
        <v>Germany</v>
      </c>
      <c r="K200" s="481" t="str">
        <v>Netherlands</v>
      </c>
      <c r="L200" s="481" t="str">
        <v>Belgium</v>
      </c>
      <c r="M200" s="481" t="str">
        <v>Uruguay</v>
      </c>
      <c r="N200" s="481" t="str">
        <v>Norway</v>
      </c>
      <c r="O200" s="481" t="str">
        <v>Argentina</v>
      </c>
      <c r="P200" s="481" t="str">
        <v>Colombia</v>
      </c>
      <c r="Q200" s="490" t="str">
        <v>Croatia</v>
      </c>
    </row>
    <row r="201" spans="1:17" x14ac:dyDescent="0.2">
      <c r="A201" s="489">
        <v>198</v>
      </c>
      <c r="B201" s="481" t="str">
        <v>Netherlands</v>
      </c>
      <c r="C201" s="481" t="str">
        <v>Norway</v>
      </c>
      <c r="D201" s="481" t="str">
        <v>Spain</v>
      </c>
      <c r="E201" s="481" t="str">
        <v>Spain</v>
      </c>
      <c r="F201" s="481" t="str">
        <v>Mexico</v>
      </c>
      <c r="G201" s="481" t="str">
        <v>Canada</v>
      </c>
      <c r="H201" s="481" t="str">
        <v>Brazil</v>
      </c>
      <c r="I201" s="481" t="str">
        <v>Australia</v>
      </c>
      <c r="J201" s="481" t="str">
        <v>Germany</v>
      </c>
      <c r="K201" s="481" t="str">
        <v>Japan</v>
      </c>
      <c r="L201" s="481" t="str">
        <v>Belgium</v>
      </c>
      <c r="M201" s="481" t="str">
        <v>Spain</v>
      </c>
      <c r="N201" s="481" t="str">
        <v>France</v>
      </c>
      <c r="O201" s="481" t="str">
        <v>Austria</v>
      </c>
      <c r="P201" s="481" t="str">
        <v>Colombia</v>
      </c>
      <c r="Q201" s="490" t="str">
        <v>Croatia</v>
      </c>
    </row>
    <row r="202" spans="1:17" x14ac:dyDescent="0.2">
      <c r="A202" s="489">
        <v>199</v>
      </c>
      <c r="B202" s="481" t="str">
        <v>Panama</v>
      </c>
      <c r="C202" s="481" t="str">
        <v>England</v>
      </c>
      <c r="D202" s="481" t="str">
        <v>Senegal</v>
      </c>
      <c r="E202" s="481" t="str">
        <v>Egypt</v>
      </c>
      <c r="F202" s="481" t="str">
        <v>Mexico</v>
      </c>
      <c r="G202" s="481" t="str">
        <v>Switzerland</v>
      </c>
      <c r="H202" s="481" t="str">
        <v>Morocco</v>
      </c>
      <c r="I202" s="481" t="str">
        <v>USA</v>
      </c>
      <c r="J202" s="481" t="str">
        <v>Germany</v>
      </c>
      <c r="K202" s="481" t="str">
        <v>Sweden</v>
      </c>
      <c r="L202" s="481" t="str">
        <v>Belgium</v>
      </c>
      <c r="M202" s="481" t="str">
        <v>Spain</v>
      </c>
      <c r="N202" s="481" t="str">
        <v>Senegal</v>
      </c>
      <c r="O202" s="481" t="str">
        <v>Argentina</v>
      </c>
      <c r="P202" s="481" t="str">
        <v>Portugal</v>
      </c>
      <c r="Q202" s="490" t="str">
        <v>England</v>
      </c>
    </row>
    <row r="203" spans="1:17" x14ac:dyDescent="0.2">
      <c r="A203" s="489">
        <v>200</v>
      </c>
      <c r="B203" s="481" t="str">
        <v>France</v>
      </c>
      <c r="C203" s="481" t="str">
        <v>Germany</v>
      </c>
      <c r="D203" s="481" t="str">
        <v>Brazil</v>
      </c>
      <c r="E203" s="481" t="str">
        <v>Paraguay</v>
      </c>
      <c r="F203" s="481" t="str">
        <v>Korea Republic</v>
      </c>
      <c r="G203" s="481" t="str">
        <v>Switzerland</v>
      </c>
      <c r="H203" s="481" t="str">
        <v>Brazil</v>
      </c>
      <c r="I203" s="481" t="str">
        <v>USA</v>
      </c>
      <c r="J203" s="481" t="str">
        <v>Germany</v>
      </c>
      <c r="K203" s="481" t="str">
        <v>Netherlands</v>
      </c>
      <c r="L203" s="481" t="str">
        <v>Belgium</v>
      </c>
      <c r="M203" s="481" t="str">
        <v>Spain</v>
      </c>
      <c r="N203" s="481" t="str">
        <v>Senegal</v>
      </c>
      <c r="O203" s="481" t="str">
        <v>Argentina</v>
      </c>
      <c r="P203" s="481" t="str">
        <v>Colombia</v>
      </c>
      <c r="Q203" s="490" t="str">
        <v>England</v>
      </c>
    </row>
    <row r="204" spans="1:17" x14ac:dyDescent="0.2">
      <c r="A204" s="489">
        <v>201</v>
      </c>
      <c r="B204" s="481" t="str">
        <v>France</v>
      </c>
      <c r="C204" s="481" t="str">
        <v>Switzerland</v>
      </c>
      <c r="D204" s="481" t="str">
        <v>Germany</v>
      </c>
      <c r="E204" s="481" t="str">
        <v>Mexico</v>
      </c>
      <c r="F204" s="481" t="str">
        <v>Mexico</v>
      </c>
      <c r="G204" s="481" t="str">
        <v>Switzerland</v>
      </c>
      <c r="H204" s="481" t="str">
        <v>Scotland</v>
      </c>
      <c r="I204" s="481" t="str">
        <v>Australia</v>
      </c>
      <c r="J204" s="481" t="str">
        <v>Germany</v>
      </c>
      <c r="K204" s="481" t="str">
        <v>Netherlands</v>
      </c>
      <c r="L204" s="481" t="str">
        <v>Belgium</v>
      </c>
      <c r="M204" s="481" t="str">
        <v>Uruguay</v>
      </c>
      <c r="N204" s="481" t="str">
        <v>France</v>
      </c>
      <c r="O204" s="481" t="str">
        <v>Argentina</v>
      </c>
      <c r="P204" s="481" t="str">
        <v>Portugal</v>
      </c>
      <c r="Q204" s="490" t="str">
        <v>England</v>
      </c>
    </row>
    <row r="205" spans="1:17" x14ac:dyDescent="0.2">
      <c r="A205" s="489">
        <v>202</v>
      </c>
      <c r="B205" s="481" t="str">
        <v>Portugal</v>
      </c>
      <c r="C205" s="481" t="str">
        <v>Brazil</v>
      </c>
      <c r="D205" s="481" t="str">
        <v>Netherlands</v>
      </c>
      <c r="E205" s="481" t="str">
        <v>Austria</v>
      </c>
      <c r="F205" s="481" t="str">
        <v>Mexico</v>
      </c>
      <c r="G205" s="481" t="str">
        <v>Canada</v>
      </c>
      <c r="H205" s="481" t="str">
        <v>Brazil</v>
      </c>
      <c r="I205" s="481" t="str">
        <v>USA</v>
      </c>
      <c r="J205" s="481" t="str">
        <v>Germany</v>
      </c>
      <c r="K205" s="481" t="str">
        <v>Netherlands</v>
      </c>
      <c r="L205" s="481" t="str">
        <v>Belgium</v>
      </c>
      <c r="M205" s="481" t="str">
        <v>Uruguay</v>
      </c>
      <c r="N205" s="481" t="str">
        <v>France</v>
      </c>
      <c r="O205" s="481" t="str">
        <v>Argentina</v>
      </c>
      <c r="P205" s="481" t="str">
        <v>Portugal</v>
      </c>
      <c r="Q205" s="490" t="str">
        <v>England</v>
      </c>
    </row>
    <row r="206" spans="1:17" x14ac:dyDescent="0.2">
      <c r="A206" s="489">
        <v>203</v>
      </c>
      <c r="B206" s="481" t="str">
        <v>Germany</v>
      </c>
      <c r="C206" s="481" t="str">
        <v>Norway</v>
      </c>
      <c r="D206" s="481" t="str">
        <v>Japan</v>
      </c>
      <c r="E206" s="481" t="str">
        <v>USA</v>
      </c>
      <c r="F206" s="481" t="str">
        <v>Mexico</v>
      </c>
      <c r="G206" s="481" t="str">
        <v>Switzerland</v>
      </c>
      <c r="H206" s="481" t="str">
        <v>Morocco</v>
      </c>
      <c r="I206" s="481" t="str">
        <v>USA</v>
      </c>
      <c r="J206" s="481" t="str">
        <v>Cote d'Ivorie</v>
      </c>
      <c r="K206" s="481" t="str">
        <v>Netherlands</v>
      </c>
      <c r="L206" s="481" t="str">
        <v>Belgium</v>
      </c>
      <c r="M206" s="481" t="str">
        <v>Spain</v>
      </c>
      <c r="N206" s="481" t="str">
        <v>Norway</v>
      </c>
      <c r="O206" s="481" t="str">
        <v>Argentina</v>
      </c>
      <c r="P206" s="481" t="str">
        <v>Colombia</v>
      </c>
      <c r="Q206" s="490" t="str">
        <v>England</v>
      </c>
    </row>
    <row r="207" spans="1:17" x14ac:dyDescent="0.2">
      <c r="A207" s="489">
        <v>204</v>
      </c>
      <c r="B207" s="481" t="str">
        <v>Spain</v>
      </c>
      <c r="C207" s="481" t="str">
        <v>Colombia</v>
      </c>
      <c r="D207" s="481" t="str">
        <v>Croatia</v>
      </c>
      <c r="E207" s="481" t="str">
        <v>Brazil</v>
      </c>
      <c r="F207" s="481" t="str">
        <v>Mexico</v>
      </c>
      <c r="G207" s="481" t="str">
        <v>Canada</v>
      </c>
      <c r="H207" s="481" t="str">
        <v>Morocco</v>
      </c>
      <c r="I207" s="481" t="str">
        <v>Australia</v>
      </c>
      <c r="J207" s="481" t="str">
        <v>Germany</v>
      </c>
      <c r="K207" s="481" t="str">
        <v>Sweden</v>
      </c>
      <c r="L207" s="481" t="str">
        <v>Belgium</v>
      </c>
      <c r="M207" s="481" t="str">
        <v>Spain</v>
      </c>
      <c r="N207" s="481" t="str">
        <v>France</v>
      </c>
      <c r="O207" s="481" t="str">
        <v>Argentina</v>
      </c>
      <c r="P207" s="481" t="str">
        <v>Portugal</v>
      </c>
      <c r="Q207" s="490" t="str">
        <v>England</v>
      </c>
    </row>
    <row r="208" spans="1:17" x14ac:dyDescent="0.2">
      <c r="A208" s="489">
        <v>205</v>
      </c>
      <c r="B208" s="481" t="str">
        <v>Belgium</v>
      </c>
      <c r="C208" s="481" t="str">
        <v>Brazil</v>
      </c>
      <c r="D208" s="481" t="str">
        <v>Portugal</v>
      </c>
      <c r="E208" s="481" t="str">
        <v>England</v>
      </c>
      <c r="F208" s="481" t="str">
        <v>Czechia</v>
      </c>
      <c r="G208" s="481" t="str">
        <v>Switzerland</v>
      </c>
      <c r="H208" s="481" t="str">
        <v>Morocco</v>
      </c>
      <c r="I208" s="481" t="str">
        <v>USA</v>
      </c>
      <c r="J208" s="481" t="str">
        <v>Cote d'Ivorie</v>
      </c>
      <c r="K208" s="481" t="str">
        <v>Netherlands</v>
      </c>
      <c r="L208" s="481" t="str">
        <v>Belgium</v>
      </c>
      <c r="M208" s="481" t="str">
        <v>Spain</v>
      </c>
      <c r="N208" s="481" t="str">
        <v>France</v>
      </c>
      <c r="O208" s="481" t="str">
        <v>Austria</v>
      </c>
      <c r="P208" s="481" t="str">
        <v>Portugal</v>
      </c>
      <c r="Q208" s="490" t="str">
        <v>England</v>
      </c>
    </row>
    <row r="209" spans="1:17" x14ac:dyDescent="0.2">
      <c r="A209" s="489">
        <v>206</v>
      </c>
      <c r="B209" s="481" t="str">
        <v>Spain</v>
      </c>
      <c r="C209" s="481" t="str">
        <v>Croatia</v>
      </c>
      <c r="D209" s="481" t="str">
        <v>Mexico</v>
      </c>
      <c r="E209" s="481" t="str">
        <v>Argentina</v>
      </c>
      <c r="F209" s="481" t="str">
        <v>Mexico</v>
      </c>
      <c r="G209" s="481" t="str">
        <v>Switzerland</v>
      </c>
      <c r="H209" s="481" t="str">
        <v>Morocco</v>
      </c>
      <c r="I209" s="481" t="str">
        <v>USA</v>
      </c>
      <c r="J209" s="481" t="str">
        <v>Ecuador</v>
      </c>
      <c r="K209" s="481" t="str">
        <v>Japan</v>
      </c>
      <c r="L209" s="481" t="str">
        <v>Belgium</v>
      </c>
      <c r="M209" s="481" t="str">
        <v>Spain</v>
      </c>
      <c r="N209" s="481" t="str">
        <v>France</v>
      </c>
      <c r="O209" s="481" t="str">
        <v>Argentina</v>
      </c>
      <c r="P209" s="481" t="str">
        <v>Portugal</v>
      </c>
      <c r="Q209" s="490" t="str">
        <v>Panama</v>
      </c>
    </row>
    <row r="210" spans="1:17" x14ac:dyDescent="0.2">
      <c r="A210" s="489">
        <v>207</v>
      </c>
      <c r="B210" s="481" t="str">
        <v>Germany</v>
      </c>
      <c r="C210" s="481" t="str">
        <v>Portugal</v>
      </c>
      <c r="D210" s="481" t="str">
        <v>Spain</v>
      </c>
      <c r="E210" s="481" t="str">
        <v>Belgium</v>
      </c>
      <c r="F210" s="481" t="str">
        <v>Mexico</v>
      </c>
      <c r="G210" s="481" t="str">
        <v>Switzerland</v>
      </c>
      <c r="H210" s="481" t="str">
        <v>Morocco</v>
      </c>
      <c r="I210" s="481" t="str">
        <v>USA</v>
      </c>
      <c r="J210" s="481" t="str">
        <v>Germany</v>
      </c>
      <c r="K210" s="481" t="str">
        <v>Japan</v>
      </c>
      <c r="L210" s="481" t="str">
        <v>Belgium</v>
      </c>
      <c r="M210" s="481" t="str">
        <v>Spain</v>
      </c>
      <c r="N210" s="481" t="str">
        <v>France</v>
      </c>
      <c r="O210" s="481" t="str">
        <v>Argentina</v>
      </c>
      <c r="P210" s="481" t="str">
        <v>Portugal</v>
      </c>
      <c r="Q210" s="490" t="str">
        <v>England</v>
      </c>
    </row>
    <row r="211" spans="1:17" x14ac:dyDescent="0.2">
      <c r="A211" s="489">
        <v>208</v>
      </c>
      <c r="B211" s="481" t="str">
        <v>Belgium</v>
      </c>
      <c r="C211" s="481" t="str">
        <v>Germany</v>
      </c>
      <c r="D211" s="481" t="str">
        <v>England</v>
      </c>
      <c r="E211" s="481" t="str">
        <v>Portugal</v>
      </c>
      <c r="F211" s="481" t="str">
        <v>Mexico</v>
      </c>
      <c r="G211" s="481" t="str">
        <v>Switzerland</v>
      </c>
      <c r="H211" s="481" t="str">
        <v>Morocco</v>
      </c>
      <c r="I211" s="481" t="str">
        <v>Turkiye</v>
      </c>
      <c r="J211" s="481" t="str">
        <v>Germany</v>
      </c>
      <c r="K211" s="481" t="str">
        <v>Netherlands</v>
      </c>
      <c r="L211" s="481" t="str">
        <v>Egypt</v>
      </c>
      <c r="M211" s="481" t="str">
        <v>Spain</v>
      </c>
      <c r="N211" s="481" t="str">
        <v>Senegal</v>
      </c>
      <c r="O211" s="481" t="str">
        <v>Austria</v>
      </c>
      <c r="P211" s="481" t="str">
        <v>Portugal</v>
      </c>
      <c r="Q211" s="490" t="str">
        <v>England</v>
      </c>
    </row>
    <row r="212" spans="1:17" x14ac:dyDescent="0.2">
      <c r="A212" s="489">
        <v>209</v>
      </c>
      <c r="B212" s="481" t="str">
        <v>Colombia</v>
      </c>
      <c r="C212" s="481" t="str">
        <v>France</v>
      </c>
      <c r="D212" s="481" t="str">
        <v>Argentina</v>
      </c>
      <c r="E212" s="481" t="str">
        <v>Korea Republic</v>
      </c>
      <c r="F212" s="481" t="str">
        <v>Korea Republic</v>
      </c>
      <c r="G212" s="481" t="str">
        <v>Switzerland</v>
      </c>
      <c r="H212" s="481" t="str">
        <v>Brazil</v>
      </c>
      <c r="I212" s="481" t="str">
        <v>USA</v>
      </c>
      <c r="J212" s="481" t="str">
        <v>Germany</v>
      </c>
      <c r="K212" s="481" t="str">
        <v>Japan</v>
      </c>
      <c r="L212" s="481" t="str">
        <v>Belgium</v>
      </c>
      <c r="M212" s="481" t="str">
        <v>Spain</v>
      </c>
      <c r="N212" s="481" t="str">
        <v>France</v>
      </c>
      <c r="O212" s="481" t="str">
        <v>Argentina</v>
      </c>
      <c r="P212" s="481" t="str">
        <v>Colombia</v>
      </c>
      <c r="Q212" s="490" t="str">
        <v>England</v>
      </c>
    </row>
    <row r="213" spans="1:17" x14ac:dyDescent="0.2">
      <c r="A213" s="489">
        <v>210</v>
      </c>
      <c r="B213" s="481" t="str">
        <v>France</v>
      </c>
      <c r="C213" s="481" t="str">
        <v>Argentina</v>
      </c>
      <c r="D213" s="481" t="str">
        <v>Cabo Verde</v>
      </c>
      <c r="E213" s="481" t="str">
        <v>Netherlands</v>
      </c>
      <c r="F213" s="481" t="str">
        <v>Mexico</v>
      </c>
      <c r="G213" s="481" t="str">
        <v>Canada</v>
      </c>
      <c r="H213" s="481" t="str">
        <v>Morocco</v>
      </c>
      <c r="I213" s="481" t="str">
        <v>USA</v>
      </c>
      <c r="J213" s="481" t="str">
        <v>Germany</v>
      </c>
      <c r="K213" s="481" t="str">
        <v>Netherlands</v>
      </c>
      <c r="L213" s="481" t="str">
        <v>IR Iran</v>
      </c>
      <c r="M213" s="481" t="str">
        <v>Spain</v>
      </c>
      <c r="N213" s="481" t="str">
        <v>Iraq</v>
      </c>
      <c r="O213" s="481" t="str">
        <v>Argentina</v>
      </c>
      <c r="P213" s="481" t="str">
        <v>Congo DR</v>
      </c>
      <c r="Q213" s="490" t="str">
        <v>Croatia</v>
      </c>
    </row>
    <row r="214" spans="1:17" x14ac:dyDescent="0.2">
      <c r="A214" s="489">
        <v>211</v>
      </c>
      <c r="B214" s="481" t="str">
        <v>Netherlands</v>
      </c>
      <c r="C214" s="481" t="str">
        <v>Spain</v>
      </c>
      <c r="D214" s="481" t="str">
        <v>Brazil</v>
      </c>
      <c r="E214" s="481" t="str">
        <v>Croatia</v>
      </c>
      <c r="F214" s="481" t="str">
        <v>Mexico</v>
      </c>
      <c r="G214" s="481" t="str">
        <v>Switzerland</v>
      </c>
      <c r="H214" s="481" t="str">
        <v>Brazil</v>
      </c>
      <c r="I214" s="481" t="str">
        <v>Turkiye</v>
      </c>
      <c r="J214" s="481" t="str">
        <v>Germany</v>
      </c>
      <c r="K214" s="481" t="str">
        <v>Sweden</v>
      </c>
      <c r="L214" s="481" t="str">
        <v>Belgium</v>
      </c>
      <c r="M214" s="481" t="str">
        <v>Spain</v>
      </c>
      <c r="N214" s="481" t="str">
        <v>Senegal</v>
      </c>
      <c r="O214" s="481" t="str">
        <v>Algeria</v>
      </c>
      <c r="P214" s="481" t="str">
        <v>Portugal</v>
      </c>
      <c r="Q214" s="490" t="str">
        <v>Croatia</v>
      </c>
    </row>
    <row r="215" spans="1:17" x14ac:dyDescent="0.2">
      <c r="A215" s="489">
        <v>212</v>
      </c>
      <c r="B215" s="481" t="str">
        <v>Paraguay</v>
      </c>
      <c r="C215" s="481" t="str">
        <v>France</v>
      </c>
      <c r="D215" s="481" t="str">
        <v>Netherlands</v>
      </c>
      <c r="E215" s="481" t="str">
        <v>IR Iran</v>
      </c>
      <c r="F215" s="481" t="str">
        <v>Korea Republic</v>
      </c>
      <c r="G215" s="481" t="str">
        <v>Canada</v>
      </c>
      <c r="H215" s="481" t="str">
        <v>Morocco</v>
      </c>
      <c r="I215" s="481" t="str">
        <v>Australia</v>
      </c>
      <c r="J215" s="481" t="str">
        <v>Germany</v>
      </c>
      <c r="K215" s="481" t="str">
        <v>Netherlands</v>
      </c>
      <c r="L215" s="481" t="str">
        <v>Belgium</v>
      </c>
      <c r="M215" s="481" t="str">
        <v>Uruguay</v>
      </c>
      <c r="N215" s="481" t="str">
        <v>France</v>
      </c>
      <c r="O215" s="481" t="str">
        <v>Argentina</v>
      </c>
      <c r="P215" s="481" t="str">
        <v>Portugal</v>
      </c>
      <c r="Q215" s="490" t="str">
        <v>Croatia</v>
      </c>
    </row>
    <row r="216" spans="1:17" x14ac:dyDescent="0.2">
      <c r="A216" s="489">
        <v>213</v>
      </c>
      <c r="B216" s="481" t="str">
        <v>Colombia</v>
      </c>
      <c r="C216" s="481" t="str">
        <v>Japan</v>
      </c>
      <c r="D216" s="481" t="str">
        <v>Sweden</v>
      </c>
      <c r="E216" s="481" t="str">
        <v>Ecuador</v>
      </c>
      <c r="F216" s="481" t="str">
        <v>Korea Republic</v>
      </c>
      <c r="G216" s="481" t="str">
        <v>Qatar</v>
      </c>
      <c r="H216" s="481" t="str">
        <v>Brazil</v>
      </c>
      <c r="I216" s="481" t="str">
        <v>Australia</v>
      </c>
      <c r="J216" s="481" t="str">
        <v>Germany</v>
      </c>
      <c r="K216" s="481" t="str">
        <v>Sweden</v>
      </c>
      <c r="L216" s="481" t="str">
        <v>Egypt</v>
      </c>
      <c r="M216" s="481" t="str">
        <v>Spain</v>
      </c>
      <c r="N216" s="481" t="str">
        <v>France</v>
      </c>
      <c r="O216" s="481" t="str">
        <v>Algeria</v>
      </c>
      <c r="P216" s="481" t="str">
        <v>Colombia</v>
      </c>
      <c r="Q216" s="490" t="str">
        <v>England</v>
      </c>
    </row>
    <row r="217" spans="1:17" x14ac:dyDescent="0.2">
      <c r="A217" s="489">
        <v>214</v>
      </c>
      <c r="B217" s="481" t="str">
        <v>Germany</v>
      </c>
      <c r="C217" s="481" t="str">
        <v>Senegal</v>
      </c>
      <c r="D217" s="481" t="str">
        <v>Germany</v>
      </c>
      <c r="E217" s="481" t="str">
        <v>Spain</v>
      </c>
      <c r="F217" s="481" t="str">
        <v>Korea Republic</v>
      </c>
      <c r="G217" s="481" t="str">
        <v>Canada</v>
      </c>
      <c r="H217" s="481" t="str">
        <v>Morocco</v>
      </c>
      <c r="I217" s="481" t="str">
        <v>Australia</v>
      </c>
      <c r="J217" s="481" t="str">
        <v>Germany</v>
      </c>
      <c r="K217" s="481" t="str">
        <v>Japan</v>
      </c>
      <c r="L217" s="481" t="str">
        <v>Belgium</v>
      </c>
      <c r="M217" s="481" t="str">
        <v>Spain</v>
      </c>
      <c r="N217" s="481" t="str">
        <v>France</v>
      </c>
      <c r="O217" s="481" t="str">
        <v>Argentina</v>
      </c>
      <c r="P217" s="481" t="str">
        <v>Portugal</v>
      </c>
      <c r="Q217" s="490" t="str">
        <v>England</v>
      </c>
    </row>
    <row r="218" spans="1:17" x14ac:dyDescent="0.2">
      <c r="A218" s="489">
        <v>215</v>
      </c>
      <c r="B218" s="481" t="str">
        <v>Germany</v>
      </c>
      <c r="C218" s="481" t="str">
        <v>Argentina</v>
      </c>
      <c r="D218" s="481" t="str">
        <v>USA</v>
      </c>
      <c r="E218" s="481" t="str">
        <v>Japan</v>
      </c>
      <c r="F218" s="481" t="str">
        <v>Mexico</v>
      </c>
      <c r="G218" s="481" t="str">
        <v>Bosnia-Herzegovina</v>
      </c>
      <c r="H218" s="481" t="str">
        <v>Morocco</v>
      </c>
      <c r="I218" s="481" t="str">
        <v>USA</v>
      </c>
      <c r="J218" s="481" t="str">
        <v>Germany</v>
      </c>
      <c r="K218" s="481" t="str">
        <v>Netherlands</v>
      </c>
      <c r="L218" s="481" t="str">
        <v>Belgium</v>
      </c>
      <c r="M218" s="481" t="str">
        <v>Spain</v>
      </c>
      <c r="N218" s="481" t="str">
        <v>France</v>
      </c>
      <c r="O218" s="481" t="str">
        <v>Argentina</v>
      </c>
      <c r="P218" s="481" t="str">
        <v>Portugal</v>
      </c>
      <c r="Q218" s="490" t="str">
        <v>England</v>
      </c>
    </row>
    <row r="219" spans="1:17" x14ac:dyDescent="0.2">
      <c r="A219" s="489">
        <v>216</v>
      </c>
      <c r="B219" s="481" t="str">
        <v>France</v>
      </c>
      <c r="C219" s="481" t="str">
        <v>England</v>
      </c>
      <c r="D219" s="481" t="str">
        <v>Croatia</v>
      </c>
      <c r="E219" s="481" t="str">
        <v>Colombia</v>
      </c>
      <c r="F219" s="481" t="str">
        <v>Mexico</v>
      </c>
      <c r="G219" s="481" t="str">
        <v>Bosnia-Herzegovina</v>
      </c>
      <c r="H219" s="481" t="str">
        <v>Brazil</v>
      </c>
      <c r="I219" s="481" t="str">
        <v>USA</v>
      </c>
      <c r="J219" s="481" t="str">
        <v>Germany</v>
      </c>
      <c r="K219" s="481" t="str">
        <v>Japan</v>
      </c>
      <c r="L219" s="481" t="str">
        <v>Belgium</v>
      </c>
      <c r="M219" s="481" t="str">
        <v>Uruguay</v>
      </c>
      <c r="N219" s="481" t="str">
        <v>France</v>
      </c>
      <c r="O219" s="481" t="str">
        <v>Argentina</v>
      </c>
      <c r="P219" s="481" t="str">
        <v>Portugal</v>
      </c>
      <c r="Q219" s="490" t="str">
        <v>England</v>
      </c>
    </row>
    <row r="220" spans="1:17" x14ac:dyDescent="0.2">
      <c r="A220" s="489">
        <v>217</v>
      </c>
      <c r="B220" s="481" t="str">
        <v>Norway</v>
      </c>
      <c r="C220" s="481" t="str">
        <v>Ecuador</v>
      </c>
      <c r="D220" s="481" t="str">
        <v>Germany</v>
      </c>
      <c r="E220" s="481" t="str">
        <v>Croatia</v>
      </c>
      <c r="F220" s="481" t="str">
        <v>Mexico</v>
      </c>
      <c r="G220" s="481" t="str">
        <v>Canada</v>
      </c>
      <c r="H220" s="481" t="str">
        <v>Brazil</v>
      </c>
      <c r="I220" s="481" t="str">
        <v>Australia</v>
      </c>
      <c r="J220" s="481" t="str">
        <v>Germany</v>
      </c>
      <c r="K220" s="481" t="str">
        <v>Netherlands</v>
      </c>
      <c r="L220" s="481" t="str">
        <v>Belgium</v>
      </c>
      <c r="M220" s="481" t="str">
        <v>Spain</v>
      </c>
      <c r="N220" s="481" t="str">
        <v>France</v>
      </c>
      <c r="O220" s="481" t="str">
        <v>Austria</v>
      </c>
      <c r="P220" s="481" t="str">
        <v>Colombia</v>
      </c>
      <c r="Q220" s="490" t="str">
        <v>England</v>
      </c>
    </row>
    <row r="221" spans="1:17" x14ac:dyDescent="0.2">
      <c r="A221" s="489">
        <v>218</v>
      </c>
      <c r="B221" s="481" t="str">
        <v>Portugal</v>
      </c>
      <c r="C221" s="481" t="str">
        <v>Belgium</v>
      </c>
      <c r="D221" s="481" t="str">
        <v>France</v>
      </c>
      <c r="E221" s="481" t="str">
        <v>USA</v>
      </c>
      <c r="F221" s="481" t="str">
        <v>Mexico</v>
      </c>
      <c r="G221" s="481" t="str">
        <v>Qatar</v>
      </c>
      <c r="H221" s="481" t="str">
        <v>Brazil</v>
      </c>
      <c r="I221" s="481" t="str">
        <v>USA</v>
      </c>
      <c r="J221" s="481" t="str">
        <v>Germany</v>
      </c>
      <c r="K221" s="481" t="str">
        <v>Netherlands</v>
      </c>
      <c r="L221" s="481" t="str">
        <v>IR Iran</v>
      </c>
      <c r="M221" s="481" t="str">
        <v>Spain</v>
      </c>
      <c r="N221" s="481" t="str">
        <v>France</v>
      </c>
      <c r="O221" s="481" t="str">
        <v>Argentina</v>
      </c>
      <c r="P221" s="481" t="str">
        <v>Portugal</v>
      </c>
      <c r="Q221" s="490" t="str">
        <v>England</v>
      </c>
    </row>
    <row r="222" spans="1:17" x14ac:dyDescent="0.2">
      <c r="A222" s="489">
        <v>219</v>
      </c>
      <c r="B222" s="481" t="str">
        <v>France</v>
      </c>
      <c r="C222" s="481" t="str">
        <v>Argentina</v>
      </c>
      <c r="D222" s="481" t="str">
        <v>Morocco</v>
      </c>
      <c r="E222" s="481" t="str">
        <v>Morocco</v>
      </c>
      <c r="F222" s="481" t="str">
        <v>Mexico</v>
      </c>
      <c r="G222" s="481" t="str">
        <v>Qatar</v>
      </c>
      <c r="H222" s="481" t="str">
        <v>Morocco</v>
      </c>
      <c r="I222" s="481" t="str">
        <v>Australia</v>
      </c>
      <c r="J222" s="481" t="str">
        <v>Cote d'Ivorie</v>
      </c>
      <c r="K222" s="481" t="str">
        <v>Netherlands</v>
      </c>
      <c r="L222" s="481" t="str">
        <v>New Zealand</v>
      </c>
      <c r="M222" s="481" t="str">
        <v>Uruguay</v>
      </c>
      <c r="N222" s="481" t="str">
        <v>France</v>
      </c>
      <c r="O222" s="481" t="str">
        <v>Algeria</v>
      </c>
      <c r="P222" s="481" t="str">
        <v>Portugal</v>
      </c>
      <c r="Q222" s="490" t="str">
        <v>England</v>
      </c>
    </row>
    <row r="223" spans="1:17" x14ac:dyDescent="0.2">
      <c r="A223" s="489">
        <v>220</v>
      </c>
      <c r="B223" s="481" t="str">
        <v>Brazil</v>
      </c>
      <c r="C223" s="481" t="str">
        <v>Morocco</v>
      </c>
      <c r="D223" s="481" t="str">
        <v>Belgium</v>
      </c>
      <c r="E223" s="481" t="str">
        <v>Morocco</v>
      </c>
      <c r="F223" s="481" t="str">
        <v>Mexico</v>
      </c>
      <c r="G223" s="481" t="str">
        <v>Switzerland</v>
      </c>
      <c r="H223" s="481" t="str">
        <v>Brazil</v>
      </c>
      <c r="I223" s="481" t="str">
        <v>Australia</v>
      </c>
      <c r="J223" s="481" t="str">
        <v>Germany</v>
      </c>
      <c r="K223" s="481" t="str">
        <v>Japan</v>
      </c>
      <c r="L223" s="481" t="str">
        <v>Belgium</v>
      </c>
      <c r="M223" s="481" t="str">
        <v>Spain</v>
      </c>
      <c r="N223" s="481" t="str">
        <v>France</v>
      </c>
      <c r="O223" s="481" t="str">
        <v>Argentina</v>
      </c>
      <c r="P223" s="481" t="str">
        <v>Colombia</v>
      </c>
      <c r="Q223" s="490" t="str">
        <v>Ghana</v>
      </c>
    </row>
    <row r="224" spans="1:17" x14ac:dyDescent="0.2">
      <c r="A224" s="489">
        <v>221</v>
      </c>
      <c r="B224" s="481" t="str">
        <v>Germany</v>
      </c>
      <c r="C224" s="481" t="str">
        <v>Netherlands</v>
      </c>
      <c r="D224" s="481" t="str">
        <v>England</v>
      </c>
      <c r="E224" s="481" t="str">
        <v>Austria</v>
      </c>
      <c r="F224" s="481" t="str">
        <v>Mexico</v>
      </c>
      <c r="G224" s="481" t="str">
        <v>Switzerland</v>
      </c>
      <c r="H224" s="481" t="str">
        <v>Brazil</v>
      </c>
      <c r="I224" s="481" t="str">
        <v>Australia</v>
      </c>
      <c r="J224" s="481" t="str">
        <v>Germany</v>
      </c>
      <c r="K224" s="481" t="str">
        <v>Sweden</v>
      </c>
      <c r="L224" s="481" t="str">
        <v>Egypt</v>
      </c>
      <c r="M224" s="481" t="str">
        <v>Spain</v>
      </c>
      <c r="N224" s="481" t="str">
        <v>France</v>
      </c>
      <c r="O224" s="481" t="str">
        <v>Argentina</v>
      </c>
      <c r="P224" s="481" t="str">
        <v>Portugal</v>
      </c>
      <c r="Q224" s="490" t="str">
        <v>Panama</v>
      </c>
    </row>
    <row r="225" spans="1:17" x14ac:dyDescent="0.2">
      <c r="A225" s="489">
        <v>222</v>
      </c>
      <c r="B225" s="481" t="str">
        <v>France</v>
      </c>
      <c r="C225" s="481" t="str">
        <v>Portugal</v>
      </c>
      <c r="D225" s="481" t="str">
        <v>England</v>
      </c>
      <c r="E225" s="481" t="str">
        <v>Spain</v>
      </c>
      <c r="F225" s="481" t="str">
        <v>Korea Republic</v>
      </c>
      <c r="G225" s="481" t="str">
        <v>Canada</v>
      </c>
      <c r="H225" s="481" t="str">
        <v>Brazil</v>
      </c>
      <c r="I225" s="481" t="str">
        <v>USA</v>
      </c>
      <c r="J225" s="481" t="str">
        <v>Germany</v>
      </c>
      <c r="K225" s="481" t="str">
        <v>Sweden</v>
      </c>
      <c r="L225" s="481" t="str">
        <v>Belgium</v>
      </c>
      <c r="M225" s="481" t="str">
        <v>Spain</v>
      </c>
      <c r="N225" s="481" t="str">
        <v>France</v>
      </c>
      <c r="O225" s="481" t="str">
        <v>Argentina</v>
      </c>
      <c r="P225" s="481" t="str">
        <v>Congo DR</v>
      </c>
      <c r="Q225" s="490" t="str">
        <v>England</v>
      </c>
    </row>
    <row r="226" spans="1:17" x14ac:dyDescent="0.2">
      <c r="A226" s="489">
        <v>223</v>
      </c>
      <c r="B226" s="481" t="str">
        <v>Portugal</v>
      </c>
      <c r="C226" s="481" t="str">
        <v>Korea Republic</v>
      </c>
      <c r="D226" s="481" t="str">
        <v>Argentina</v>
      </c>
      <c r="E226" s="481" t="str">
        <v>Portugal</v>
      </c>
      <c r="F226" s="481" t="str">
        <v>Korea Republic</v>
      </c>
      <c r="G226" s="481" t="str">
        <v>Switzerland</v>
      </c>
      <c r="H226" s="481" t="str">
        <v>Brazil</v>
      </c>
      <c r="I226" s="481" t="str">
        <v>USA</v>
      </c>
      <c r="J226" s="481" t="str">
        <v>Germany</v>
      </c>
      <c r="K226" s="481" t="str">
        <v>Netherlands</v>
      </c>
      <c r="L226" s="481" t="str">
        <v>Belgium</v>
      </c>
      <c r="M226" s="481" t="str">
        <v>Uruguay</v>
      </c>
      <c r="N226" s="481" t="str">
        <v>France</v>
      </c>
      <c r="O226" s="481" t="str">
        <v>Argentina</v>
      </c>
      <c r="P226" s="481" t="str">
        <v>Portugal</v>
      </c>
      <c r="Q226" s="490" t="str">
        <v>England</v>
      </c>
    </row>
    <row r="227" spans="1:17" x14ac:dyDescent="0.2">
      <c r="A227" s="489">
        <v>224</v>
      </c>
      <c r="B227" s="481" t="str">
        <v>Brazil</v>
      </c>
      <c r="C227" s="481" t="str">
        <v>Belgium</v>
      </c>
      <c r="D227" s="481" t="str">
        <v>Belgium</v>
      </c>
      <c r="E227" s="481" t="str">
        <v>France</v>
      </c>
      <c r="F227" s="481" t="str">
        <v>Mexico</v>
      </c>
      <c r="G227" s="481" t="str">
        <v>Switzerland</v>
      </c>
      <c r="H227" s="481" t="str">
        <v>Morocco</v>
      </c>
      <c r="I227" s="481" t="str">
        <v>USA</v>
      </c>
      <c r="J227" s="481" t="str">
        <v>Germany</v>
      </c>
      <c r="K227" s="481" t="str">
        <v>Netherlands</v>
      </c>
      <c r="L227" s="481" t="str">
        <v>Egypt</v>
      </c>
      <c r="M227" s="481" t="str">
        <v>Uruguay</v>
      </c>
      <c r="N227" s="481" t="str">
        <v>France</v>
      </c>
      <c r="O227" s="481" t="str">
        <v>Austria</v>
      </c>
      <c r="P227" s="481" t="str">
        <v>Colombia</v>
      </c>
      <c r="Q227" s="490" t="str">
        <v>England</v>
      </c>
    </row>
    <row r="228" spans="1:17" x14ac:dyDescent="0.2">
      <c r="A228" s="489">
        <v>225</v>
      </c>
      <c r="B228" s="481" t="str">
        <v>Spain</v>
      </c>
      <c r="C228" s="481" t="str">
        <v>Portugal</v>
      </c>
      <c r="D228" s="481" t="str">
        <v>England</v>
      </c>
      <c r="E228" s="481" t="str">
        <v>England</v>
      </c>
      <c r="F228" s="481" t="str">
        <v>Korea Republic</v>
      </c>
      <c r="G228" s="481" t="str">
        <v>Bosnia-Herzegovina</v>
      </c>
      <c r="H228" s="481" t="str">
        <v>Morocco</v>
      </c>
      <c r="I228" s="481" t="str">
        <v>Australia</v>
      </c>
      <c r="J228" s="481" t="str">
        <v>Cote d'Ivorie</v>
      </c>
      <c r="K228" s="481" t="str">
        <v>Netherlands</v>
      </c>
      <c r="L228" s="481" t="str">
        <v>Belgium</v>
      </c>
      <c r="M228" s="481" t="str">
        <v>Uruguay</v>
      </c>
      <c r="N228" s="481" t="str">
        <v>France</v>
      </c>
      <c r="O228" s="481" t="str">
        <v>Argentina</v>
      </c>
      <c r="P228" s="481" t="str">
        <v>Portugal</v>
      </c>
      <c r="Q228" s="490" t="str">
        <v>England</v>
      </c>
    </row>
    <row r="229" spans="1:17" x14ac:dyDescent="0.2">
      <c r="A229" s="489">
        <v>226</v>
      </c>
      <c r="B229" s="481" t="str">
        <v>Argentina</v>
      </c>
      <c r="C229" s="481" t="str">
        <v>Brazil</v>
      </c>
      <c r="D229" s="481" t="str">
        <v>Argentina</v>
      </c>
      <c r="E229" s="481" t="str">
        <v>Czechia</v>
      </c>
      <c r="F229" s="481" t="str">
        <v>Mexico</v>
      </c>
      <c r="G229" s="481" t="str">
        <v>Switzerland</v>
      </c>
      <c r="H229" s="481" t="str">
        <v>Morocco</v>
      </c>
      <c r="I229" s="481" t="str">
        <v>USA</v>
      </c>
      <c r="J229" s="481" t="str">
        <v>Cote d'Ivorie</v>
      </c>
      <c r="K229" s="481" t="str">
        <v>Netherlands</v>
      </c>
      <c r="L229" s="481" t="str">
        <v>Belgium</v>
      </c>
      <c r="M229" s="481" t="str">
        <v>Uruguay</v>
      </c>
      <c r="N229" s="481" t="str">
        <v>Senegal</v>
      </c>
      <c r="O229" s="481" t="str">
        <v>Argentina</v>
      </c>
      <c r="P229" s="481" t="str">
        <v>Colombia</v>
      </c>
      <c r="Q229" s="490" t="str">
        <v>England</v>
      </c>
    </row>
    <row r="230" spans="1:17" x14ac:dyDescent="0.2">
      <c r="A230" s="489">
        <v>227</v>
      </c>
      <c r="B230" s="481" t="str">
        <v>Portugal</v>
      </c>
      <c r="C230" s="481" t="str">
        <v>Netherlands</v>
      </c>
      <c r="D230" s="481" t="str">
        <v>Egypt</v>
      </c>
      <c r="E230" s="481" t="str">
        <v>Portugal</v>
      </c>
      <c r="F230" s="481" t="str">
        <v>Korea Republic</v>
      </c>
      <c r="G230" s="481" t="str">
        <v>Canada</v>
      </c>
      <c r="H230" s="481" t="str">
        <v>Brazil</v>
      </c>
      <c r="I230" s="481" t="str">
        <v>Australia</v>
      </c>
      <c r="J230" s="481" t="str">
        <v>Cote d'Ivorie</v>
      </c>
      <c r="K230" s="481" t="str">
        <v>Netherlands</v>
      </c>
      <c r="L230" s="481" t="str">
        <v>Egypt</v>
      </c>
      <c r="M230" s="481" t="str">
        <v>Spain</v>
      </c>
      <c r="N230" s="481" t="str">
        <v>France</v>
      </c>
      <c r="O230" s="481" t="str">
        <v>Algeria</v>
      </c>
      <c r="P230" s="481" t="str">
        <v>Portugal</v>
      </c>
      <c r="Q230" s="490" t="str">
        <v>England</v>
      </c>
    </row>
    <row r="231" spans="1:17" x14ac:dyDescent="0.2">
      <c r="A231" s="489">
        <v>228</v>
      </c>
      <c r="B231" s="481" t="str">
        <v>Argentina</v>
      </c>
      <c r="C231" s="481" t="str">
        <v>Colombia</v>
      </c>
      <c r="D231" s="481" t="str">
        <v>Colombia</v>
      </c>
      <c r="E231" s="481" t="str">
        <v>Germany</v>
      </c>
      <c r="F231" s="481" t="str">
        <v>Mexico</v>
      </c>
      <c r="G231" s="481" t="str">
        <v>Qatar</v>
      </c>
      <c r="H231" s="481" t="str">
        <v>Scotland</v>
      </c>
      <c r="I231" s="481" t="str">
        <v>USA</v>
      </c>
      <c r="J231" s="481" t="str">
        <v>Germany</v>
      </c>
      <c r="K231" s="481" t="str">
        <v>Netherlands</v>
      </c>
      <c r="L231" s="481" t="str">
        <v>Belgium</v>
      </c>
      <c r="M231" s="481" t="str">
        <v>Spain</v>
      </c>
      <c r="N231" s="481" t="str">
        <v>Senegal</v>
      </c>
      <c r="O231" s="481" t="str">
        <v>Argentina</v>
      </c>
      <c r="P231" s="481" t="str">
        <v>Colombia</v>
      </c>
      <c r="Q231" s="490" t="str">
        <v>England</v>
      </c>
    </row>
    <row r="232" spans="1:17" x14ac:dyDescent="0.2">
      <c r="A232" s="489">
        <v>229</v>
      </c>
      <c r="B232" s="481" t="str">
        <v>Mexico</v>
      </c>
      <c r="C232" s="481" t="str">
        <v>Netherlands</v>
      </c>
      <c r="D232" s="481" t="str">
        <v>USA</v>
      </c>
      <c r="E232" s="481" t="str">
        <v>France</v>
      </c>
      <c r="F232" s="481" t="str">
        <v>Korea Republic</v>
      </c>
      <c r="G232" s="481" t="str">
        <v>Canada</v>
      </c>
      <c r="H232" s="481" t="str">
        <v>Brazil</v>
      </c>
      <c r="I232" s="481" t="str">
        <v>USA</v>
      </c>
      <c r="J232" s="481" t="str">
        <v>Germany</v>
      </c>
      <c r="K232" s="481" t="str">
        <v>Netherlands</v>
      </c>
      <c r="L232" s="481" t="str">
        <v>Belgium</v>
      </c>
      <c r="M232" s="481" t="str">
        <v>Spain</v>
      </c>
      <c r="N232" s="481" t="str">
        <v>France</v>
      </c>
      <c r="O232" s="481" t="str">
        <v>Argentina</v>
      </c>
      <c r="P232" s="481" t="str">
        <v>Colombia</v>
      </c>
      <c r="Q232" s="490" t="str">
        <v>Panama</v>
      </c>
    </row>
    <row r="233" spans="1:17" x14ac:dyDescent="0.2">
      <c r="A233" s="489">
        <v>230</v>
      </c>
      <c r="B233" s="481" t="str">
        <v>England</v>
      </c>
      <c r="C233" s="481" t="str">
        <v>Ecuador</v>
      </c>
      <c r="D233" s="481" t="str">
        <v>France</v>
      </c>
      <c r="E233" s="481" t="str">
        <v>Belgium</v>
      </c>
      <c r="F233" s="481" t="str">
        <v>Mexico</v>
      </c>
      <c r="G233" s="481" t="str">
        <v>Switzerland</v>
      </c>
      <c r="H233" s="481" t="str">
        <v>Brazil</v>
      </c>
      <c r="I233" s="481" t="str">
        <v>USA</v>
      </c>
      <c r="J233" s="481" t="str">
        <v>Germany</v>
      </c>
      <c r="K233" s="481" t="str">
        <v>Netherlands</v>
      </c>
      <c r="L233" s="481" t="str">
        <v>IR Iran</v>
      </c>
      <c r="M233" s="481" t="str">
        <v>Uruguay</v>
      </c>
      <c r="N233" s="481" t="str">
        <v>Senegal</v>
      </c>
      <c r="O233" s="481" t="str">
        <v>Algeria</v>
      </c>
      <c r="P233" s="481" t="str">
        <v>Portugal</v>
      </c>
      <c r="Q233" s="490" t="str">
        <v>Croatia</v>
      </c>
    </row>
    <row r="234" spans="1:17" x14ac:dyDescent="0.2">
      <c r="A234" s="489">
        <v>231</v>
      </c>
      <c r="B234" s="481" t="str">
        <v>France</v>
      </c>
      <c r="C234" s="481" t="str">
        <v>Brazil</v>
      </c>
      <c r="D234" s="481" t="str">
        <v>Belgium</v>
      </c>
      <c r="E234" s="481" t="str">
        <v>Brazil</v>
      </c>
      <c r="F234" s="481" t="str">
        <v>Mexico</v>
      </c>
      <c r="G234" s="481" t="str">
        <v>Switzerland</v>
      </c>
      <c r="H234" s="481" t="str">
        <v>Morocco</v>
      </c>
      <c r="I234" s="481" t="str">
        <v>Australia</v>
      </c>
      <c r="J234" s="481" t="str">
        <v>Ecuador</v>
      </c>
      <c r="K234" s="481" t="str">
        <v>Netherlands</v>
      </c>
      <c r="L234" s="481" t="str">
        <v>Egypt</v>
      </c>
      <c r="M234" s="481" t="str">
        <v>Spain</v>
      </c>
      <c r="N234" s="481" t="str">
        <v>France</v>
      </c>
      <c r="O234" s="481" t="str">
        <v>Argentina</v>
      </c>
      <c r="P234" s="481" t="str">
        <v>Portugal</v>
      </c>
      <c r="Q234" s="490" t="str">
        <v>Panama</v>
      </c>
    </row>
    <row r="235" spans="1:17" x14ac:dyDescent="0.2">
      <c r="A235" s="489">
        <v>232</v>
      </c>
      <c r="B235" s="481" t="str">
        <v>Argentina</v>
      </c>
      <c r="C235" s="481" t="str">
        <v>Spain</v>
      </c>
      <c r="D235" s="481" t="str">
        <v>Netherlands</v>
      </c>
      <c r="E235" s="481" t="str">
        <v>Cote d'Ivorie</v>
      </c>
      <c r="F235" s="481" t="str">
        <v>Mexico</v>
      </c>
      <c r="G235" s="481" t="str">
        <v>Switzerland</v>
      </c>
      <c r="H235" s="481" t="str">
        <v>Morocco</v>
      </c>
      <c r="I235" s="481" t="str">
        <v>USA</v>
      </c>
      <c r="J235" s="481" t="str">
        <v>Germany</v>
      </c>
      <c r="K235" s="481" t="str">
        <v>Japan</v>
      </c>
      <c r="L235" s="481" t="str">
        <v>Belgium</v>
      </c>
      <c r="M235" s="481" t="str">
        <v>Spain</v>
      </c>
      <c r="N235" s="481" t="str">
        <v>Norway</v>
      </c>
      <c r="O235" s="481" t="str">
        <v>Algeria</v>
      </c>
      <c r="P235" s="481" t="str">
        <v>Colombia</v>
      </c>
      <c r="Q235" s="490" t="str">
        <v>England</v>
      </c>
    </row>
    <row r="236" spans="1:17" x14ac:dyDescent="0.2">
      <c r="A236" s="489">
        <v>233</v>
      </c>
      <c r="B236" s="481" t="str">
        <v>France</v>
      </c>
      <c r="C236" s="481" t="str">
        <v>Portugal</v>
      </c>
      <c r="D236" s="481" t="str">
        <v>Germany</v>
      </c>
      <c r="E236" s="481" t="str">
        <v>England</v>
      </c>
      <c r="F236" s="481" t="str">
        <v>Mexico</v>
      </c>
      <c r="G236" s="481" t="str">
        <v>Switzerland</v>
      </c>
      <c r="H236" s="481" t="str">
        <v>Brazil</v>
      </c>
      <c r="I236" s="481" t="str">
        <v>USA</v>
      </c>
      <c r="J236" s="481" t="str">
        <v>Germany</v>
      </c>
      <c r="K236" s="481" t="str">
        <v>Sweden</v>
      </c>
      <c r="L236" s="481" t="str">
        <v>Egypt</v>
      </c>
      <c r="M236" s="481" t="str">
        <v>Spain</v>
      </c>
      <c r="N236" s="481" t="str">
        <v>Senegal</v>
      </c>
      <c r="O236" s="481" t="str">
        <v>Austria</v>
      </c>
      <c r="P236" s="481" t="str">
        <v>Colombia</v>
      </c>
      <c r="Q236" s="490" t="str">
        <v>Croatia</v>
      </c>
    </row>
    <row r="237" spans="1:17" x14ac:dyDescent="0.2">
      <c r="A237" s="489">
        <v>234</v>
      </c>
      <c r="B237" s="481" t="str">
        <v>Colombia</v>
      </c>
      <c r="C237" s="481" t="str">
        <v>Croatia</v>
      </c>
      <c r="D237" s="481" t="str">
        <v>England</v>
      </c>
      <c r="E237" s="481" t="str">
        <v>Switzerland</v>
      </c>
      <c r="F237" s="481" t="str">
        <v>Mexico</v>
      </c>
      <c r="G237" s="481" t="str">
        <v>Switzerland</v>
      </c>
      <c r="H237" s="481" t="str">
        <v>Morocco</v>
      </c>
      <c r="I237" s="481" t="str">
        <v>Australia</v>
      </c>
      <c r="J237" s="481" t="str">
        <v>Germany</v>
      </c>
      <c r="K237" s="481" t="str">
        <v>Japan</v>
      </c>
      <c r="L237" s="481" t="str">
        <v>Belgium</v>
      </c>
      <c r="M237" s="481" t="str">
        <v>Spain</v>
      </c>
      <c r="N237" s="481" t="str">
        <v>France</v>
      </c>
      <c r="O237" s="481" t="str">
        <v>Austria</v>
      </c>
      <c r="P237" s="481" t="str">
        <v>Portugal</v>
      </c>
      <c r="Q237" s="490" t="str">
        <v>England</v>
      </c>
    </row>
    <row r="238" spans="1:17" x14ac:dyDescent="0.2">
      <c r="A238" s="489">
        <v>235</v>
      </c>
      <c r="B238" s="481" t="str">
        <v>Germany</v>
      </c>
      <c r="C238" s="481" t="str">
        <v>Morocco</v>
      </c>
      <c r="D238" s="481" t="str">
        <v>Netherlands</v>
      </c>
      <c r="E238" s="481" t="str">
        <v>Belgium</v>
      </c>
      <c r="F238" s="481" t="str">
        <v>Korea Republic</v>
      </c>
      <c r="G238" s="481" t="str">
        <v>Switzerland</v>
      </c>
      <c r="H238" s="481" t="str">
        <v>Brazil</v>
      </c>
      <c r="I238" s="481" t="str">
        <v>USA</v>
      </c>
      <c r="J238" s="481" t="str">
        <v>Germany</v>
      </c>
      <c r="K238" s="481" t="str">
        <v>Netherlands</v>
      </c>
      <c r="L238" s="481" t="str">
        <v>Egypt</v>
      </c>
      <c r="M238" s="481" t="str">
        <v>Saudi Arabia</v>
      </c>
      <c r="N238" s="481" t="str">
        <v>France</v>
      </c>
      <c r="O238" s="481" t="str">
        <v>Argentina</v>
      </c>
      <c r="P238" s="481" t="str">
        <v>Portugal</v>
      </c>
      <c r="Q238" s="490" t="str">
        <v>England</v>
      </c>
    </row>
    <row r="239" spans="1:17" x14ac:dyDescent="0.2">
      <c r="A239" s="489">
        <v>236</v>
      </c>
      <c r="B239" s="481" t="str">
        <v>Spain</v>
      </c>
      <c r="C239" s="481" t="str">
        <v>Uruguay</v>
      </c>
      <c r="D239" s="481" t="str">
        <v>Argentina</v>
      </c>
      <c r="E239" s="481" t="str">
        <v>USA</v>
      </c>
      <c r="F239" s="481" t="str">
        <v>Mexico</v>
      </c>
      <c r="G239" s="481" t="str">
        <v>Switzerland</v>
      </c>
      <c r="H239" s="481" t="str">
        <v>Morocco</v>
      </c>
      <c r="I239" s="481" t="str">
        <v>Turkiye</v>
      </c>
      <c r="J239" s="481" t="str">
        <v>Cote d'Ivorie</v>
      </c>
      <c r="K239" s="481" t="str">
        <v>Netherlands</v>
      </c>
      <c r="L239" s="481" t="str">
        <v>IR Iran</v>
      </c>
      <c r="M239" s="481" t="str">
        <v>Spain</v>
      </c>
      <c r="N239" s="481" t="str">
        <v>Senegal</v>
      </c>
      <c r="O239" s="481" t="str">
        <v>Argentina</v>
      </c>
      <c r="P239" s="481" t="str">
        <v>Portugal</v>
      </c>
      <c r="Q239" s="490" t="str">
        <v>Panama</v>
      </c>
    </row>
    <row r="240" spans="1:17" x14ac:dyDescent="0.2">
      <c r="A240" s="489">
        <v>237</v>
      </c>
      <c r="B240" s="481" t="str">
        <v>Argentina</v>
      </c>
      <c r="C240" s="481" t="str">
        <v>Australia</v>
      </c>
      <c r="D240" s="481" t="str">
        <v>Mexico</v>
      </c>
      <c r="E240" s="481" t="str">
        <v>Norway</v>
      </c>
      <c r="F240" s="481" t="str">
        <v>Czechia</v>
      </c>
      <c r="G240" s="481" t="str">
        <v>Canada</v>
      </c>
      <c r="H240" s="481" t="str">
        <v>Brazil</v>
      </c>
      <c r="I240" s="481" t="str">
        <v>USA</v>
      </c>
      <c r="J240" s="481" t="str">
        <v>Germany</v>
      </c>
      <c r="K240" s="481" t="str">
        <v>Netherlands</v>
      </c>
      <c r="L240" s="481" t="str">
        <v>Belgium</v>
      </c>
      <c r="M240" s="481" t="str">
        <v>Spain</v>
      </c>
      <c r="N240" s="481" t="str">
        <v>France</v>
      </c>
      <c r="O240" s="481" t="str">
        <v>Argentina</v>
      </c>
      <c r="P240" s="481" t="str">
        <v>Colombia</v>
      </c>
      <c r="Q240" s="490" t="str">
        <v>England</v>
      </c>
    </row>
    <row r="241" spans="1:17" x14ac:dyDescent="0.2">
      <c r="A241" s="489">
        <v>238</v>
      </c>
      <c r="B241" s="481" t="str">
        <v>Belgium</v>
      </c>
      <c r="C241" s="481" t="str">
        <v>France</v>
      </c>
      <c r="D241" s="481" t="str">
        <v>Portugal</v>
      </c>
      <c r="E241" s="481" t="str">
        <v>Croatia</v>
      </c>
      <c r="F241" s="481" t="str">
        <v>Mexico</v>
      </c>
      <c r="G241" s="481" t="str">
        <v>Qatar</v>
      </c>
      <c r="H241" s="481" t="str">
        <v>Brazil</v>
      </c>
      <c r="I241" s="481" t="str">
        <v>USA</v>
      </c>
      <c r="J241" s="481" t="str">
        <v>Germany</v>
      </c>
      <c r="K241" s="481" t="str">
        <v>Sweden</v>
      </c>
      <c r="L241" s="481" t="str">
        <v>Belgium</v>
      </c>
      <c r="M241" s="481" t="str">
        <v>Uruguay</v>
      </c>
      <c r="N241" s="481" t="str">
        <v>France</v>
      </c>
      <c r="O241" s="481" t="str">
        <v>Argentina</v>
      </c>
      <c r="P241" s="481" t="str">
        <v>Portugal</v>
      </c>
      <c r="Q241" s="490" t="str">
        <v>Croatia</v>
      </c>
    </row>
    <row r="242" spans="1:17" x14ac:dyDescent="0.2">
      <c r="A242" s="489">
        <v>239</v>
      </c>
      <c r="B242" s="481" t="str">
        <v>Netherlands</v>
      </c>
      <c r="C242" s="481" t="str">
        <v>Germany</v>
      </c>
      <c r="D242" s="481" t="str">
        <v>Switzerland</v>
      </c>
      <c r="E242" s="481" t="str">
        <v>Morocco</v>
      </c>
      <c r="F242" s="481" t="str">
        <v>Korea Republic</v>
      </c>
      <c r="G242" s="481" t="str">
        <v>Qatar</v>
      </c>
      <c r="H242" s="481" t="str">
        <v>Morocco</v>
      </c>
      <c r="I242" s="481" t="str">
        <v>USA</v>
      </c>
      <c r="J242" s="481" t="str">
        <v>Germany</v>
      </c>
      <c r="K242" s="481" t="str">
        <v>Japan</v>
      </c>
      <c r="L242" s="481" t="str">
        <v>Belgium</v>
      </c>
      <c r="M242" s="481" t="str">
        <v>Uruguay</v>
      </c>
      <c r="N242" s="481" t="str">
        <v>France</v>
      </c>
      <c r="O242" s="481" t="str">
        <v>Argentina</v>
      </c>
      <c r="P242" s="481" t="str">
        <v>Portugal</v>
      </c>
      <c r="Q242" s="490" t="str">
        <v>Croatia</v>
      </c>
    </row>
    <row r="243" spans="1:17" x14ac:dyDescent="0.2">
      <c r="A243" s="489">
        <v>240</v>
      </c>
      <c r="B243" s="481" t="str">
        <v>Croatia</v>
      </c>
      <c r="C243" s="481" t="str">
        <v>Korea Republic</v>
      </c>
      <c r="D243" s="481" t="str">
        <v>Argentina</v>
      </c>
      <c r="E243" s="481" t="str">
        <v>France</v>
      </c>
      <c r="F243" s="481" t="str">
        <v>Mexico</v>
      </c>
      <c r="G243" s="481" t="str">
        <v>Bosnia-Herzegovina</v>
      </c>
      <c r="H243" s="481" t="str">
        <v>Morocco</v>
      </c>
      <c r="I243" s="481" t="str">
        <v>Australia</v>
      </c>
      <c r="J243" s="481" t="str">
        <v>Germany</v>
      </c>
      <c r="K243" s="481" t="str">
        <v>Netherlands</v>
      </c>
      <c r="L243" s="481" t="str">
        <v>Belgium</v>
      </c>
      <c r="M243" s="481" t="str">
        <v>Uruguay</v>
      </c>
      <c r="N243" s="481" t="str">
        <v>Norway</v>
      </c>
      <c r="O243" s="481" t="str">
        <v>Argentina</v>
      </c>
      <c r="P243" s="481" t="str">
        <v>Colombia</v>
      </c>
      <c r="Q243" s="490" t="str">
        <v>England</v>
      </c>
    </row>
    <row r="244" spans="1:17" x14ac:dyDescent="0.2">
      <c r="A244" s="489">
        <v>241</v>
      </c>
      <c r="B244" s="481" t="str">
        <v>Morocco</v>
      </c>
      <c r="C244" s="481" t="str">
        <v>Switzerland</v>
      </c>
      <c r="D244" s="481" t="str">
        <v>Brazil</v>
      </c>
      <c r="E244" s="481" t="str">
        <v>Netherlands</v>
      </c>
      <c r="F244" s="481" t="str">
        <v>Mexico</v>
      </c>
      <c r="G244" s="481" t="str">
        <v>Switzerland</v>
      </c>
      <c r="H244" s="481" t="str">
        <v>Morocco</v>
      </c>
      <c r="I244" s="481" t="str">
        <v>USA</v>
      </c>
      <c r="J244" s="481" t="str">
        <v>Cote d'Ivorie</v>
      </c>
      <c r="K244" s="481" t="str">
        <v>Japan</v>
      </c>
      <c r="L244" s="481" t="str">
        <v>IR Iran</v>
      </c>
      <c r="M244" s="481" t="str">
        <v>Uruguay</v>
      </c>
      <c r="N244" s="481" t="str">
        <v>Senegal</v>
      </c>
      <c r="O244" s="481" t="str">
        <v>Algeria</v>
      </c>
      <c r="P244" s="481" t="str">
        <v>Uzbekistan</v>
      </c>
      <c r="Q244" s="490" t="str">
        <v>Panama</v>
      </c>
    </row>
    <row r="245" spans="1:17" x14ac:dyDescent="0.2">
      <c r="A245" s="489">
        <v>242</v>
      </c>
      <c r="B245" s="481" t="str">
        <v>Spain</v>
      </c>
      <c r="C245" s="481" t="str">
        <v>Croatia</v>
      </c>
      <c r="D245" s="481" t="str">
        <v>Uruguay</v>
      </c>
      <c r="E245" s="481" t="str">
        <v>Canada</v>
      </c>
      <c r="F245" s="481" t="str">
        <v>Korea Republic</v>
      </c>
      <c r="G245" s="481" t="str">
        <v>Switzerland</v>
      </c>
      <c r="H245" s="481" t="str">
        <v>Morocco</v>
      </c>
      <c r="I245" s="481" t="str">
        <v>USA</v>
      </c>
      <c r="J245" s="481" t="str">
        <v>Germany</v>
      </c>
      <c r="K245" s="481" t="str">
        <v>Sweden</v>
      </c>
      <c r="L245" s="481" t="str">
        <v>Egypt</v>
      </c>
      <c r="M245" s="481" t="str">
        <v>Spain</v>
      </c>
      <c r="N245" s="481" t="str">
        <v>Norway</v>
      </c>
      <c r="O245" s="481" t="str">
        <v>Argentina</v>
      </c>
      <c r="P245" s="481" t="str">
        <v>Portugal</v>
      </c>
      <c r="Q245" s="490" t="str">
        <v>Croatia</v>
      </c>
    </row>
    <row r="246" spans="1:17" x14ac:dyDescent="0.2">
      <c r="A246" s="489">
        <v>243</v>
      </c>
      <c r="B246" s="481" t="str">
        <v>Belgium</v>
      </c>
      <c r="C246" s="481" t="str">
        <v>Portugal</v>
      </c>
      <c r="D246" s="481" t="str">
        <v>Qatar</v>
      </c>
      <c r="E246" s="481" t="str">
        <v>Colombia</v>
      </c>
      <c r="F246" s="481" t="str">
        <v>Mexico</v>
      </c>
      <c r="G246" s="481" t="str">
        <v>Switzerland</v>
      </c>
      <c r="H246" s="481" t="str">
        <v>Morocco</v>
      </c>
      <c r="I246" s="481" t="str">
        <v>USA</v>
      </c>
      <c r="J246" s="481" t="str">
        <v>Germany</v>
      </c>
      <c r="K246" s="481" t="str">
        <v>Netherlands</v>
      </c>
      <c r="L246" s="481" t="str">
        <v>Egypt</v>
      </c>
      <c r="M246" s="481" t="str">
        <v>Uruguay</v>
      </c>
      <c r="N246" s="481" t="str">
        <v>France</v>
      </c>
      <c r="O246" s="481" t="str">
        <v>Argentina</v>
      </c>
      <c r="P246" s="481" t="str">
        <v>Colombia</v>
      </c>
      <c r="Q246" s="490" t="str">
        <v>England</v>
      </c>
    </row>
    <row r="247" spans="1:17" x14ac:dyDescent="0.2">
      <c r="A247" s="489">
        <v>244</v>
      </c>
      <c r="B247" s="481" t="str">
        <v>Spain</v>
      </c>
      <c r="C247" s="481" t="str">
        <v>Argentina</v>
      </c>
      <c r="D247" s="481" t="str">
        <v>Switzerland</v>
      </c>
      <c r="E247" s="481" t="str">
        <v>Argentina</v>
      </c>
      <c r="F247" s="481" t="str">
        <v>Mexico</v>
      </c>
      <c r="G247" s="481" t="str">
        <v>Canada</v>
      </c>
      <c r="H247" s="481" t="str">
        <v>Morocco</v>
      </c>
      <c r="I247" s="481" t="str">
        <v>Australia</v>
      </c>
      <c r="J247" s="481" t="str">
        <v>Germany</v>
      </c>
      <c r="K247" s="481" t="str">
        <v>Japan</v>
      </c>
      <c r="L247" s="481" t="str">
        <v>Belgium</v>
      </c>
      <c r="M247" s="481" t="str">
        <v>Saudi Arabia</v>
      </c>
      <c r="N247" s="481" t="str">
        <v>Norway</v>
      </c>
      <c r="O247" s="481" t="str">
        <v>Argentina</v>
      </c>
      <c r="P247" s="481" t="str">
        <v>Colombia</v>
      </c>
      <c r="Q247" s="490" t="str">
        <v>Panama</v>
      </c>
    </row>
    <row r="248" spans="1:17" x14ac:dyDescent="0.2">
      <c r="A248" s="489">
        <v>245</v>
      </c>
      <c r="B248" s="481" t="str">
        <v>England</v>
      </c>
      <c r="C248" s="481" t="str">
        <v>England</v>
      </c>
      <c r="D248" s="481" t="str">
        <v>Argentina</v>
      </c>
      <c r="E248" s="481" t="str">
        <v>France</v>
      </c>
      <c r="F248" s="481" t="str">
        <v>Mexico</v>
      </c>
      <c r="G248" s="481" t="str">
        <v>Canada</v>
      </c>
      <c r="H248" s="481" t="str">
        <v>Brazil</v>
      </c>
      <c r="I248" s="481" t="str">
        <v>USA</v>
      </c>
      <c r="J248" s="481" t="str">
        <v>Germany</v>
      </c>
      <c r="K248" s="481" t="str">
        <v>Japan</v>
      </c>
      <c r="L248" s="481" t="str">
        <v>IR Iran</v>
      </c>
      <c r="M248" s="481" t="str">
        <v>Uruguay</v>
      </c>
      <c r="N248" s="481" t="str">
        <v>France</v>
      </c>
      <c r="O248" s="481" t="str">
        <v>Algeria</v>
      </c>
      <c r="P248" s="481" t="str">
        <v>Portugal</v>
      </c>
      <c r="Q248" s="490" t="str">
        <v>England</v>
      </c>
    </row>
    <row r="249" spans="1:17" x14ac:dyDescent="0.2">
      <c r="A249" s="489">
        <v>246</v>
      </c>
      <c r="B249" s="481" t="str">
        <v>Brazil</v>
      </c>
      <c r="C249" s="481" t="str">
        <v>Portugal</v>
      </c>
      <c r="D249" s="481" t="str">
        <v>Germany</v>
      </c>
      <c r="E249" s="481" t="str">
        <v>Japan</v>
      </c>
      <c r="F249" s="481" t="str">
        <v>Mexico</v>
      </c>
      <c r="G249" s="481" t="str">
        <v>Canada</v>
      </c>
      <c r="H249" s="481" t="str">
        <v>Morocco</v>
      </c>
      <c r="I249" s="481" t="str">
        <v>USA</v>
      </c>
      <c r="J249" s="481" t="str">
        <v>Germany</v>
      </c>
      <c r="K249" s="481" t="str">
        <v>Netherlands</v>
      </c>
      <c r="L249" s="481" t="str">
        <v>Belgium</v>
      </c>
      <c r="M249" s="481" t="str">
        <v>Uruguay</v>
      </c>
      <c r="N249" s="481" t="str">
        <v>France</v>
      </c>
      <c r="O249" s="481" t="str">
        <v>Algeria</v>
      </c>
      <c r="P249" s="481" t="str">
        <v>Portugal</v>
      </c>
      <c r="Q249" s="490" t="str">
        <v>England</v>
      </c>
    </row>
    <row r="250" spans="1:17" x14ac:dyDescent="0.2">
      <c r="A250" s="489">
        <v>247</v>
      </c>
      <c r="B250" s="481" t="str">
        <v>Croatia</v>
      </c>
      <c r="C250" s="481" t="str">
        <v>Brazil</v>
      </c>
      <c r="D250" s="481" t="str">
        <v>Japan</v>
      </c>
      <c r="E250" s="481" t="str">
        <v>USA</v>
      </c>
      <c r="F250" s="481" t="str">
        <v>Mexico</v>
      </c>
      <c r="G250" s="481" t="str">
        <v>Bosnia-Herzegovina</v>
      </c>
      <c r="H250" s="481" t="str">
        <v>Brazil</v>
      </c>
      <c r="I250" s="481" t="str">
        <v>USA</v>
      </c>
      <c r="J250" s="481" t="str">
        <v>Germany</v>
      </c>
      <c r="K250" s="481" t="str">
        <v>Netherlands</v>
      </c>
      <c r="L250" s="481" t="str">
        <v>Egypt</v>
      </c>
      <c r="M250" s="481" t="str">
        <v>Spain</v>
      </c>
      <c r="N250" s="481" t="str">
        <v>France</v>
      </c>
      <c r="O250" s="481" t="str">
        <v>Argentina</v>
      </c>
      <c r="P250" s="481" t="str">
        <v>Portugal</v>
      </c>
      <c r="Q250" s="490" t="str">
        <v>England</v>
      </c>
    </row>
    <row r="251" spans="1:17" x14ac:dyDescent="0.2">
      <c r="A251" s="489">
        <v>248</v>
      </c>
      <c r="B251" s="481" t="str">
        <v>Spain</v>
      </c>
      <c r="C251" s="481" t="str">
        <v>Colombia</v>
      </c>
      <c r="D251" s="481" t="str">
        <v>France</v>
      </c>
      <c r="E251" s="481" t="str">
        <v>Austria</v>
      </c>
      <c r="F251" s="481" t="str">
        <v>Mexico</v>
      </c>
      <c r="G251" s="481" t="str">
        <v>Bosnia-Herzegovina</v>
      </c>
      <c r="H251" s="481" t="str">
        <v>Morocco</v>
      </c>
      <c r="I251" s="481" t="str">
        <v>USA</v>
      </c>
      <c r="J251" s="481" t="str">
        <v>Germany</v>
      </c>
      <c r="K251" s="481" t="str">
        <v>Sweden</v>
      </c>
      <c r="L251" s="481" t="str">
        <v>Belgium</v>
      </c>
      <c r="M251" s="481" t="str">
        <v>Spain</v>
      </c>
      <c r="N251" s="481" t="str">
        <v>Norway</v>
      </c>
      <c r="O251" s="481" t="str">
        <v>Algeria</v>
      </c>
      <c r="P251" s="481" t="str">
        <v>Portugal</v>
      </c>
      <c r="Q251" s="490" t="str">
        <v>Panama</v>
      </c>
    </row>
    <row r="252" spans="1:17" x14ac:dyDescent="0.2">
      <c r="A252" s="489">
        <v>249</v>
      </c>
      <c r="B252" s="481" t="str">
        <v>Spain</v>
      </c>
      <c r="C252" s="481" t="str">
        <v>Brazil</v>
      </c>
      <c r="D252" s="481" t="str">
        <v>Germany</v>
      </c>
      <c r="E252" s="481" t="str">
        <v>Mexico</v>
      </c>
      <c r="F252" s="481" t="str">
        <v>Mexico</v>
      </c>
      <c r="G252" s="481" t="str">
        <v>Canada</v>
      </c>
      <c r="H252" s="481" t="str">
        <v>Brazil</v>
      </c>
      <c r="I252" s="481" t="str">
        <v>USA</v>
      </c>
      <c r="J252" s="481" t="str">
        <v>Germany</v>
      </c>
      <c r="K252" s="481" t="str">
        <v>Netherlands</v>
      </c>
      <c r="L252" s="481" t="str">
        <v>IR Iran</v>
      </c>
      <c r="M252" s="481" t="str">
        <v>Cabo Verde</v>
      </c>
      <c r="N252" s="481" t="str">
        <v>France</v>
      </c>
      <c r="O252" s="481" t="str">
        <v>Austria</v>
      </c>
      <c r="P252" s="481" t="str">
        <v>Colombia</v>
      </c>
      <c r="Q252" s="490" t="str">
        <v>Croatia</v>
      </c>
    </row>
    <row r="253" spans="1:17" x14ac:dyDescent="0.2">
      <c r="A253" s="489">
        <v>250</v>
      </c>
      <c r="B253" s="481" t="str">
        <v>England</v>
      </c>
      <c r="C253" s="481" t="str">
        <v>Spain</v>
      </c>
      <c r="D253" s="481" t="str">
        <v>Argentina</v>
      </c>
      <c r="E253" s="481" t="str">
        <v>Japan</v>
      </c>
      <c r="F253" s="481" t="str">
        <v>Korea Republic</v>
      </c>
      <c r="G253" s="481" t="str">
        <v>Canada</v>
      </c>
      <c r="H253" s="481" t="str">
        <v>Morocco</v>
      </c>
      <c r="I253" s="481" t="str">
        <v>USA</v>
      </c>
      <c r="J253" s="481" t="str">
        <v>Cote d'Ivorie</v>
      </c>
      <c r="K253" s="481" t="str">
        <v>Netherlands</v>
      </c>
      <c r="L253" s="481" t="str">
        <v>Belgium</v>
      </c>
      <c r="M253" s="481" t="str">
        <v>Spain</v>
      </c>
      <c r="N253" s="481" t="str">
        <v>France</v>
      </c>
      <c r="O253" s="481" t="str">
        <v>Argentina</v>
      </c>
      <c r="P253" s="481" t="str">
        <v>Portugal</v>
      </c>
      <c r="Q253" s="490" t="str">
        <v>England</v>
      </c>
    </row>
    <row r="254" spans="1:17" x14ac:dyDescent="0.2">
      <c r="A254" s="489">
        <v>251</v>
      </c>
      <c r="B254" s="481" t="str">
        <v>England</v>
      </c>
      <c r="C254" s="481" t="str">
        <v>Turkiye</v>
      </c>
      <c r="D254" s="481" t="str">
        <v>England</v>
      </c>
      <c r="E254" s="481" t="str">
        <v>France</v>
      </c>
      <c r="F254" s="481" t="str">
        <v>Mexico</v>
      </c>
      <c r="G254" s="481" t="str">
        <v>Switzerland</v>
      </c>
      <c r="H254" s="481" t="str">
        <v>Brazil</v>
      </c>
      <c r="I254" s="481" t="str">
        <v>USA</v>
      </c>
      <c r="J254" s="481" t="str">
        <v>Germany</v>
      </c>
      <c r="K254" s="481" t="str">
        <v>Tunisia</v>
      </c>
      <c r="L254" s="481" t="str">
        <v>IR Iran</v>
      </c>
      <c r="M254" s="481" t="str">
        <v>Uruguay</v>
      </c>
      <c r="N254" s="481" t="str">
        <v>France</v>
      </c>
      <c r="O254" s="481" t="str">
        <v>Algeria</v>
      </c>
      <c r="P254" s="481" t="str">
        <v>Portugal</v>
      </c>
      <c r="Q254" s="490" t="str">
        <v>Croatia</v>
      </c>
    </row>
    <row r="255" spans="1:17" x14ac:dyDescent="0.2">
      <c r="A255" s="489">
        <v>252</v>
      </c>
      <c r="B255" s="481" t="str">
        <v>Morocco</v>
      </c>
      <c r="C255" s="481" t="str">
        <v>Argentina</v>
      </c>
      <c r="D255" s="481" t="str">
        <v>Brazil</v>
      </c>
      <c r="E255" s="481" t="str">
        <v>Cote d'Ivorie</v>
      </c>
      <c r="F255" s="481" t="str">
        <v>Korea Republic</v>
      </c>
      <c r="G255" s="481" t="str">
        <v>Qatar</v>
      </c>
      <c r="H255" s="481" t="str">
        <v>Morocco</v>
      </c>
      <c r="I255" s="481" t="str">
        <v>USA</v>
      </c>
      <c r="J255" s="481" t="str">
        <v>Germany</v>
      </c>
      <c r="K255" s="481" t="str">
        <v>Netherlands</v>
      </c>
      <c r="L255" s="481" t="str">
        <v>Egypt</v>
      </c>
      <c r="M255" s="481" t="str">
        <v>Uruguay</v>
      </c>
      <c r="N255" s="481" t="str">
        <v>Senegal</v>
      </c>
      <c r="O255" s="481" t="str">
        <v>Argentina</v>
      </c>
      <c r="P255" s="481" t="str">
        <v>Colombia</v>
      </c>
      <c r="Q255" s="490" t="str">
        <v>Croatia</v>
      </c>
    </row>
    <row r="256" spans="1:17" x14ac:dyDescent="0.2">
      <c r="A256" s="489">
        <v>253</v>
      </c>
      <c r="B256" s="481" t="str">
        <v>Brazil</v>
      </c>
      <c r="C256" s="481" t="str">
        <v>Panama</v>
      </c>
      <c r="D256" s="481" t="str">
        <v>Argentina</v>
      </c>
      <c r="E256" s="481" t="str">
        <v>Spain</v>
      </c>
      <c r="F256" s="481" t="str">
        <v>Mexico</v>
      </c>
      <c r="G256" s="481" t="str">
        <v>Switzerland</v>
      </c>
      <c r="H256" s="481" t="str">
        <v>Scotland</v>
      </c>
      <c r="I256" s="481" t="str">
        <v>USA</v>
      </c>
      <c r="J256" s="481" t="str">
        <v>Germany</v>
      </c>
      <c r="K256" s="481" t="str">
        <v>Sweden</v>
      </c>
      <c r="L256" s="481" t="str">
        <v>Belgium</v>
      </c>
      <c r="M256" s="481" t="str">
        <v>Uruguay</v>
      </c>
      <c r="N256" s="481" t="str">
        <v>France</v>
      </c>
      <c r="O256" s="481" t="str">
        <v>Algeria</v>
      </c>
      <c r="P256" s="481" t="str">
        <v>Colombia</v>
      </c>
      <c r="Q256" s="490" t="str">
        <v>England</v>
      </c>
    </row>
    <row r="257" spans="1:17" x14ac:dyDescent="0.2">
      <c r="A257" s="489">
        <v>254</v>
      </c>
      <c r="B257" s="481" t="str">
        <v>Spain</v>
      </c>
      <c r="C257" s="481" t="str">
        <v>Senegal</v>
      </c>
      <c r="D257" s="481" t="str">
        <v>Croatia</v>
      </c>
      <c r="E257" s="481" t="str">
        <v>Belgium</v>
      </c>
      <c r="F257" s="481" t="str">
        <v>Mexico</v>
      </c>
      <c r="G257" s="481" t="str">
        <v>Bosnia-Herzegovina</v>
      </c>
      <c r="H257" s="481" t="str">
        <v>Brazil</v>
      </c>
      <c r="I257" s="481" t="str">
        <v>USA</v>
      </c>
      <c r="J257" s="481" t="str">
        <v>Cote d'Ivorie</v>
      </c>
      <c r="K257" s="481" t="str">
        <v>Sweden</v>
      </c>
      <c r="L257" s="481" t="str">
        <v>Belgium</v>
      </c>
      <c r="M257" s="481" t="str">
        <v>Uruguay</v>
      </c>
      <c r="N257" s="481" t="str">
        <v>Senegal</v>
      </c>
      <c r="O257" s="481" t="str">
        <v>Argentina</v>
      </c>
      <c r="P257" s="481" t="str">
        <v>Portugal</v>
      </c>
      <c r="Q257" s="490" t="str">
        <v>England</v>
      </c>
    </row>
    <row r="258" spans="1:17" x14ac:dyDescent="0.2">
      <c r="A258" s="489">
        <v>255</v>
      </c>
      <c r="B258" s="481" t="str">
        <v>Belgium</v>
      </c>
      <c r="C258" s="481" t="str">
        <v>Senegal</v>
      </c>
      <c r="D258" s="481" t="str">
        <v>England</v>
      </c>
      <c r="E258" s="481" t="str">
        <v>Morocco</v>
      </c>
      <c r="F258" s="481" t="str">
        <v>Mexico</v>
      </c>
      <c r="G258" s="481" t="str">
        <v>Qatar</v>
      </c>
      <c r="H258" s="481" t="str">
        <v>Morocco</v>
      </c>
      <c r="I258" s="481" t="str">
        <v>USA</v>
      </c>
      <c r="J258" s="481" t="str">
        <v>Ecuador</v>
      </c>
      <c r="K258" s="481" t="str">
        <v>Netherlands</v>
      </c>
      <c r="L258" s="481" t="str">
        <v>Belgium</v>
      </c>
      <c r="M258" s="481" t="str">
        <v>Uruguay</v>
      </c>
      <c r="N258" s="481" t="str">
        <v>Norway</v>
      </c>
      <c r="O258" s="481" t="str">
        <v>Argentina</v>
      </c>
      <c r="P258" s="481" t="str">
        <v>Portugal</v>
      </c>
      <c r="Q258" s="490" t="str">
        <v>England</v>
      </c>
    </row>
    <row r="259" spans="1:17" x14ac:dyDescent="0.2">
      <c r="A259" s="489">
        <v>256</v>
      </c>
      <c r="B259" s="481" t="str">
        <v>Morocco</v>
      </c>
      <c r="C259" s="481" t="str">
        <v>Argentina</v>
      </c>
      <c r="D259" s="481" t="str">
        <v>France</v>
      </c>
      <c r="E259" s="481" t="str">
        <v>Austria</v>
      </c>
      <c r="F259" s="481" t="str">
        <v>Korea Republic</v>
      </c>
      <c r="G259" s="481" t="str">
        <v>Switzerland</v>
      </c>
      <c r="H259" s="481" t="str">
        <v>Morocco</v>
      </c>
      <c r="I259" s="481" t="str">
        <v>USA</v>
      </c>
      <c r="J259" s="481" t="str">
        <v>Cote d'Ivorie</v>
      </c>
      <c r="K259" s="481" t="str">
        <v>Netherlands</v>
      </c>
      <c r="L259" s="481" t="str">
        <v>Egypt</v>
      </c>
      <c r="M259" s="481" t="str">
        <v>Uruguay</v>
      </c>
      <c r="N259" s="481" t="str">
        <v>France</v>
      </c>
      <c r="O259" s="481" t="str">
        <v>Argentina</v>
      </c>
      <c r="P259" s="481" t="str">
        <v>Portugal</v>
      </c>
      <c r="Q259" s="490" t="str">
        <v>Panama</v>
      </c>
    </row>
    <row r="260" spans="1:17" x14ac:dyDescent="0.2">
      <c r="A260" s="489">
        <v>257</v>
      </c>
      <c r="B260" s="481" t="str">
        <v>Spain</v>
      </c>
      <c r="C260" s="481" t="str">
        <v>Korea Republic</v>
      </c>
      <c r="D260" s="481" t="str">
        <v>Brazil</v>
      </c>
      <c r="E260" s="481" t="str">
        <v>USA</v>
      </c>
      <c r="F260" s="481" t="str">
        <v>Mexico</v>
      </c>
      <c r="G260" s="481" t="str">
        <v>Switzerland</v>
      </c>
      <c r="H260" s="481" t="str">
        <v>Brazil</v>
      </c>
      <c r="I260" s="481" t="str">
        <v>Turkiye</v>
      </c>
      <c r="J260" s="481" t="str">
        <v>Ecuador</v>
      </c>
      <c r="K260" s="481" t="str">
        <v>Netherlands</v>
      </c>
      <c r="L260" s="481" t="str">
        <v>Belgium</v>
      </c>
      <c r="M260" s="481" t="str">
        <v>Spain</v>
      </c>
      <c r="N260" s="481" t="str">
        <v>Senegal</v>
      </c>
      <c r="O260" s="481" t="str">
        <v>Argentina</v>
      </c>
      <c r="P260" s="481" t="str">
        <v>Portugal</v>
      </c>
      <c r="Q260" s="490" t="str">
        <v>England</v>
      </c>
    </row>
    <row r="261" spans="1:17" x14ac:dyDescent="0.2">
      <c r="A261" s="489">
        <v>258</v>
      </c>
      <c r="B261" s="481" t="str">
        <v>Argentina</v>
      </c>
      <c r="C261" s="481" t="str">
        <v>Australia</v>
      </c>
      <c r="D261" s="481" t="str">
        <v>Spain</v>
      </c>
      <c r="E261" s="481" t="str">
        <v>Argentina</v>
      </c>
      <c r="F261" s="481" t="str">
        <v>Mexico</v>
      </c>
      <c r="G261" s="481" t="str">
        <v>Bosnia-Herzegovina</v>
      </c>
      <c r="H261" s="481" t="str">
        <v>Brazil</v>
      </c>
      <c r="I261" s="481" t="str">
        <v>Australia</v>
      </c>
      <c r="J261" s="481" t="str">
        <v>Germany</v>
      </c>
      <c r="K261" s="481" t="str">
        <v>Japan</v>
      </c>
      <c r="L261" s="481" t="str">
        <v>Belgium</v>
      </c>
      <c r="M261" s="481" t="str">
        <v>Spain</v>
      </c>
      <c r="N261" s="481" t="str">
        <v>Senegal</v>
      </c>
      <c r="O261" s="481" t="str">
        <v>Austria</v>
      </c>
      <c r="P261" s="481" t="str">
        <v>Colombia</v>
      </c>
      <c r="Q261" s="490" t="str">
        <v>England</v>
      </c>
    </row>
    <row r="262" spans="1:17" x14ac:dyDescent="0.2">
      <c r="A262" s="489">
        <v>259</v>
      </c>
      <c r="B262" s="481" t="str">
        <v>Spain</v>
      </c>
      <c r="C262" s="481" t="str">
        <v>Germany</v>
      </c>
      <c r="D262" s="481" t="str">
        <v>Norway</v>
      </c>
      <c r="E262" s="481" t="str">
        <v>Portugal</v>
      </c>
      <c r="F262" s="481" t="str">
        <v>Mexico</v>
      </c>
      <c r="G262" s="481" t="str">
        <v>Canada</v>
      </c>
      <c r="H262" s="481" t="str">
        <v>Brazil</v>
      </c>
      <c r="I262" s="481" t="str">
        <v>USA</v>
      </c>
      <c r="J262" s="481" t="str">
        <v>Germany</v>
      </c>
      <c r="K262" s="481" t="str">
        <v>Netherlands</v>
      </c>
      <c r="L262" s="481" t="str">
        <v>IR Iran</v>
      </c>
      <c r="M262" s="481" t="str">
        <v>Spain</v>
      </c>
      <c r="N262" s="481" t="str">
        <v>France</v>
      </c>
      <c r="O262" s="481" t="str">
        <v>Austria</v>
      </c>
      <c r="P262" s="481" t="str">
        <v>Portugal</v>
      </c>
      <c r="Q262" s="490" t="str">
        <v>England</v>
      </c>
    </row>
    <row r="263" spans="1:17" x14ac:dyDescent="0.2">
      <c r="A263" s="489">
        <v>260</v>
      </c>
      <c r="B263" s="481" t="str">
        <v>Brazil</v>
      </c>
      <c r="C263" s="481" t="str">
        <v>Austria</v>
      </c>
      <c r="D263" s="481" t="str">
        <v>Japan</v>
      </c>
      <c r="E263" s="481" t="str">
        <v>Mexico</v>
      </c>
      <c r="F263" s="481" t="str">
        <v>Korea Republic</v>
      </c>
      <c r="G263" s="481" t="str">
        <v>Switzerland</v>
      </c>
      <c r="H263" s="481" t="str">
        <v>Brazil</v>
      </c>
      <c r="I263" s="481" t="str">
        <v>USA</v>
      </c>
      <c r="J263" s="481" t="str">
        <v>Germany</v>
      </c>
      <c r="K263" s="481" t="str">
        <v>Sweden</v>
      </c>
      <c r="L263" s="481" t="str">
        <v>Egypt</v>
      </c>
      <c r="M263" s="481" t="str">
        <v>Cabo Verde</v>
      </c>
      <c r="N263" s="481" t="str">
        <v>Norway</v>
      </c>
      <c r="O263" s="481" t="str">
        <v>Argentina</v>
      </c>
      <c r="P263" s="481" t="str">
        <v>Portugal</v>
      </c>
      <c r="Q263" s="490" t="str">
        <v>England</v>
      </c>
    </row>
    <row r="264" spans="1:17" x14ac:dyDescent="0.2">
      <c r="A264" s="489">
        <v>261</v>
      </c>
      <c r="B264" s="481" t="str">
        <v>France</v>
      </c>
      <c r="C264" s="481" t="str">
        <v>Japan</v>
      </c>
      <c r="D264" s="481" t="str">
        <v>Colombia</v>
      </c>
      <c r="E264" s="481" t="str">
        <v>USA</v>
      </c>
      <c r="F264" s="481" t="str">
        <v>Mexico</v>
      </c>
      <c r="G264" s="481" t="str">
        <v>Qatar</v>
      </c>
      <c r="H264" s="481" t="str">
        <v>Brazil</v>
      </c>
      <c r="I264" s="481" t="str">
        <v>USA</v>
      </c>
      <c r="J264" s="481" t="str">
        <v>Germany</v>
      </c>
      <c r="K264" s="481" t="str">
        <v>Japan</v>
      </c>
      <c r="L264" s="481" t="str">
        <v>Belgium</v>
      </c>
      <c r="M264" s="481" t="str">
        <v>Spain</v>
      </c>
      <c r="N264" s="481" t="str">
        <v>France</v>
      </c>
      <c r="O264" s="481" t="str">
        <v>Argentina</v>
      </c>
      <c r="P264" s="481" t="str">
        <v>Portugal</v>
      </c>
      <c r="Q264" s="490" t="str">
        <v>England</v>
      </c>
    </row>
    <row r="265" spans="1:17" x14ac:dyDescent="0.2">
      <c r="A265" s="489">
        <v>262</v>
      </c>
      <c r="B265" s="481" t="str">
        <v>Germany</v>
      </c>
      <c r="C265" s="481" t="str">
        <v>Brazil</v>
      </c>
      <c r="D265" s="481" t="str">
        <v>England</v>
      </c>
      <c r="E265" s="481" t="str">
        <v>Egypt</v>
      </c>
      <c r="F265" s="481" t="str">
        <v>Mexico</v>
      </c>
      <c r="G265" s="481" t="str">
        <v>Canada</v>
      </c>
      <c r="H265" s="481" t="str">
        <v>Morocco</v>
      </c>
      <c r="I265" s="481" t="str">
        <v>USA</v>
      </c>
      <c r="J265" s="481" t="str">
        <v>Germany</v>
      </c>
      <c r="K265" s="481" t="str">
        <v>Japan</v>
      </c>
      <c r="L265" s="481" t="str">
        <v>IR Iran</v>
      </c>
      <c r="M265" s="481" t="str">
        <v>Spain</v>
      </c>
      <c r="N265" s="481" t="str">
        <v>France</v>
      </c>
      <c r="O265" s="481" t="str">
        <v>Argentina</v>
      </c>
      <c r="P265" s="481" t="str">
        <v>Colombia</v>
      </c>
      <c r="Q265" s="490" t="str">
        <v>England</v>
      </c>
    </row>
    <row r="266" spans="1:17" x14ac:dyDescent="0.2">
      <c r="A266" s="489">
        <v>263</v>
      </c>
      <c r="B266" s="481" t="str">
        <v>Brazil</v>
      </c>
      <c r="C266" s="481" t="str">
        <v>Belgium</v>
      </c>
      <c r="D266" s="481" t="str">
        <v>Colombia</v>
      </c>
      <c r="E266" s="481" t="str">
        <v>England</v>
      </c>
      <c r="F266" s="481" t="str">
        <v>Mexico</v>
      </c>
      <c r="G266" s="481" t="str">
        <v>Switzerland</v>
      </c>
      <c r="H266" s="481" t="str">
        <v>Morocco</v>
      </c>
      <c r="I266" s="481" t="str">
        <v>USA</v>
      </c>
      <c r="J266" s="481" t="str">
        <v>Germany</v>
      </c>
      <c r="K266" s="481" t="str">
        <v>Netherlands</v>
      </c>
      <c r="L266" s="481" t="str">
        <v>IR Iran</v>
      </c>
      <c r="M266" s="481" t="str">
        <v>Cabo Verde</v>
      </c>
      <c r="N266" s="481" t="str">
        <v>Senegal</v>
      </c>
      <c r="O266" s="481" t="str">
        <v>Argentina</v>
      </c>
      <c r="P266" s="481" t="str">
        <v>Portugal</v>
      </c>
      <c r="Q266" s="490" t="str">
        <v>England</v>
      </c>
    </row>
    <row r="267" spans="1:17" x14ac:dyDescent="0.2">
      <c r="A267" s="489">
        <v>264</v>
      </c>
      <c r="B267" s="481" t="str">
        <v>Spain</v>
      </c>
      <c r="C267" s="481" t="str">
        <v>Germany</v>
      </c>
      <c r="D267" s="481" t="str">
        <v>Mexico</v>
      </c>
      <c r="E267" s="481" t="str">
        <v>Brazil</v>
      </c>
      <c r="F267" s="481" t="str">
        <v>Mexico</v>
      </c>
      <c r="G267" s="481" t="str">
        <v>Canada</v>
      </c>
      <c r="H267" s="481" t="str">
        <v>Brazil</v>
      </c>
      <c r="I267" s="481" t="str">
        <v>USA</v>
      </c>
      <c r="J267" s="481" t="str">
        <v>Germany</v>
      </c>
      <c r="K267" s="481" t="str">
        <v>Sweden</v>
      </c>
      <c r="L267" s="481" t="str">
        <v>Belgium</v>
      </c>
      <c r="M267" s="481" t="str">
        <v>Uruguay</v>
      </c>
      <c r="N267" s="481" t="str">
        <v>Norway</v>
      </c>
      <c r="O267" s="481" t="str">
        <v>Argentina</v>
      </c>
      <c r="P267" s="481" t="str">
        <v>Portugal</v>
      </c>
      <c r="Q267" s="490" t="str">
        <v>England</v>
      </c>
    </row>
    <row r="268" spans="1:17" x14ac:dyDescent="0.2">
      <c r="A268" s="489">
        <v>265</v>
      </c>
      <c r="B268" s="481" t="str">
        <v>Belgium</v>
      </c>
      <c r="C268" s="481" t="str">
        <v>Portugal</v>
      </c>
      <c r="D268" s="481" t="str">
        <v>Korea Republic</v>
      </c>
      <c r="E268" s="481" t="str">
        <v>Paraguay</v>
      </c>
      <c r="F268" s="481" t="str">
        <v>Korea Republic</v>
      </c>
      <c r="G268" s="481" t="str">
        <v>Canada</v>
      </c>
      <c r="H268" s="481" t="str">
        <v>Morocco</v>
      </c>
      <c r="I268" s="481" t="str">
        <v>USA</v>
      </c>
      <c r="J268" s="481" t="str">
        <v>Germany</v>
      </c>
      <c r="K268" s="481" t="str">
        <v>Sweden</v>
      </c>
      <c r="L268" s="481" t="str">
        <v>IR Iran</v>
      </c>
      <c r="M268" s="481" t="str">
        <v>Spain</v>
      </c>
      <c r="N268" s="481" t="str">
        <v>Iraq</v>
      </c>
      <c r="O268" s="481" t="str">
        <v>Austria</v>
      </c>
      <c r="P268" s="481" t="str">
        <v>Portugal</v>
      </c>
      <c r="Q268" s="490" t="str">
        <v>Croatia</v>
      </c>
    </row>
    <row r="269" spans="1:17" x14ac:dyDescent="0.2">
      <c r="A269" s="489">
        <v>266</v>
      </c>
      <c r="B269" s="481" t="str">
        <v>Brazil</v>
      </c>
      <c r="C269" s="481" t="str">
        <v>Argentina</v>
      </c>
      <c r="D269" s="481" t="str">
        <v>Brazil</v>
      </c>
      <c r="E269" s="481" t="str">
        <v>Mexico</v>
      </c>
      <c r="F269" s="481" t="str">
        <v>Korea Republic</v>
      </c>
      <c r="G269" s="481" t="str">
        <v>Qatar</v>
      </c>
      <c r="H269" s="481" t="str">
        <v>Morocco</v>
      </c>
      <c r="I269" s="481" t="str">
        <v>Australia</v>
      </c>
      <c r="J269" s="481" t="str">
        <v>Germany</v>
      </c>
      <c r="K269" s="481" t="str">
        <v>Japan</v>
      </c>
      <c r="L269" s="481" t="str">
        <v>Belgium</v>
      </c>
      <c r="M269" s="481" t="str">
        <v>Spain</v>
      </c>
      <c r="N269" s="481" t="str">
        <v>France</v>
      </c>
      <c r="O269" s="481" t="str">
        <v>Austria</v>
      </c>
      <c r="P269" s="481" t="str">
        <v>Portugal</v>
      </c>
      <c r="Q269" s="490" t="str">
        <v>England</v>
      </c>
    </row>
    <row r="270" spans="1:17" x14ac:dyDescent="0.2">
      <c r="A270" s="489">
        <v>267</v>
      </c>
      <c r="B270" s="481" t="str">
        <v>Senegal</v>
      </c>
      <c r="C270" s="481" t="str">
        <v>Sweden</v>
      </c>
      <c r="D270" s="481" t="str">
        <v>Ecuador</v>
      </c>
      <c r="E270" s="481" t="str">
        <v>Germany</v>
      </c>
      <c r="F270" s="481" t="str">
        <v>Korea Republic</v>
      </c>
      <c r="G270" s="481" t="str">
        <v>Switzerland</v>
      </c>
      <c r="H270" s="481" t="str">
        <v>Brazil</v>
      </c>
      <c r="I270" s="481" t="str">
        <v>USA</v>
      </c>
      <c r="J270" s="481" t="str">
        <v>Germany</v>
      </c>
      <c r="K270" s="481" t="str">
        <v>Tunisia</v>
      </c>
      <c r="L270" s="481" t="str">
        <v>Belgium</v>
      </c>
      <c r="M270" s="481" t="str">
        <v>Spain</v>
      </c>
      <c r="N270" s="481" t="str">
        <v>France</v>
      </c>
      <c r="O270" s="481" t="str">
        <v>Austria</v>
      </c>
      <c r="P270" s="481" t="str">
        <v>Colombia</v>
      </c>
      <c r="Q270" s="490" t="str">
        <v>Croatia</v>
      </c>
    </row>
    <row r="271" spans="1:17" x14ac:dyDescent="0.2">
      <c r="A271" s="489">
        <v>268</v>
      </c>
      <c r="B271" s="481" t="str">
        <v>Spain</v>
      </c>
      <c r="C271" s="481" t="str">
        <v>Belgium</v>
      </c>
      <c r="D271" s="481" t="str">
        <v>Portugal</v>
      </c>
      <c r="E271" s="481" t="str">
        <v>Brazil</v>
      </c>
      <c r="F271" s="481" t="str">
        <v>Czechia</v>
      </c>
      <c r="G271" s="481" t="str">
        <v>Canada</v>
      </c>
      <c r="H271" s="481" t="str">
        <v>Brazil</v>
      </c>
      <c r="I271" s="481" t="str">
        <v>USA</v>
      </c>
      <c r="J271" s="481" t="str">
        <v>Germany</v>
      </c>
      <c r="K271" s="481" t="str">
        <v>Japan</v>
      </c>
      <c r="L271" s="481" t="str">
        <v>Egypt</v>
      </c>
      <c r="M271" s="481" t="str">
        <v>Spain</v>
      </c>
      <c r="N271" s="481" t="str">
        <v>Senegal</v>
      </c>
      <c r="O271" s="481" t="str">
        <v>Austria</v>
      </c>
      <c r="P271" s="481" t="str">
        <v>Portugal</v>
      </c>
      <c r="Q271" s="490" t="str">
        <v>England</v>
      </c>
    </row>
    <row r="272" spans="1:17" x14ac:dyDescent="0.2">
      <c r="A272" s="489">
        <v>269</v>
      </c>
      <c r="B272" s="481" t="str">
        <v>Colombia</v>
      </c>
      <c r="C272" s="481" t="str">
        <v>Argentina</v>
      </c>
      <c r="D272" s="481" t="str">
        <v>Brazil</v>
      </c>
      <c r="E272" s="481" t="str">
        <v>Mexico</v>
      </c>
      <c r="F272" s="481" t="str">
        <v>Korea Republic</v>
      </c>
      <c r="G272" s="481" t="str">
        <v>Canada</v>
      </c>
      <c r="H272" s="481" t="str">
        <v>Morocco</v>
      </c>
      <c r="I272" s="481" t="str">
        <v>USA</v>
      </c>
      <c r="J272" s="481" t="str">
        <v>Germany</v>
      </c>
      <c r="K272" s="481" t="str">
        <v>Japan</v>
      </c>
      <c r="L272" s="481" t="str">
        <v>Belgium</v>
      </c>
      <c r="M272" s="481" t="str">
        <v>Uruguay</v>
      </c>
      <c r="N272" s="481" t="str">
        <v>France</v>
      </c>
      <c r="O272" s="481" t="str">
        <v>Austria</v>
      </c>
      <c r="P272" s="481" t="str">
        <v>Colombia</v>
      </c>
      <c r="Q272" s="490" t="str">
        <v>Panama</v>
      </c>
    </row>
    <row r="273" spans="1:17" x14ac:dyDescent="0.2">
      <c r="A273" s="489">
        <v>270</v>
      </c>
      <c r="B273" s="481" t="str">
        <v>Norway</v>
      </c>
      <c r="C273" s="481" t="str">
        <v>France</v>
      </c>
      <c r="D273" s="481" t="str">
        <v>France</v>
      </c>
      <c r="E273" s="481" t="str">
        <v>Germany</v>
      </c>
      <c r="F273" s="481" t="str">
        <v>Korea Republic</v>
      </c>
      <c r="G273" s="481" t="str">
        <v>Switzerland</v>
      </c>
      <c r="H273" s="481" t="str">
        <v>Brazil</v>
      </c>
      <c r="I273" s="481" t="str">
        <v>Australia</v>
      </c>
      <c r="J273" s="481" t="str">
        <v>Germany</v>
      </c>
      <c r="K273" s="481" t="str">
        <v>Sweden</v>
      </c>
      <c r="L273" s="481" t="str">
        <v>Belgium</v>
      </c>
      <c r="M273" s="481" t="str">
        <v>Spain</v>
      </c>
      <c r="N273" s="481" t="str">
        <v>France</v>
      </c>
      <c r="O273" s="481" t="str">
        <v>Austria</v>
      </c>
      <c r="P273" s="481" t="str">
        <v>Colombia</v>
      </c>
      <c r="Q273" s="490" t="str">
        <v>Croatia</v>
      </c>
    </row>
    <row r="274" spans="1:17" x14ac:dyDescent="0.2">
      <c r="A274" s="489">
        <v>271</v>
      </c>
      <c r="B274" s="481" t="str">
        <v>France</v>
      </c>
      <c r="C274" s="481" t="str">
        <v>Argentina</v>
      </c>
      <c r="D274" s="481" t="str">
        <v>Croatia</v>
      </c>
      <c r="E274" s="481" t="str">
        <v>Netherlands</v>
      </c>
      <c r="F274" s="481" t="str">
        <v>Korea Republic</v>
      </c>
      <c r="G274" s="481" t="str">
        <v>Switzerland</v>
      </c>
      <c r="H274" s="481" t="str">
        <v>Morocco</v>
      </c>
      <c r="I274" s="481" t="str">
        <v>USA</v>
      </c>
      <c r="J274" s="481" t="str">
        <v>Cote d'Ivorie</v>
      </c>
      <c r="K274" s="481" t="str">
        <v>Netherlands</v>
      </c>
      <c r="L274" s="481" t="str">
        <v>IR Iran</v>
      </c>
      <c r="M274" s="481" t="str">
        <v>Spain</v>
      </c>
      <c r="N274" s="481" t="str">
        <v>Senegal</v>
      </c>
      <c r="O274" s="481" t="str">
        <v>Argentina</v>
      </c>
      <c r="P274" s="481" t="str">
        <v>Portugal</v>
      </c>
      <c r="Q274" s="490" t="str">
        <v>England</v>
      </c>
    </row>
    <row r="275" spans="1:17" x14ac:dyDescent="0.2">
      <c r="A275" s="489">
        <v>272</v>
      </c>
      <c r="B275" s="481" t="str">
        <v>Germany</v>
      </c>
      <c r="C275" s="481" t="str">
        <v>France</v>
      </c>
      <c r="D275" s="481" t="str">
        <v>Germany</v>
      </c>
      <c r="E275" s="481" t="str">
        <v>Spain</v>
      </c>
      <c r="F275" s="481" t="str">
        <v>Mexico</v>
      </c>
      <c r="G275" s="481" t="str">
        <v>Switzerland</v>
      </c>
      <c r="H275" s="481" t="str">
        <v>Morocco</v>
      </c>
      <c r="I275" s="481" t="str">
        <v>USA</v>
      </c>
      <c r="J275" s="481" t="str">
        <v>Germany</v>
      </c>
      <c r="K275" s="481" t="str">
        <v>Netherlands</v>
      </c>
      <c r="L275" s="481" t="str">
        <v>Belgium</v>
      </c>
      <c r="M275" s="481" t="str">
        <v>Uruguay</v>
      </c>
      <c r="N275" s="481" t="str">
        <v>France</v>
      </c>
      <c r="O275" s="481" t="str">
        <v>Argentina</v>
      </c>
      <c r="P275" s="481" t="str">
        <v>Colombia</v>
      </c>
      <c r="Q275" s="490" t="str">
        <v>Panama</v>
      </c>
    </row>
    <row r="276" spans="1:17" x14ac:dyDescent="0.2">
      <c r="A276" s="489">
        <v>273</v>
      </c>
      <c r="B276" s="481" t="str">
        <v>Argentina</v>
      </c>
      <c r="C276" s="481" t="str">
        <v>Germany</v>
      </c>
      <c r="D276" s="481" t="str">
        <v>Spain</v>
      </c>
      <c r="E276" s="481" t="str">
        <v>Sweden</v>
      </c>
      <c r="F276" s="481" t="str">
        <v>Mexico</v>
      </c>
      <c r="G276" s="481" t="str">
        <v>Qatar</v>
      </c>
      <c r="H276" s="481" t="str">
        <v>Morocco</v>
      </c>
      <c r="I276" s="481" t="str">
        <v>Australia</v>
      </c>
      <c r="J276" s="481" t="str">
        <v>Germany</v>
      </c>
      <c r="K276" s="481" t="str">
        <v>Netherlands</v>
      </c>
      <c r="L276" s="481" t="str">
        <v>Belgium</v>
      </c>
      <c r="M276" s="481" t="str">
        <v>Saudi Arabia</v>
      </c>
      <c r="N276" s="481" t="str">
        <v>France</v>
      </c>
      <c r="O276" s="481" t="str">
        <v>Austria</v>
      </c>
      <c r="P276" s="481" t="str">
        <v>Uzbekistan</v>
      </c>
      <c r="Q276" s="490" t="str">
        <v>Croatia</v>
      </c>
    </row>
    <row r="277" spans="1:17" x14ac:dyDescent="0.2">
      <c r="A277" s="489">
        <v>274</v>
      </c>
      <c r="B277" s="481" t="str">
        <v>Brazil</v>
      </c>
      <c r="C277" s="481" t="str">
        <v>Portugal</v>
      </c>
      <c r="D277" s="481" t="str">
        <v>England</v>
      </c>
      <c r="E277" s="481" t="str">
        <v>Brazil</v>
      </c>
      <c r="F277" s="481" t="str">
        <v>Korea Republic</v>
      </c>
      <c r="G277" s="481" t="str">
        <v>Switzerland</v>
      </c>
      <c r="H277" s="481" t="str">
        <v>Brazil</v>
      </c>
      <c r="I277" s="481" t="str">
        <v>Australia</v>
      </c>
      <c r="J277" s="481" t="str">
        <v>Germany</v>
      </c>
      <c r="K277" s="481" t="str">
        <v>Japan</v>
      </c>
      <c r="L277" s="481" t="str">
        <v>Belgium</v>
      </c>
      <c r="M277" s="481" t="str">
        <v>Uruguay</v>
      </c>
      <c r="N277" s="481" t="str">
        <v>France</v>
      </c>
      <c r="O277" s="481" t="str">
        <v>Argentina</v>
      </c>
      <c r="P277" s="481" t="str">
        <v>Colombia</v>
      </c>
      <c r="Q277" s="490" t="str">
        <v>England</v>
      </c>
    </row>
    <row r="278" spans="1:17" x14ac:dyDescent="0.2">
      <c r="A278" s="489">
        <v>275</v>
      </c>
      <c r="B278" s="481" t="str">
        <v>England</v>
      </c>
      <c r="C278" s="481" t="str">
        <v>Croatia</v>
      </c>
      <c r="D278" s="481" t="str">
        <v>Spain</v>
      </c>
      <c r="E278" s="481" t="str">
        <v>Brazil</v>
      </c>
      <c r="F278" s="481" t="str">
        <v>South Africa</v>
      </c>
      <c r="G278" s="481" t="str">
        <v>Switzerland</v>
      </c>
      <c r="H278" s="481" t="str">
        <v>Brazil</v>
      </c>
      <c r="I278" s="481" t="str">
        <v>USA</v>
      </c>
      <c r="J278" s="481" t="str">
        <v>Cote d'Ivorie</v>
      </c>
      <c r="K278" s="481" t="str">
        <v>Netherlands</v>
      </c>
      <c r="L278" s="481" t="str">
        <v>IR Iran</v>
      </c>
      <c r="M278" s="481" t="str">
        <v>Spain</v>
      </c>
      <c r="N278" s="481" t="str">
        <v>France</v>
      </c>
      <c r="O278" s="481" t="str">
        <v>Argentina</v>
      </c>
      <c r="P278" s="481" t="str">
        <v>Portugal</v>
      </c>
      <c r="Q278" s="490" t="str">
        <v>England</v>
      </c>
    </row>
    <row r="279" spans="1:17" x14ac:dyDescent="0.2">
      <c r="A279" s="489">
        <v>276</v>
      </c>
      <c r="B279" s="481" t="str">
        <v>France</v>
      </c>
      <c r="C279" s="481" t="str">
        <v>France</v>
      </c>
      <c r="D279" s="481" t="str">
        <v>Germany</v>
      </c>
      <c r="E279" s="481" t="str">
        <v>Spain</v>
      </c>
      <c r="F279" s="481" t="str">
        <v>Korea Republic</v>
      </c>
      <c r="G279" s="481" t="str">
        <v>Qatar</v>
      </c>
      <c r="H279" s="481" t="str">
        <v>Morocco</v>
      </c>
      <c r="I279" s="481" t="str">
        <v>USA</v>
      </c>
      <c r="J279" s="481" t="str">
        <v>Germany</v>
      </c>
      <c r="K279" s="481" t="str">
        <v>Japan</v>
      </c>
      <c r="L279" s="481" t="str">
        <v>Belgium</v>
      </c>
      <c r="M279" s="481" t="str">
        <v>Saudi Arabia</v>
      </c>
      <c r="N279" s="481" t="str">
        <v>Senegal</v>
      </c>
      <c r="O279" s="481" t="str">
        <v>Argentina</v>
      </c>
      <c r="P279" s="481" t="str">
        <v>Colombia</v>
      </c>
      <c r="Q279" s="490" t="str">
        <v>England</v>
      </c>
    </row>
    <row r="280" spans="1:17" x14ac:dyDescent="0.2">
      <c r="A280" s="489">
        <v>277</v>
      </c>
      <c r="B280" s="481" t="str">
        <v>Netherlands</v>
      </c>
      <c r="C280" s="481" t="str">
        <v>Portugal</v>
      </c>
      <c r="D280" s="481" t="str">
        <v>Brazil</v>
      </c>
      <c r="E280" s="481" t="str">
        <v>Brazil</v>
      </c>
      <c r="F280" s="481" t="str">
        <v>Mexico</v>
      </c>
      <c r="G280" s="481" t="str">
        <v>Switzerland</v>
      </c>
      <c r="H280" s="481" t="str">
        <v>Brazil</v>
      </c>
      <c r="I280" s="481" t="str">
        <v>USA</v>
      </c>
      <c r="J280" s="481" t="str">
        <v>Germany</v>
      </c>
      <c r="K280" s="481" t="str">
        <v>Japan</v>
      </c>
      <c r="L280" s="481" t="str">
        <v>Egypt</v>
      </c>
      <c r="M280" s="481" t="str">
        <v>Spain</v>
      </c>
      <c r="N280" s="481" t="str">
        <v>France</v>
      </c>
      <c r="O280" s="481" t="str">
        <v>Argentina</v>
      </c>
      <c r="P280" s="481" t="str">
        <v>Colombia</v>
      </c>
      <c r="Q280" s="490" t="str">
        <v>England</v>
      </c>
    </row>
    <row r="281" spans="1:17" x14ac:dyDescent="0.2">
      <c r="A281" s="489">
        <v>278</v>
      </c>
      <c r="B281" s="481" t="str">
        <v>Mexico</v>
      </c>
      <c r="C281" s="481" t="str">
        <v>Panama</v>
      </c>
      <c r="D281" s="481" t="str">
        <v>Portugal</v>
      </c>
      <c r="E281" s="481" t="str">
        <v>Colombia</v>
      </c>
      <c r="F281" s="481" t="str">
        <v>Mexico</v>
      </c>
      <c r="G281" s="481" t="str">
        <v>Switzerland</v>
      </c>
      <c r="H281" s="481" t="str">
        <v>Brazil</v>
      </c>
      <c r="I281" s="481" t="str">
        <v>USA</v>
      </c>
      <c r="J281" s="481" t="str">
        <v>Germany</v>
      </c>
      <c r="K281" s="481" t="str">
        <v>Netherlands</v>
      </c>
      <c r="L281" s="481" t="str">
        <v>Belgium</v>
      </c>
      <c r="M281" s="481" t="str">
        <v>Spain</v>
      </c>
      <c r="N281" s="481" t="str">
        <v>France</v>
      </c>
      <c r="O281" s="481" t="str">
        <v>Algeria</v>
      </c>
      <c r="P281" s="481" t="str">
        <v>Portugal</v>
      </c>
      <c r="Q281" s="490" t="str">
        <v>England</v>
      </c>
    </row>
    <row r="282" spans="1:17" x14ac:dyDescent="0.2">
      <c r="A282" s="489">
        <v>279</v>
      </c>
      <c r="B282" s="481" t="str">
        <v>Spain</v>
      </c>
      <c r="C282" s="481" t="str">
        <v>Uruguay</v>
      </c>
      <c r="D282" s="481" t="str">
        <v>Brazil</v>
      </c>
      <c r="E282" s="481" t="str">
        <v>USA</v>
      </c>
      <c r="F282" s="481" t="str">
        <v>Mexico</v>
      </c>
      <c r="G282" s="481" t="str">
        <v>Switzerland</v>
      </c>
      <c r="H282" s="481" t="str">
        <v>Brazil</v>
      </c>
      <c r="I282" s="481" t="str">
        <v>Australia</v>
      </c>
      <c r="J282" s="481" t="str">
        <v>Cote d'Ivorie</v>
      </c>
      <c r="K282" s="481" t="str">
        <v>Netherlands</v>
      </c>
      <c r="L282" s="481" t="str">
        <v>Egypt</v>
      </c>
      <c r="M282" s="481" t="str">
        <v>Spain</v>
      </c>
      <c r="N282" s="481" t="str">
        <v>France</v>
      </c>
      <c r="O282" s="481" t="str">
        <v>Argentina</v>
      </c>
      <c r="P282" s="481" t="str">
        <v>Portugal</v>
      </c>
      <c r="Q282" s="490" t="str">
        <v>Croatia</v>
      </c>
    </row>
    <row r="283" spans="1:17" x14ac:dyDescent="0.2">
      <c r="A283" s="489">
        <v>280</v>
      </c>
      <c r="B283" s="481" t="str">
        <v>Portugal</v>
      </c>
      <c r="C283" s="481" t="str">
        <v>Portugal</v>
      </c>
      <c r="D283" s="481" t="str">
        <v>Germany</v>
      </c>
      <c r="E283" s="481" t="str">
        <v>Norway</v>
      </c>
      <c r="F283" s="481" t="str">
        <v>Mexico</v>
      </c>
      <c r="G283" s="481" t="str">
        <v>Switzerland</v>
      </c>
      <c r="H283" s="481" t="str">
        <v>Morocco</v>
      </c>
      <c r="I283" s="481" t="str">
        <v>Australia</v>
      </c>
      <c r="J283" s="481" t="str">
        <v>Germany</v>
      </c>
      <c r="K283" s="481" t="str">
        <v>Japan</v>
      </c>
      <c r="L283" s="481" t="str">
        <v>Belgium</v>
      </c>
      <c r="M283" s="481" t="str">
        <v>Cabo Verde</v>
      </c>
      <c r="N283" s="481" t="str">
        <v>France</v>
      </c>
      <c r="O283" s="481" t="str">
        <v>Argentina</v>
      </c>
      <c r="P283" s="481" t="str">
        <v>Portugal</v>
      </c>
      <c r="Q283" s="490" t="str">
        <v>Croatia</v>
      </c>
    </row>
    <row r="284" spans="1:17" x14ac:dyDescent="0.2">
      <c r="A284" s="489">
        <v>281</v>
      </c>
      <c r="B284" s="481" t="str">
        <v>England</v>
      </c>
      <c r="C284" s="481" t="str">
        <v>Switzerland</v>
      </c>
      <c r="D284" s="481" t="str">
        <v>Austria</v>
      </c>
      <c r="E284" s="481" t="str">
        <v>Ecuador</v>
      </c>
      <c r="F284" s="481" t="str">
        <v>Mexico</v>
      </c>
      <c r="G284" s="481" t="str">
        <v>Qatar</v>
      </c>
      <c r="H284" s="481" t="str">
        <v>Morocco</v>
      </c>
      <c r="I284" s="481" t="str">
        <v>Australia</v>
      </c>
      <c r="J284" s="481" t="str">
        <v>Germany</v>
      </c>
      <c r="K284" s="481" t="str">
        <v>Sweden</v>
      </c>
      <c r="L284" s="481" t="str">
        <v>Belgium</v>
      </c>
      <c r="M284" s="481" t="str">
        <v>Spain</v>
      </c>
      <c r="N284" s="481" t="str">
        <v>France</v>
      </c>
      <c r="O284" s="481" t="str">
        <v>Argentina</v>
      </c>
      <c r="P284" s="481" t="str">
        <v>Colombia</v>
      </c>
      <c r="Q284" s="490" t="str">
        <v>England</v>
      </c>
    </row>
    <row r="285" spans="1:17" x14ac:dyDescent="0.2">
      <c r="A285" s="489">
        <v>282</v>
      </c>
      <c r="B285" s="481" t="str">
        <v>Netherlands</v>
      </c>
      <c r="C285" s="481" t="str">
        <v>Germany</v>
      </c>
      <c r="D285" s="481" t="str">
        <v>Mexico</v>
      </c>
      <c r="E285" s="481" t="str">
        <v>Germany</v>
      </c>
      <c r="F285" s="481" t="str">
        <v>Mexico</v>
      </c>
      <c r="G285" s="481" t="str">
        <v>Bosnia-Herzegovina</v>
      </c>
      <c r="H285" s="481" t="str">
        <v>Brazil</v>
      </c>
      <c r="I285" s="481" t="str">
        <v>USA</v>
      </c>
      <c r="J285" s="481" t="str">
        <v>Cote d'Ivorie</v>
      </c>
      <c r="K285" s="481" t="str">
        <v>Netherlands</v>
      </c>
      <c r="L285" s="481" t="str">
        <v>Egypt</v>
      </c>
      <c r="M285" s="481" t="str">
        <v>Spain</v>
      </c>
      <c r="N285" s="481" t="str">
        <v>France</v>
      </c>
      <c r="O285" s="481" t="str">
        <v>Algeria</v>
      </c>
      <c r="P285" s="481" t="str">
        <v>Portugal</v>
      </c>
      <c r="Q285" s="490" t="str">
        <v>England</v>
      </c>
    </row>
    <row r="286" spans="1:17" x14ac:dyDescent="0.2">
      <c r="A286" s="489">
        <v>283</v>
      </c>
      <c r="B286" s="481" t="str">
        <v>France</v>
      </c>
      <c r="C286" s="481" t="str">
        <v>Uruguay</v>
      </c>
      <c r="D286" s="481" t="str">
        <v>Belgium</v>
      </c>
      <c r="E286" s="481" t="str">
        <v>Belgium</v>
      </c>
      <c r="F286" s="481" t="str">
        <v>Mexico</v>
      </c>
      <c r="G286" s="481" t="str">
        <v>Canada</v>
      </c>
      <c r="H286" s="481" t="str">
        <v>Brazil</v>
      </c>
      <c r="I286" s="481" t="str">
        <v>USA</v>
      </c>
      <c r="J286" s="481" t="str">
        <v>Cote d'Ivorie</v>
      </c>
      <c r="K286" s="481" t="str">
        <v>Netherlands</v>
      </c>
      <c r="L286" s="481" t="str">
        <v>Belgium</v>
      </c>
      <c r="M286" s="481" t="str">
        <v>Spain</v>
      </c>
      <c r="N286" s="481" t="str">
        <v>Norway</v>
      </c>
      <c r="O286" s="481" t="str">
        <v>Argentina</v>
      </c>
      <c r="P286" s="481" t="str">
        <v>Portugal</v>
      </c>
      <c r="Q286" s="490" t="str">
        <v>England</v>
      </c>
    </row>
    <row r="287" spans="1:17" x14ac:dyDescent="0.2">
      <c r="A287" s="489">
        <v>284</v>
      </c>
      <c r="B287" s="481" t="str">
        <v>Portugal</v>
      </c>
      <c r="C287" s="481" t="str">
        <v>France</v>
      </c>
      <c r="D287" s="481" t="str">
        <v>France</v>
      </c>
      <c r="E287" s="481" t="str">
        <v>Austria</v>
      </c>
      <c r="F287" s="481" t="str">
        <v>Mexico</v>
      </c>
      <c r="G287" s="481" t="str">
        <v>Canada</v>
      </c>
      <c r="H287" s="481" t="str">
        <v>Brazil</v>
      </c>
      <c r="I287" s="481" t="str">
        <v>USA</v>
      </c>
      <c r="J287" s="481" t="str">
        <v>Germany</v>
      </c>
      <c r="K287" s="481" t="str">
        <v>Sweden</v>
      </c>
      <c r="L287" s="481" t="str">
        <v>IR Iran</v>
      </c>
      <c r="M287" s="481" t="str">
        <v>Uruguay</v>
      </c>
      <c r="N287" s="481" t="str">
        <v>France</v>
      </c>
      <c r="O287" s="481" t="str">
        <v>Argentina</v>
      </c>
      <c r="P287" s="481" t="str">
        <v>Colombia</v>
      </c>
      <c r="Q287" s="490" t="str">
        <v>Ghana</v>
      </c>
    </row>
    <row r="288" spans="1:17" x14ac:dyDescent="0.2">
      <c r="A288" s="489">
        <v>285</v>
      </c>
      <c r="B288" s="481" t="str">
        <v>Portugal</v>
      </c>
      <c r="C288" s="481" t="str">
        <v>Uruguay</v>
      </c>
      <c r="D288" s="481" t="str">
        <v>Morocco</v>
      </c>
      <c r="E288" s="481" t="str">
        <v>Algeria</v>
      </c>
      <c r="F288" s="481" t="str">
        <v>Korea Republic</v>
      </c>
      <c r="G288" s="481" t="str">
        <v>Canada</v>
      </c>
      <c r="H288" s="481" t="str">
        <v>Brazil</v>
      </c>
      <c r="I288" s="481" t="str">
        <v>Australia</v>
      </c>
      <c r="J288" s="481" t="str">
        <v>Ecuador</v>
      </c>
      <c r="K288" s="481" t="str">
        <v>Netherlands</v>
      </c>
      <c r="L288" s="481" t="str">
        <v>Egypt</v>
      </c>
      <c r="M288" s="481" t="str">
        <v>Spain</v>
      </c>
      <c r="N288" s="481" t="str">
        <v>Iraq</v>
      </c>
      <c r="O288" s="481" t="str">
        <v>Argentina</v>
      </c>
      <c r="P288" s="481" t="str">
        <v>Colombia</v>
      </c>
      <c r="Q288" s="490" t="str">
        <v>England</v>
      </c>
    </row>
    <row r="289" spans="1:17" x14ac:dyDescent="0.2">
      <c r="A289" s="489">
        <v>286</v>
      </c>
      <c r="B289" s="481" t="str">
        <v>Brazil</v>
      </c>
      <c r="C289" s="481" t="str">
        <v>Argentina</v>
      </c>
      <c r="D289" s="481" t="str">
        <v>Spain</v>
      </c>
      <c r="E289" s="481" t="str">
        <v>Germany</v>
      </c>
      <c r="F289" s="481" t="str">
        <v>Mexico</v>
      </c>
      <c r="G289" s="481" t="str">
        <v>Switzerland</v>
      </c>
      <c r="H289" s="481" t="str">
        <v>Brazil</v>
      </c>
      <c r="I289" s="481" t="str">
        <v>USA</v>
      </c>
      <c r="J289" s="481" t="str">
        <v>Germany</v>
      </c>
      <c r="K289" s="481" t="str">
        <v>Sweden</v>
      </c>
      <c r="L289" s="481" t="str">
        <v>Belgium</v>
      </c>
      <c r="M289" s="481" t="str">
        <v>Uruguay</v>
      </c>
      <c r="N289" s="481" t="str">
        <v>Senegal</v>
      </c>
      <c r="O289" s="481" t="str">
        <v>Argentina</v>
      </c>
      <c r="P289" s="481" t="str">
        <v>Portugal</v>
      </c>
      <c r="Q289" s="490" t="str">
        <v>England</v>
      </c>
    </row>
    <row r="290" spans="1:17" x14ac:dyDescent="0.2">
      <c r="A290" s="489">
        <v>287</v>
      </c>
      <c r="B290" s="481" t="str">
        <v>Netherlands</v>
      </c>
      <c r="C290" s="481" t="str">
        <v>Germany</v>
      </c>
      <c r="D290" s="481" t="str">
        <v>England</v>
      </c>
      <c r="E290" s="481" t="str">
        <v>Colombia</v>
      </c>
      <c r="F290" s="481" t="str">
        <v>Korea Republic</v>
      </c>
      <c r="G290" s="481" t="str">
        <v>Switzerland</v>
      </c>
      <c r="H290" s="481" t="str">
        <v>Morocco</v>
      </c>
      <c r="I290" s="481" t="str">
        <v>Australia</v>
      </c>
      <c r="J290" s="481" t="str">
        <v>Ecuador</v>
      </c>
      <c r="K290" s="481" t="str">
        <v>Netherlands</v>
      </c>
      <c r="L290" s="481" t="str">
        <v>Belgium</v>
      </c>
      <c r="M290" s="481" t="str">
        <v>Spain</v>
      </c>
      <c r="N290" s="481" t="str">
        <v>France</v>
      </c>
      <c r="O290" s="481" t="str">
        <v>Argentina</v>
      </c>
      <c r="P290" s="481" t="str">
        <v>Colombia</v>
      </c>
      <c r="Q290" s="490" t="str">
        <v>England</v>
      </c>
    </row>
    <row r="291" spans="1:17" x14ac:dyDescent="0.2">
      <c r="A291" s="489">
        <v>288</v>
      </c>
      <c r="B291" s="481" t="str">
        <v>Brazil</v>
      </c>
      <c r="C291" s="481" t="str">
        <v>Morocco</v>
      </c>
      <c r="D291" s="481" t="str">
        <v>Ecuador</v>
      </c>
      <c r="E291" s="481" t="str">
        <v>Colombia</v>
      </c>
      <c r="F291" s="481" t="str">
        <v>Mexico</v>
      </c>
      <c r="G291" s="481" t="str">
        <v>Switzerland</v>
      </c>
      <c r="H291" s="481" t="str">
        <v>Morocco</v>
      </c>
      <c r="I291" s="481" t="str">
        <v>Australia</v>
      </c>
      <c r="J291" s="481" t="str">
        <v>Germany</v>
      </c>
      <c r="K291" s="481" t="str">
        <v>Netherlands</v>
      </c>
      <c r="L291" s="481" t="str">
        <v>IR Iran</v>
      </c>
      <c r="M291" s="481" t="str">
        <v>Spain</v>
      </c>
      <c r="N291" s="481" t="str">
        <v>France</v>
      </c>
      <c r="O291" s="481" t="str">
        <v>Austria</v>
      </c>
      <c r="P291" s="481" t="str">
        <v>Colombia</v>
      </c>
      <c r="Q291" s="490" t="str">
        <v>England</v>
      </c>
    </row>
    <row r="292" spans="1:17" x14ac:dyDescent="0.2">
      <c r="A292" s="489">
        <v>289</v>
      </c>
      <c r="B292" s="481" t="str">
        <v>Panama</v>
      </c>
      <c r="C292" s="481" t="str">
        <v>Brazil</v>
      </c>
      <c r="D292" s="481" t="str">
        <v>Mexico</v>
      </c>
      <c r="E292" s="481" t="str">
        <v>Mexico</v>
      </c>
      <c r="F292" s="481" t="str">
        <v>Mexico</v>
      </c>
      <c r="G292" s="481" t="str">
        <v>Canada</v>
      </c>
      <c r="H292" s="481" t="str">
        <v>Brazil</v>
      </c>
      <c r="I292" s="481" t="str">
        <v>USA</v>
      </c>
      <c r="J292" s="481" t="str">
        <v>Ecuador</v>
      </c>
      <c r="K292" s="481" t="str">
        <v>Japan</v>
      </c>
      <c r="L292" s="481" t="str">
        <v>Egypt</v>
      </c>
      <c r="M292" s="481" t="str">
        <v>Spain</v>
      </c>
      <c r="N292" s="481" t="str">
        <v>Norway</v>
      </c>
      <c r="O292" s="481" t="str">
        <v>Argentina</v>
      </c>
      <c r="P292" s="481" t="str">
        <v>Portugal</v>
      </c>
      <c r="Q292" s="490" t="str">
        <v>Croatia</v>
      </c>
    </row>
    <row r="293" spans="1:17" x14ac:dyDescent="0.2">
      <c r="A293" s="489">
        <v>290</v>
      </c>
      <c r="B293" s="481" t="str">
        <v>Brazil</v>
      </c>
      <c r="C293" s="481" t="str">
        <v>England</v>
      </c>
      <c r="D293" s="481" t="str">
        <v>Norway</v>
      </c>
      <c r="E293" s="481" t="str">
        <v>Germany</v>
      </c>
      <c r="F293" s="481" t="str">
        <v>Mexico</v>
      </c>
      <c r="G293" s="481" t="str">
        <v>Canada</v>
      </c>
      <c r="H293" s="481" t="str">
        <v>Brazil</v>
      </c>
      <c r="I293" s="481" t="str">
        <v>Australia</v>
      </c>
      <c r="J293" s="481" t="str">
        <v>Germany</v>
      </c>
      <c r="K293" s="481" t="str">
        <v>Netherlands</v>
      </c>
      <c r="L293" s="481" t="str">
        <v>Egypt</v>
      </c>
      <c r="M293" s="481" t="str">
        <v>Spain</v>
      </c>
      <c r="N293" s="481" t="str">
        <v>France</v>
      </c>
      <c r="O293" s="481" t="str">
        <v>Austria</v>
      </c>
      <c r="P293" s="481" t="str">
        <v>Colombia</v>
      </c>
      <c r="Q293" s="490" t="str">
        <v>England</v>
      </c>
    </row>
    <row r="294" spans="1:17" x14ac:dyDescent="0.2">
      <c r="A294" s="489">
        <v>291</v>
      </c>
      <c r="B294" s="481" t="str">
        <v>Colombia</v>
      </c>
      <c r="C294" s="481" t="str">
        <v>Spain</v>
      </c>
      <c r="D294" s="481" t="str">
        <v>Portugal</v>
      </c>
      <c r="E294" s="481" t="str">
        <v>Colombia</v>
      </c>
      <c r="F294" s="481" t="str">
        <v>Mexico</v>
      </c>
      <c r="G294" s="481" t="str">
        <v>Switzerland</v>
      </c>
      <c r="H294" s="481" t="str">
        <v>Morocco</v>
      </c>
      <c r="I294" s="481" t="str">
        <v>USA</v>
      </c>
      <c r="J294" s="481" t="str">
        <v>Germany</v>
      </c>
      <c r="K294" s="481" t="str">
        <v>Japan</v>
      </c>
      <c r="L294" s="481" t="str">
        <v>IR Iran</v>
      </c>
      <c r="M294" s="481" t="str">
        <v>Spain</v>
      </c>
      <c r="N294" s="481" t="str">
        <v>Senegal</v>
      </c>
      <c r="O294" s="481" t="str">
        <v>Argentina</v>
      </c>
      <c r="P294" s="481" t="str">
        <v>Colombia</v>
      </c>
      <c r="Q294" s="490" t="str">
        <v>England</v>
      </c>
    </row>
    <row r="295" spans="1:17" x14ac:dyDescent="0.2">
      <c r="A295" s="489">
        <v>292</v>
      </c>
      <c r="B295" s="481" t="str">
        <v>Argentina</v>
      </c>
      <c r="C295" s="481" t="str">
        <v>Germany</v>
      </c>
      <c r="D295" s="481" t="str">
        <v>IR Iran</v>
      </c>
      <c r="E295" s="481" t="str">
        <v>Germany</v>
      </c>
      <c r="F295" s="481" t="str">
        <v>Mexico</v>
      </c>
      <c r="G295" s="481" t="str">
        <v>Qatar</v>
      </c>
      <c r="H295" s="481" t="str">
        <v>Brazil</v>
      </c>
      <c r="I295" s="481" t="str">
        <v>USA</v>
      </c>
      <c r="J295" s="481" t="str">
        <v>Germany</v>
      </c>
      <c r="K295" s="481" t="str">
        <v>Japan</v>
      </c>
      <c r="L295" s="481" t="str">
        <v>Egypt</v>
      </c>
      <c r="M295" s="481" t="str">
        <v>Spain</v>
      </c>
      <c r="N295" s="481" t="str">
        <v>France</v>
      </c>
      <c r="O295" s="481" t="str">
        <v>Argentina</v>
      </c>
      <c r="P295" s="481" t="str">
        <v>Portugal</v>
      </c>
      <c r="Q295" s="490" t="str">
        <v>England</v>
      </c>
    </row>
    <row r="296" spans="1:17" x14ac:dyDescent="0.2">
      <c r="A296" s="489">
        <v>293</v>
      </c>
      <c r="B296" s="481" t="str">
        <v>Belgium</v>
      </c>
      <c r="C296" s="481" t="str">
        <v>USA</v>
      </c>
      <c r="D296" s="481" t="str">
        <v>Qatar</v>
      </c>
      <c r="E296" s="481" t="str">
        <v>Germany</v>
      </c>
      <c r="F296" s="481" t="str">
        <v>Korea Republic</v>
      </c>
      <c r="G296" s="481" t="str">
        <v>Bosnia-Herzegovina</v>
      </c>
      <c r="H296" s="481" t="str">
        <v>Brazil</v>
      </c>
      <c r="I296" s="481" t="str">
        <v>USA</v>
      </c>
      <c r="J296" s="481" t="str">
        <v>Germany</v>
      </c>
      <c r="K296" s="481" t="str">
        <v>Netherlands</v>
      </c>
      <c r="L296" s="481" t="str">
        <v>Belgium</v>
      </c>
      <c r="M296" s="481" t="str">
        <v>Uruguay</v>
      </c>
      <c r="N296" s="481" t="str">
        <v>Norway</v>
      </c>
      <c r="O296" s="481" t="str">
        <v>Austria</v>
      </c>
      <c r="P296" s="481" t="str">
        <v>Portugal</v>
      </c>
      <c r="Q296" s="490" t="str">
        <v>Croatia</v>
      </c>
    </row>
    <row r="297" spans="1:17" x14ac:dyDescent="0.2">
      <c r="A297" s="489">
        <v>294</v>
      </c>
      <c r="B297" s="481" t="str">
        <v>Germany</v>
      </c>
      <c r="C297" s="481" t="str">
        <v>USA</v>
      </c>
      <c r="D297" s="481" t="str">
        <v>France</v>
      </c>
      <c r="E297" s="481" t="str">
        <v>Mexico</v>
      </c>
      <c r="F297" s="481" t="str">
        <v>Mexico</v>
      </c>
      <c r="G297" s="481" t="str">
        <v>Qatar</v>
      </c>
      <c r="H297" s="481" t="str">
        <v>Morocco</v>
      </c>
      <c r="I297" s="481" t="str">
        <v>USA</v>
      </c>
      <c r="J297" s="481" t="str">
        <v>Germany</v>
      </c>
      <c r="K297" s="481" t="str">
        <v>Netherlands</v>
      </c>
      <c r="L297" s="481" t="str">
        <v>Egypt</v>
      </c>
      <c r="M297" s="481" t="str">
        <v>Spain</v>
      </c>
      <c r="N297" s="481" t="str">
        <v>France</v>
      </c>
      <c r="O297" s="481" t="str">
        <v>Austria</v>
      </c>
      <c r="P297" s="481" t="str">
        <v>Portugal</v>
      </c>
      <c r="Q297" s="490" t="str">
        <v>England</v>
      </c>
    </row>
    <row r="298" spans="1:17" x14ac:dyDescent="0.2">
      <c r="A298" s="489">
        <v>295</v>
      </c>
      <c r="B298" s="481" t="str">
        <v>Colombia</v>
      </c>
      <c r="C298" s="481" t="str">
        <v>Belgium</v>
      </c>
      <c r="D298" s="481" t="str">
        <v>Belgium</v>
      </c>
      <c r="E298" s="481" t="str">
        <v>Portugal</v>
      </c>
      <c r="F298" s="481" t="str">
        <v>Mexico</v>
      </c>
      <c r="G298" s="481" t="str">
        <v>Switzerland</v>
      </c>
      <c r="H298" s="481" t="str">
        <v>Morocco</v>
      </c>
      <c r="I298" s="481" t="str">
        <v>USA</v>
      </c>
      <c r="J298" s="481" t="str">
        <v>Cote d'Ivorie</v>
      </c>
      <c r="K298" s="481" t="str">
        <v>Netherlands</v>
      </c>
      <c r="L298" s="481" t="str">
        <v>IR Iran</v>
      </c>
      <c r="M298" s="481" t="str">
        <v>Spain</v>
      </c>
      <c r="N298" s="481" t="str">
        <v>France</v>
      </c>
      <c r="O298" s="481" t="str">
        <v>Austria</v>
      </c>
      <c r="P298" s="481" t="str">
        <v>Portugal</v>
      </c>
      <c r="Q298" s="490" t="str">
        <v>Croatia</v>
      </c>
    </row>
    <row r="299" spans="1:17" x14ac:dyDescent="0.2">
      <c r="A299" s="489">
        <v>296</v>
      </c>
      <c r="B299" s="481" t="str">
        <v>Spain</v>
      </c>
      <c r="C299" s="481" t="str">
        <v>IR Iran</v>
      </c>
      <c r="D299" s="481" t="str">
        <v>Spain</v>
      </c>
      <c r="E299" s="481" t="str">
        <v>Brazil</v>
      </c>
      <c r="F299" s="481" t="str">
        <v>Mexico</v>
      </c>
      <c r="G299" s="481" t="str">
        <v>Canada</v>
      </c>
      <c r="H299" s="481" t="str">
        <v>Brazil</v>
      </c>
      <c r="I299" s="481" t="str">
        <v>USA</v>
      </c>
      <c r="J299" s="481" t="str">
        <v>Germany</v>
      </c>
      <c r="K299" s="481" t="str">
        <v>Japan</v>
      </c>
      <c r="L299" s="481" t="str">
        <v>IR Iran</v>
      </c>
      <c r="M299" s="481" t="str">
        <v>Spain</v>
      </c>
      <c r="N299" s="481" t="str">
        <v>France</v>
      </c>
      <c r="O299" s="481" t="str">
        <v>Austria</v>
      </c>
      <c r="P299" s="481" t="str">
        <v>Portugal</v>
      </c>
      <c r="Q299" s="490" t="str">
        <v>Croatia</v>
      </c>
    </row>
    <row r="300" spans="1:17" x14ac:dyDescent="0.2">
      <c r="A300" s="489">
        <v>297</v>
      </c>
      <c r="B300" s="481" t="str">
        <v>Netherlands</v>
      </c>
      <c r="C300" s="481" t="str">
        <v>Germany</v>
      </c>
      <c r="D300" s="481" t="str">
        <v>England</v>
      </c>
      <c r="E300" s="481" t="str">
        <v>Croatia</v>
      </c>
      <c r="F300" s="481" t="str">
        <v>Mexico</v>
      </c>
      <c r="G300" s="481" t="str">
        <v>Bosnia-Herzegovina</v>
      </c>
      <c r="H300" s="481" t="str">
        <v>Morocco</v>
      </c>
      <c r="I300" s="481" t="str">
        <v>Australia</v>
      </c>
      <c r="J300" s="481" t="str">
        <v>Germany</v>
      </c>
      <c r="K300" s="481" t="str">
        <v>Netherlands</v>
      </c>
      <c r="L300" s="481" t="str">
        <v>Egypt</v>
      </c>
      <c r="M300" s="481" t="str">
        <v>Uruguay</v>
      </c>
      <c r="N300" s="481" t="str">
        <v>Norway</v>
      </c>
      <c r="O300" s="481" t="str">
        <v>Austria</v>
      </c>
      <c r="P300" s="481" t="str">
        <v>Portugal</v>
      </c>
      <c r="Q300" s="490" t="str">
        <v>England</v>
      </c>
    </row>
    <row r="301" spans="1:17" x14ac:dyDescent="0.2">
      <c r="A301" s="489">
        <v>298</v>
      </c>
      <c r="B301" s="481" t="str">
        <v>Portugal</v>
      </c>
      <c r="C301" s="481" t="str">
        <v>Argentina</v>
      </c>
      <c r="D301" s="481" t="str">
        <v>USA</v>
      </c>
      <c r="E301" s="481" t="str">
        <v>Germany</v>
      </c>
      <c r="F301" s="481" t="str">
        <v>Korea Republic</v>
      </c>
      <c r="G301" s="481" t="str">
        <v>Bosnia-Herzegovina</v>
      </c>
      <c r="H301" s="481" t="str">
        <v>Scotland</v>
      </c>
      <c r="I301" s="481" t="str">
        <v>Australia</v>
      </c>
      <c r="J301" s="481" t="str">
        <v>Germany</v>
      </c>
      <c r="K301" s="481" t="str">
        <v>Japan</v>
      </c>
      <c r="L301" s="481" t="str">
        <v>Belgium</v>
      </c>
      <c r="M301" s="481" t="str">
        <v>Spain</v>
      </c>
      <c r="N301" s="481" t="str">
        <v>Senegal</v>
      </c>
      <c r="O301" s="481" t="str">
        <v>Algeria</v>
      </c>
      <c r="P301" s="481" t="str">
        <v>Portugal</v>
      </c>
      <c r="Q301" s="490" t="str">
        <v>Croatia</v>
      </c>
    </row>
    <row r="302" spans="1:17" x14ac:dyDescent="0.2">
      <c r="A302" s="489">
        <v>299</v>
      </c>
      <c r="B302" s="481" t="str">
        <v>Algeria</v>
      </c>
      <c r="C302" s="481" t="str">
        <v>Brazil</v>
      </c>
      <c r="D302" s="481" t="str">
        <v>Uruguay</v>
      </c>
      <c r="E302" s="481" t="str">
        <v>Portugal</v>
      </c>
      <c r="F302" s="481" t="str">
        <v>Korea Republic</v>
      </c>
      <c r="G302" s="481" t="str">
        <v>Switzerland</v>
      </c>
      <c r="H302" s="481" t="str">
        <v>Morocco</v>
      </c>
      <c r="I302" s="481" t="str">
        <v>USA</v>
      </c>
      <c r="J302" s="481" t="str">
        <v>Germany</v>
      </c>
      <c r="K302" s="481" t="str">
        <v>Sweden</v>
      </c>
      <c r="L302" s="481" t="str">
        <v>Belgium</v>
      </c>
      <c r="M302" s="481" t="str">
        <v>Uruguay</v>
      </c>
      <c r="N302" s="481" t="str">
        <v>Senegal</v>
      </c>
      <c r="O302" s="481" t="str">
        <v>Argentina</v>
      </c>
      <c r="P302" s="481" t="str">
        <v>Portugal</v>
      </c>
      <c r="Q302" s="490" t="str">
        <v>England</v>
      </c>
    </row>
    <row r="303" spans="1:17" x14ac:dyDescent="0.2">
      <c r="A303" s="489">
        <v>300</v>
      </c>
      <c r="B303" s="481" t="str">
        <v>Netherlands</v>
      </c>
      <c r="C303" s="481" t="str">
        <v>Cote d'Ivorie</v>
      </c>
      <c r="D303" s="481" t="str">
        <v>England</v>
      </c>
      <c r="E303" s="481" t="str">
        <v>Germany</v>
      </c>
      <c r="F303" s="481" t="str">
        <v>Mexico</v>
      </c>
      <c r="G303" s="481" t="str">
        <v>Bosnia-Herzegovina</v>
      </c>
      <c r="H303" s="481" t="str">
        <v>Morocco</v>
      </c>
      <c r="I303" s="481" t="str">
        <v>Australia</v>
      </c>
      <c r="J303" s="481" t="str">
        <v>Germany</v>
      </c>
      <c r="K303" s="481" t="str">
        <v>Sweden</v>
      </c>
      <c r="L303" s="481" t="str">
        <v>Belgium</v>
      </c>
      <c r="M303" s="481" t="str">
        <v>Spain</v>
      </c>
      <c r="N303" s="481" t="str">
        <v>Iraq</v>
      </c>
      <c r="O303" s="481" t="str">
        <v>Algeria</v>
      </c>
      <c r="P303" s="481" t="str">
        <v>Portugal</v>
      </c>
      <c r="Q303" s="490" t="str">
        <v>England</v>
      </c>
    </row>
    <row r="304" spans="1:17" x14ac:dyDescent="0.2">
      <c r="A304" s="489">
        <v>301</v>
      </c>
      <c r="B304" s="481" t="str">
        <v>France</v>
      </c>
      <c r="C304" s="481" t="str">
        <v>England</v>
      </c>
      <c r="D304" s="481" t="str">
        <v>England</v>
      </c>
      <c r="E304" s="481" t="str">
        <v>Argentina</v>
      </c>
      <c r="F304" s="481" t="str">
        <v>Mexico</v>
      </c>
      <c r="G304" s="481" t="str">
        <v>Switzerland</v>
      </c>
      <c r="H304" s="481" t="str">
        <v>Morocco</v>
      </c>
      <c r="I304" s="481" t="str">
        <v>USA</v>
      </c>
      <c r="J304" s="481" t="str">
        <v>Ecuador</v>
      </c>
      <c r="K304" s="481" t="str">
        <v>Netherlands</v>
      </c>
      <c r="L304" s="481" t="str">
        <v>Belgium</v>
      </c>
      <c r="M304" s="481" t="str">
        <v>Spain</v>
      </c>
      <c r="N304" s="481" t="str">
        <v>France</v>
      </c>
      <c r="O304" s="481" t="str">
        <v>Austria</v>
      </c>
      <c r="P304" s="481" t="str">
        <v>Colombia</v>
      </c>
      <c r="Q304" s="490" t="str">
        <v>Croatia</v>
      </c>
    </row>
    <row r="305" spans="1:17" x14ac:dyDescent="0.2">
      <c r="A305" s="489">
        <v>302</v>
      </c>
      <c r="B305" s="481" t="str">
        <v>Uruguay</v>
      </c>
      <c r="C305" s="481" t="str">
        <v>England</v>
      </c>
      <c r="D305" s="481" t="str">
        <v>Korea Republic</v>
      </c>
      <c r="E305" s="481" t="str">
        <v>Austria</v>
      </c>
      <c r="F305" s="481" t="str">
        <v>Mexico</v>
      </c>
      <c r="G305" s="481" t="str">
        <v>Switzerland</v>
      </c>
      <c r="H305" s="481" t="str">
        <v>Morocco</v>
      </c>
      <c r="I305" s="481" t="str">
        <v>Australia</v>
      </c>
      <c r="J305" s="481" t="str">
        <v>Germany</v>
      </c>
      <c r="K305" s="481" t="str">
        <v>Netherlands</v>
      </c>
      <c r="L305" s="481" t="str">
        <v>Belgium</v>
      </c>
      <c r="M305" s="481" t="str">
        <v>Spain</v>
      </c>
      <c r="N305" s="481" t="str">
        <v>Senegal</v>
      </c>
      <c r="O305" s="481" t="str">
        <v>Argentina</v>
      </c>
      <c r="P305" s="481" t="str">
        <v>Portugal</v>
      </c>
      <c r="Q305" s="490" t="str">
        <v>Croatia</v>
      </c>
    </row>
    <row r="306" spans="1:17" x14ac:dyDescent="0.2">
      <c r="A306" s="489">
        <v>303</v>
      </c>
      <c r="B306" s="481" t="str">
        <v>Germany</v>
      </c>
      <c r="C306" s="481" t="str">
        <v>Mexico</v>
      </c>
      <c r="D306" s="481" t="str">
        <v>Egypt</v>
      </c>
      <c r="E306" s="481" t="str">
        <v>Portugal</v>
      </c>
      <c r="F306" s="481" t="str">
        <v>Czechia</v>
      </c>
      <c r="G306" s="481" t="str">
        <v>Switzerland</v>
      </c>
      <c r="H306" s="481" t="str">
        <v>Brazil</v>
      </c>
      <c r="I306" s="481" t="str">
        <v>USA</v>
      </c>
      <c r="J306" s="481" t="str">
        <v>Germany</v>
      </c>
      <c r="K306" s="481" t="str">
        <v>Netherlands</v>
      </c>
      <c r="L306" s="481" t="str">
        <v>Belgium</v>
      </c>
      <c r="M306" s="481" t="str">
        <v>Uruguay</v>
      </c>
      <c r="N306" s="481" t="str">
        <v>France</v>
      </c>
      <c r="O306" s="481" t="str">
        <v>Argentina</v>
      </c>
      <c r="P306" s="481" t="str">
        <v>Portugal</v>
      </c>
      <c r="Q306" s="490" t="str">
        <v>England</v>
      </c>
    </row>
    <row r="307" spans="1:17" x14ac:dyDescent="0.2">
      <c r="A307" s="489">
        <v>304</v>
      </c>
      <c r="B307" s="481" t="str">
        <v>Portugal</v>
      </c>
      <c r="C307" s="481" t="str">
        <v>Croatia</v>
      </c>
      <c r="D307" s="481" t="str">
        <v>England</v>
      </c>
      <c r="E307" s="481" t="str">
        <v>France</v>
      </c>
      <c r="F307" s="481" t="str">
        <v>Korea Republic</v>
      </c>
      <c r="G307" s="481" t="str">
        <v>Switzerland</v>
      </c>
      <c r="H307" s="481" t="str">
        <v>Brazil</v>
      </c>
      <c r="I307" s="481" t="str">
        <v>USA</v>
      </c>
      <c r="J307" s="481" t="str">
        <v>Germany</v>
      </c>
      <c r="K307" s="481" t="str">
        <v>Netherlands</v>
      </c>
      <c r="L307" s="481" t="str">
        <v>Belgium</v>
      </c>
      <c r="M307" s="481" t="str">
        <v>Cabo Verde</v>
      </c>
      <c r="N307" s="481" t="str">
        <v>France</v>
      </c>
      <c r="O307" s="481" t="str">
        <v>Austria</v>
      </c>
      <c r="P307" s="481" t="str">
        <v>Colombia</v>
      </c>
      <c r="Q307" s="490" t="str">
        <v>Croatia</v>
      </c>
    </row>
    <row r="308" spans="1:17" x14ac:dyDescent="0.2">
      <c r="A308" s="489">
        <v>305</v>
      </c>
      <c r="B308" s="481" t="str">
        <v>Brazil</v>
      </c>
      <c r="C308" s="481" t="str">
        <v>Mexico</v>
      </c>
      <c r="D308" s="481" t="str">
        <v>Norway</v>
      </c>
      <c r="E308" s="481" t="str">
        <v>Mexico</v>
      </c>
      <c r="F308" s="481" t="str">
        <v>Korea Republic</v>
      </c>
      <c r="G308" s="481" t="str">
        <v>Qatar</v>
      </c>
      <c r="H308" s="481" t="str">
        <v>Morocco</v>
      </c>
      <c r="I308" s="481" t="str">
        <v>USA</v>
      </c>
      <c r="J308" s="481" t="str">
        <v>Ecuador</v>
      </c>
      <c r="K308" s="481" t="str">
        <v>Japan</v>
      </c>
      <c r="L308" s="481" t="str">
        <v>Belgium</v>
      </c>
      <c r="M308" s="481" t="str">
        <v>Spain</v>
      </c>
      <c r="N308" s="481" t="str">
        <v>France</v>
      </c>
      <c r="O308" s="481" t="str">
        <v>Argentina</v>
      </c>
      <c r="P308" s="481" t="str">
        <v>Portugal</v>
      </c>
      <c r="Q308" s="490" t="str">
        <v>England</v>
      </c>
    </row>
    <row r="309" spans="1:17" x14ac:dyDescent="0.2">
      <c r="A309" s="489">
        <v>306</v>
      </c>
      <c r="B309" s="481" t="str">
        <v>England</v>
      </c>
      <c r="C309" s="481" t="str">
        <v>Colombia</v>
      </c>
      <c r="D309" s="481" t="str">
        <v>Senegal</v>
      </c>
      <c r="E309" s="481" t="str">
        <v>Belgium</v>
      </c>
      <c r="F309" s="481" t="str">
        <v>Mexico</v>
      </c>
      <c r="G309" s="481" t="str">
        <v>Switzerland</v>
      </c>
      <c r="H309" s="481" t="str">
        <v>Morocco</v>
      </c>
      <c r="I309" s="481" t="str">
        <v>USA</v>
      </c>
      <c r="J309" s="481" t="str">
        <v>Germany</v>
      </c>
      <c r="K309" s="481" t="str">
        <v>Netherlands</v>
      </c>
      <c r="L309" s="481" t="str">
        <v>Belgium</v>
      </c>
      <c r="M309" s="481" t="str">
        <v>Spain</v>
      </c>
      <c r="N309" s="481" t="str">
        <v>France</v>
      </c>
      <c r="O309" s="481" t="str">
        <v>Argentina</v>
      </c>
      <c r="P309" s="481" t="str">
        <v>Portugal</v>
      </c>
      <c r="Q309" s="490" t="str">
        <v>Croatia</v>
      </c>
    </row>
    <row r="310" spans="1:17" x14ac:dyDescent="0.2">
      <c r="A310" s="489">
        <v>307</v>
      </c>
      <c r="B310" s="481" t="str">
        <v>Germany</v>
      </c>
      <c r="C310" s="481" t="str">
        <v>Brazil</v>
      </c>
      <c r="D310" s="481" t="str">
        <v>Brazil</v>
      </c>
      <c r="E310" s="481" t="str">
        <v>Spain</v>
      </c>
      <c r="F310" s="481" t="str">
        <v>Korea Republic</v>
      </c>
      <c r="G310" s="481" t="str">
        <v>Switzerland</v>
      </c>
      <c r="H310" s="481" t="str">
        <v>Brazil</v>
      </c>
      <c r="I310" s="481" t="str">
        <v>Australia</v>
      </c>
      <c r="J310" s="481" t="str">
        <v>Germany</v>
      </c>
      <c r="K310" s="481" t="str">
        <v>Japan</v>
      </c>
      <c r="L310" s="481" t="str">
        <v>Belgium</v>
      </c>
      <c r="M310" s="481" t="str">
        <v>Spain</v>
      </c>
      <c r="N310" s="481" t="str">
        <v>France</v>
      </c>
      <c r="O310" s="481" t="str">
        <v>Argentina</v>
      </c>
      <c r="P310" s="481" t="str">
        <v>Uzbekistan</v>
      </c>
      <c r="Q310" s="490" t="str">
        <v>Croatia</v>
      </c>
    </row>
    <row r="311" spans="1:17" x14ac:dyDescent="0.2">
      <c r="A311" s="489">
        <v>308</v>
      </c>
      <c r="B311" s="481" t="str">
        <v>Argentina</v>
      </c>
      <c r="C311" s="481" t="str">
        <v>France</v>
      </c>
      <c r="D311" s="481" t="str">
        <v>Colombia</v>
      </c>
      <c r="E311" s="481" t="str">
        <v>Croatia</v>
      </c>
      <c r="F311" s="481" t="str">
        <v>Mexico</v>
      </c>
      <c r="G311" s="481" t="str">
        <v>Switzerland</v>
      </c>
      <c r="H311" s="481" t="str">
        <v>Morocco</v>
      </c>
      <c r="I311" s="481" t="str">
        <v>Turkiye</v>
      </c>
      <c r="J311" s="481" t="str">
        <v>Cote d'Ivorie</v>
      </c>
      <c r="K311" s="481" t="str">
        <v>Japan</v>
      </c>
      <c r="L311" s="481" t="str">
        <v>Egypt</v>
      </c>
      <c r="M311" s="481" t="str">
        <v>Spain</v>
      </c>
      <c r="N311" s="481" t="str">
        <v>Norway</v>
      </c>
      <c r="O311" s="481" t="str">
        <v>Jordan</v>
      </c>
      <c r="P311" s="481" t="str">
        <v>Colombia</v>
      </c>
      <c r="Q311" s="490" t="str">
        <v>England</v>
      </c>
    </row>
    <row r="312" spans="1:17" x14ac:dyDescent="0.2">
      <c r="A312" s="489">
        <v>309</v>
      </c>
      <c r="B312" s="481" t="str">
        <v>Argentina</v>
      </c>
      <c r="C312" s="481" t="str">
        <v>Brazil</v>
      </c>
      <c r="D312" s="481" t="str">
        <v>Portugal</v>
      </c>
      <c r="E312" s="481" t="str">
        <v>Argentina</v>
      </c>
      <c r="F312" s="481" t="str">
        <v>Mexico</v>
      </c>
      <c r="G312" s="481" t="str">
        <v>Switzerland</v>
      </c>
      <c r="H312" s="481" t="str">
        <v>Brazil</v>
      </c>
      <c r="I312" s="481" t="str">
        <v>Turkiye</v>
      </c>
      <c r="J312" s="481" t="str">
        <v>Germany</v>
      </c>
      <c r="K312" s="481" t="str">
        <v>Sweden</v>
      </c>
      <c r="L312" s="481" t="str">
        <v>Belgium</v>
      </c>
      <c r="M312" s="481" t="str">
        <v>Saudi Arabia</v>
      </c>
      <c r="N312" s="481" t="str">
        <v>Senegal</v>
      </c>
      <c r="O312" s="481" t="str">
        <v>Argentina</v>
      </c>
      <c r="P312" s="481" t="str">
        <v>Colombia</v>
      </c>
      <c r="Q312" s="490" t="str">
        <v>England</v>
      </c>
    </row>
    <row r="313" spans="1:17" x14ac:dyDescent="0.2">
      <c r="A313" s="489">
        <v>310</v>
      </c>
      <c r="B313" s="481" t="str">
        <v>Germany</v>
      </c>
      <c r="C313" s="481" t="str">
        <v>Portugal</v>
      </c>
      <c r="D313" s="481" t="str">
        <v>Brazil</v>
      </c>
      <c r="E313" s="481" t="str">
        <v>Netherlands</v>
      </c>
      <c r="F313" s="481" t="str">
        <v>Mexico</v>
      </c>
      <c r="G313" s="481" t="str">
        <v>Switzerland</v>
      </c>
      <c r="H313" s="481" t="str">
        <v>Brazil</v>
      </c>
      <c r="I313" s="481" t="str">
        <v>USA</v>
      </c>
      <c r="J313" s="481" t="str">
        <v>Germany</v>
      </c>
      <c r="K313" s="481" t="str">
        <v>Netherlands</v>
      </c>
      <c r="L313" s="481" t="str">
        <v>Egypt</v>
      </c>
      <c r="M313" s="481" t="str">
        <v>Spain</v>
      </c>
      <c r="N313" s="481" t="str">
        <v>Senegal</v>
      </c>
      <c r="O313" s="481" t="str">
        <v>Argentina</v>
      </c>
      <c r="P313" s="481" t="str">
        <v>Portugal</v>
      </c>
      <c r="Q313" s="490" t="str">
        <v>Ghana</v>
      </c>
    </row>
    <row r="314" spans="1:17" x14ac:dyDescent="0.2">
      <c r="A314" s="489">
        <v>311</v>
      </c>
      <c r="B314" s="481" t="str">
        <v>France</v>
      </c>
      <c r="C314" s="481" t="str">
        <v>Spain</v>
      </c>
      <c r="D314" s="481" t="str">
        <v>Netherlands</v>
      </c>
      <c r="E314" s="481" t="str">
        <v>Turkiye</v>
      </c>
      <c r="F314" s="481" t="str">
        <v>Mexico</v>
      </c>
      <c r="G314" s="481" t="str">
        <v>Switzerland</v>
      </c>
      <c r="H314" s="481" t="str">
        <v>Morocco</v>
      </c>
      <c r="I314" s="481" t="str">
        <v>USA</v>
      </c>
      <c r="J314" s="481" t="str">
        <v>Germany</v>
      </c>
      <c r="K314" s="481" t="str">
        <v>Sweden</v>
      </c>
      <c r="L314" s="481" t="str">
        <v>Belgium</v>
      </c>
      <c r="M314" s="481" t="str">
        <v>Uruguay</v>
      </c>
      <c r="N314" s="481" t="str">
        <v>France</v>
      </c>
      <c r="O314" s="481" t="str">
        <v>Argentina</v>
      </c>
      <c r="P314" s="481" t="str">
        <v>Portugal</v>
      </c>
      <c r="Q314" s="490" t="str">
        <v>England</v>
      </c>
    </row>
    <row r="315" spans="1:17" x14ac:dyDescent="0.2">
      <c r="A315" s="489">
        <v>312</v>
      </c>
      <c r="B315" s="481" t="str">
        <v>England</v>
      </c>
      <c r="C315" s="481" t="str">
        <v>Germany</v>
      </c>
      <c r="D315" s="481" t="str">
        <v>Germany</v>
      </c>
      <c r="E315" s="481" t="str">
        <v>Japan</v>
      </c>
      <c r="F315" s="481" t="str">
        <v>Korea Republic</v>
      </c>
      <c r="G315" s="481" t="str">
        <v>Bosnia-Herzegovina</v>
      </c>
      <c r="H315" s="481" t="str">
        <v>Morocco</v>
      </c>
      <c r="I315" s="481" t="str">
        <v>Australia</v>
      </c>
      <c r="J315" s="481" t="str">
        <v>Cote d'Ivorie</v>
      </c>
      <c r="K315" s="481" t="str">
        <v>Netherlands</v>
      </c>
      <c r="L315" s="481" t="str">
        <v>Egypt</v>
      </c>
      <c r="M315" s="481" t="str">
        <v>Spain</v>
      </c>
      <c r="N315" s="481" t="str">
        <v>Norway</v>
      </c>
      <c r="O315" s="481" t="str">
        <v>Argentina</v>
      </c>
      <c r="P315" s="481" t="str">
        <v>Portugal</v>
      </c>
      <c r="Q315" s="490" t="str">
        <v>England</v>
      </c>
    </row>
    <row r="316" spans="1:17" x14ac:dyDescent="0.2">
      <c r="A316" s="489">
        <v>313</v>
      </c>
      <c r="B316" s="481" t="str">
        <v>Brazil</v>
      </c>
      <c r="C316" s="481" t="str">
        <v>Austria</v>
      </c>
      <c r="D316" s="481" t="str">
        <v>France</v>
      </c>
      <c r="E316" s="481" t="str">
        <v>Portugal</v>
      </c>
      <c r="F316" s="481" t="str">
        <v>Korea Republic</v>
      </c>
      <c r="G316" s="481" t="str">
        <v>Canada</v>
      </c>
      <c r="H316" s="481" t="str">
        <v>Brazil</v>
      </c>
      <c r="I316" s="481" t="str">
        <v>USA</v>
      </c>
      <c r="J316" s="481" t="str">
        <v>Cote d'Ivorie</v>
      </c>
      <c r="K316" s="481" t="str">
        <v>Netherlands</v>
      </c>
      <c r="L316" s="481" t="str">
        <v>Belgium</v>
      </c>
      <c r="M316" s="481" t="str">
        <v>Spain</v>
      </c>
      <c r="N316" s="481" t="str">
        <v>France</v>
      </c>
      <c r="O316" s="481" t="str">
        <v>Austria</v>
      </c>
      <c r="P316" s="481" t="str">
        <v>Portugal</v>
      </c>
      <c r="Q316" s="490" t="str">
        <v>England</v>
      </c>
    </row>
    <row r="317" spans="1:17" x14ac:dyDescent="0.2">
      <c r="A317" s="489">
        <v>314</v>
      </c>
      <c r="B317" s="481" t="str">
        <v>Portugal</v>
      </c>
      <c r="C317" s="481" t="str">
        <v>England</v>
      </c>
      <c r="D317" s="481" t="str">
        <v>Brazil</v>
      </c>
      <c r="E317" s="481" t="str">
        <v>Austria</v>
      </c>
      <c r="F317" s="481" t="str">
        <v>Mexico</v>
      </c>
      <c r="G317" s="481" t="str">
        <v>Canada</v>
      </c>
      <c r="H317" s="481" t="str">
        <v>Morocco</v>
      </c>
      <c r="I317" s="481" t="str">
        <v>USA</v>
      </c>
      <c r="J317" s="481" t="str">
        <v>Germany</v>
      </c>
      <c r="K317" s="481" t="str">
        <v>Netherlands</v>
      </c>
      <c r="L317" s="481" t="str">
        <v>IR Iran</v>
      </c>
      <c r="M317" s="481" t="str">
        <v>Uruguay</v>
      </c>
      <c r="N317" s="481" t="str">
        <v>Senegal</v>
      </c>
      <c r="O317" s="481" t="str">
        <v>Algeria</v>
      </c>
      <c r="P317" s="481" t="str">
        <v>Portugal</v>
      </c>
      <c r="Q317" s="490" t="str">
        <v>England</v>
      </c>
    </row>
    <row r="318" spans="1:17" x14ac:dyDescent="0.2">
      <c r="A318" s="489">
        <v>315</v>
      </c>
      <c r="B318" s="481" t="str">
        <v>Japan</v>
      </c>
      <c r="C318" s="481" t="str">
        <v>France</v>
      </c>
      <c r="D318" s="481" t="str">
        <v>Switzerland</v>
      </c>
      <c r="E318" s="481" t="str">
        <v>Colombia</v>
      </c>
      <c r="F318" s="481" t="str">
        <v>Mexico</v>
      </c>
      <c r="G318" s="481" t="str">
        <v>Canada</v>
      </c>
      <c r="H318" s="481" t="str">
        <v>Morocco</v>
      </c>
      <c r="I318" s="481" t="str">
        <v>USA</v>
      </c>
      <c r="J318" s="481" t="str">
        <v>Germany</v>
      </c>
      <c r="K318" s="481" t="str">
        <v>Netherlands</v>
      </c>
      <c r="L318" s="481" t="str">
        <v>Egypt</v>
      </c>
      <c r="M318" s="481" t="str">
        <v>Spain</v>
      </c>
      <c r="N318" s="481" t="str">
        <v>France</v>
      </c>
      <c r="O318" s="481" t="str">
        <v>Austria</v>
      </c>
      <c r="P318" s="481" t="str">
        <v>Portugal</v>
      </c>
      <c r="Q318" s="490" t="str">
        <v>England</v>
      </c>
    </row>
    <row r="319" spans="1:17" x14ac:dyDescent="0.2">
      <c r="A319" s="489">
        <v>316</v>
      </c>
      <c r="B319" s="481" t="str">
        <v>Germany</v>
      </c>
      <c r="C319" s="481" t="str">
        <v>France</v>
      </c>
      <c r="D319" s="481" t="str">
        <v>Croatia</v>
      </c>
      <c r="E319" s="481" t="str">
        <v>Belgium</v>
      </c>
      <c r="F319" s="481" t="str">
        <v>Korea Republic</v>
      </c>
      <c r="G319" s="481" t="str">
        <v>Switzerland</v>
      </c>
      <c r="H319" s="481" t="str">
        <v>Brazil</v>
      </c>
      <c r="I319" s="481" t="str">
        <v>USA</v>
      </c>
      <c r="J319" s="481" t="str">
        <v>Cote d'Ivorie</v>
      </c>
      <c r="K319" s="481" t="str">
        <v>Netherlands</v>
      </c>
      <c r="L319" s="481" t="str">
        <v>Belgium</v>
      </c>
      <c r="M319" s="481" t="str">
        <v>Cabo Verde</v>
      </c>
      <c r="N319" s="481" t="str">
        <v>France</v>
      </c>
      <c r="O319" s="481" t="str">
        <v>Austria</v>
      </c>
      <c r="P319" s="481" t="str">
        <v>Portugal</v>
      </c>
      <c r="Q319" s="490" t="str">
        <v>Panama</v>
      </c>
    </row>
    <row r="320" spans="1:17" x14ac:dyDescent="0.2">
      <c r="A320" s="489">
        <v>317</v>
      </c>
      <c r="B320" s="481" t="str">
        <v>France</v>
      </c>
      <c r="C320" s="481" t="str">
        <v>Morocco</v>
      </c>
      <c r="D320" s="481" t="str">
        <v>France</v>
      </c>
      <c r="E320" s="481" t="str">
        <v>Senegal</v>
      </c>
      <c r="F320" s="481" t="str">
        <v>Mexico</v>
      </c>
      <c r="G320" s="481" t="str">
        <v>Qatar</v>
      </c>
      <c r="H320" s="481" t="str">
        <v>Morocco</v>
      </c>
      <c r="I320" s="481" t="str">
        <v>USA</v>
      </c>
      <c r="J320" s="481" t="str">
        <v>Cote d'Ivorie</v>
      </c>
      <c r="K320" s="481" t="str">
        <v>Sweden</v>
      </c>
      <c r="L320" s="481" t="str">
        <v>New Zealand</v>
      </c>
      <c r="M320" s="481" t="str">
        <v>Uruguay</v>
      </c>
      <c r="N320" s="481" t="str">
        <v>France</v>
      </c>
      <c r="O320" s="481" t="str">
        <v>Argentina</v>
      </c>
      <c r="P320" s="481" t="str">
        <v>Congo DR</v>
      </c>
      <c r="Q320" s="490" t="str">
        <v>England</v>
      </c>
    </row>
    <row r="321" spans="1:17" x14ac:dyDescent="0.2">
      <c r="A321" s="489">
        <v>318</v>
      </c>
      <c r="B321" s="481" t="str">
        <v>Argentina</v>
      </c>
      <c r="C321" s="481" t="str">
        <v>Spain</v>
      </c>
      <c r="D321" s="481" t="str">
        <v>USA</v>
      </c>
      <c r="E321" s="481" t="str">
        <v>Brazil</v>
      </c>
      <c r="F321" s="481" t="str">
        <v>Mexico</v>
      </c>
      <c r="G321" s="481" t="str">
        <v>Switzerland</v>
      </c>
      <c r="H321" s="481" t="str">
        <v>Morocco</v>
      </c>
      <c r="I321" s="481" t="str">
        <v>USA</v>
      </c>
      <c r="J321" s="481" t="str">
        <v>Germany</v>
      </c>
      <c r="K321" s="481" t="str">
        <v>Netherlands</v>
      </c>
      <c r="L321" s="481" t="str">
        <v>Belgium</v>
      </c>
      <c r="M321" s="481" t="str">
        <v>Spain</v>
      </c>
      <c r="N321" s="481" t="str">
        <v>Norway</v>
      </c>
      <c r="O321" s="481" t="str">
        <v>Argentina</v>
      </c>
      <c r="P321" s="481" t="str">
        <v>Portugal</v>
      </c>
      <c r="Q321" s="490" t="str">
        <v>England</v>
      </c>
    </row>
    <row r="322" spans="1:17" x14ac:dyDescent="0.2">
      <c r="A322" s="489">
        <v>319</v>
      </c>
      <c r="B322" s="481" t="str">
        <v>Brazil</v>
      </c>
      <c r="C322" s="481" t="str">
        <v>Portugal</v>
      </c>
      <c r="D322" s="481" t="str">
        <v>Brazil</v>
      </c>
      <c r="E322" s="481" t="str">
        <v>Brazil</v>
      </c>
      <c r="F322" s="481" t="str">
        <v>Mexico</v>
      </c>
      <c r="G322" s="481" t="str">
        <v>Canada</v>
      </c>
      <c r="H322" s="481" t="str">
        <v>Morocco</v>
      </c>
      <c r="I322" s="481" t="str">
        <v>USA</v>
      </c>
      <c r="J322" s="481" t="str">
        <v>Ecuador</v>
      </c>
      <c r="K322" s="481" t="str">
        <v>Japan</v>
      </c>
      <c r="L322" s="481" t="str">
        <v>Belgium</v>
      </c>
      <c r="M322" s="481" t="str">
        <v>Spain</v>
      </c>
      <c r="N322" s="481" t="str">
        <v>France</v>
      </c>
      <c r="O322" s="481" t="str">
        <v>Argentina</v>
      </c>
      <c r="P322" s="481" t="str">
        <v>Portugal</v>
      </c>
      <c r="Q322" s="490" t="str">
        <v>England</v>
      </c>
    </row>
    <row r="323" spans="1:17" x14ac:dyDescent="0.2">
      <c r="A323" s="489">
        <v>320</v>
      </c>
      <c r="B323" s="481" t="str">
        <v>Japan</v>
      </c>
      <c r="C323" s="481" t="str">
        <v>Germany</v>
      </c>
      <c r="D323" s="481" t="str">
        <v>France</v>
      </c>
      <c r="E323" s="481" t="str">
        <v>Brazil</v>
      </c>
      <c r="F323" s="481" t="str">
        <v>Korea Republic</v>
      </c>
      <c r="G323" s="481" t="str">
        <v>Switzerland</v>
      </c>
      <c r="H323" s="481" t="str">
        <v>Brazil</v>
      </c>
      <c r="I323" s="481" t="str">
        <v>USA</v>
      </c>
      <c r="J323" s="481" t="str">
        <v>Ecuador</v>
      </c>
      <c r="K323" s="481" t="str">
        <v>Japan</v>
      </c>
      <c r="L323" s="481" t="str">
        <v>Belgium</v>
      </c>
      <c r="M323" s="481" t="str">
        <v>Spain</v>
      </c>
      <c r="N323" s="481" t="str">
        <v>France</v>
      </c>
      <c r="O323" s="481" t="str">
        <v>Argentina</v>
      </c>
      <c r="P323" s="481" t="str">
        <v>Portugal</v>
      </c>
      <c r="Q323" s="490" t="str">
        <v>England</v>
      </c>
    </row>
    <row r="324" spans="1:17" x14ac:dyDescent="0.2">
      <c r="A324" s="489">
        <v>321</v>
      </c>
      <c r="B324" s="481" t="str">
        <v>France</v>
      </c>
      <c r="C324" s="481" t="str">
        <v>Colombia</v>
      </c>
      <c r="D324" s="481" t="str">
        <v>Brazil</v>
      </c>
      <c r="E324" s="481" t="str">
        <v>Mexico</v>
      </c>
      <c r="F324" s="481" t="str">
        <v>Korea Republic</v>
      </c>
      <c r="G324" s="481" t="str">
        <v>Canada</v>
      </c>
      <c r="H324" s="481" t="str">
        <v>Morocco</v>
      </c>
      <c r="I324" s="481" t="str">
        <v>USA</v>
      </c>
      <c r="J324" s="481" t="str">
        <v>Germany</v>
      </c>
      <c r="K324" s="481" t="str">
        <v>Japan</v>
      </c>
      <c r="L324" s="481" t="str">
        <v>Belgium</v>
      </c>
      <c r="M324" s="481" t="str">
        <v>Spain</v>
      </c>
      <c r="N324" s="481" t="str">
        <v>France</v>
      </c>
      <c r="O324" s="481" t="str">
        <v>Jordan</v>
      </c>
      <c r="P324" s="481" t="str">
        <v>Portugal</v>
      </c>
      <c r="Q324" s="490" t="str">
        <v>England</v>
      </c>
    </row>
    <row r="325" spans="1:17" x14ac:dyDescent="0.2">
      <c r="A325" s="489">
        <v>322</v>
      </c>
      <c r="B325" s="481" t="str">
        <v>USA</v>
      </c>
      <c r="C325" s="481" t="str">
        <v>Germany</v>
      </c>
      <c r="D325" s="481" t="str">
        <v>Brazil</v>
      </c>
      <c r="E325" s="481" t="str">
        <v>Argentina</v>
      </c>
      <c r="F325" s="481" t="str">
        <v>Mexico</v>
      </c>
      <c r="G325" s="481" t="str">
        <v>Bosnia-Herzegovina</v>
      </c>
      <c r="H325" s="481" t="str">
        <v>Brazil</v>
      </c>
      <c r="I325" s="481" t="str">
        <v>USA</v>
      </c>
      <c r="J325" s="481" t="str">
        <v>Germany</v>
      </c>
      <c r="K325" s="481" t="str">
        <v>Netherlands</v>
      </c>
      <c r="L325" s="481" t="str">
        <v>Egypt</v>
      </c>
      <c r="M325" s="481" t="str">
        <v>Uruguay</v>
      </c>
      <c r="N325" s="481" t="str">
        <v>Senegal</v>
      </c>
      <c r="O325" s="481" t="str">
        <v>Argentina</v>
      </c>
      <c r="P325" s="481" t="str">
        <v>Colombia</v>
      </c>
      <c r="Q325" s="490" t="str">
        <v>England</v>
      </c>
    </row>
    <row r="326" spans="1:17" x14ac:dyDescent="0.2">
      <c r="A326" s="489">
        <v>323</v>
      </c>
      <c r="B326" s="481" t="str">
        <v>Belgium</v>
      </c>
      <c r="C326" s="481" t="str">
        <v>Australia</v>
      </c>
      <c r="D326" s="481" t="str">
        <v>Morocco</v>
      </c>
      <c r="E326" s="481" t="str">
        <v>Uruguay</v>
      </c>
      <c r="F326" s="481" t="str">
        <v>Korea Republic</v>
      </c>
      <c r="G326" s="481" t="str">
        <v>Canada</v>
      </c>
      <c r="H326" s="481" t="str">
        <v>Brazil</v>
      </c>
      <c r="I326" s="481" t="str">
        <v>USA</v>
      </c>
      <c r="J326" s="481" t="str">
        <v>Germany</v>
      </c>
      <c r="K326" s="481" t="str">
        <v>Netherlands</v>
      </c>
      <c r="L326" s="481" t="str">
        <v>IR Iran</v>
      </c>
      <c r="M326" s="481" t="str">
        <v>Spain</v>
      </c>
      <c r="N326" s="481" t="str">
        <v>France</v>
      </c>
      <c r="O326" s="481" t="str">
        <v>Algeria</v>
      </c>
      <c r="P326" s="481" t="str">
        <v>Colombia</v>
      </c>
      <c r="Q326" s="490" t="str">
        <v>England</v>
      </c>
    </row>
    <row r="327" spans="1:17" x14ac:dyDescent="0.2">
      <c r="A327" s="489">
        <v>324</v>
      </c>
      <c r="B327" s="481" t="str">
        <v>Portugal</v>
      </c>
      <c r="C327" s="481" t="str">
        <v>England</v>
      </c>
      <c r="D327" s="481" t="str">
        <v>France</v>
      </c>
      <c r="E327" s="481" t="str">
        <v>Senegal</v>
      </c>
      <c r="F327" s="481" t="str">
        <v>Korea Republic</v>
      </c>
      <c r="G327" s="481" t="str">
        <v>Switzerland</v>
      </c>
      <c r="H327" s="481" t="str">
        <v>Brazil</v>
      </c>
      <c r="I327" s="481" t="str">
        <v>USA</v>
      </c>
      <c r="J327" s="481" t="str">
        <v>Germany</v>
      </c>
      <c r="K327" s="481" t="str">
        <v>Netherlands</v>
      </c>
      <c r="L327" s="481" t="str">
        <v>Belgium</v>
      </c>
      <c r="M327" s="481" t="str">
        <v>Spain</v>
      </c>
      <c r="N327" s="481" t="str">
        <v>Senegal</v>
      </c>
      <c r="O327" s="481" t="str">
        <v>Argentina</v>
      </c>
      <c r="P327" s="481" t="str">
        <v>Portugal</v>
      </c>
      <c r="Q327" s="490" t="str">
        <v>Ghana</v>
      </c>
    </row>
    <row r="328" spans="1:17" x14ac:dyDescent="0.2">
      <c r="A328" s="489">
        <v>325</v>
      </c>
      <c r="B328" s="481" t="str">
        <v>Germany</v>
      </c>
      <c r="C328" s="481" t="str">
        <v>Germany</v>
      </c>
      <c r="D328" s="481" t="str">
        <v>Brazil</v>
      </c>
      <c r="E328" s="481" t="str">
        <v>Morocco</v>
      </c>
      <c r="F328" s="481" t="str">
        <v>Korea Republic</v>
      </c>
      <c r="G328" s="481" t="str">
        <v>Switzerland</v>
      </c>
      <c r="H328" s="481" t="str">
        <v>Morocco</v>
      </c>
      <c r="I328" s="481" t="str">
        <v>USA</v>
      </c>
      <c r="J328" s="481" t="str">
        <v>Ecuador</v>
      </c>
      <c r="K328" s="481" t="str">
        <v>Sweden</v>
      </c>
      <c r="L328" s="481" t="str">
        <v>Belgium</v>
      </c>
      <c r="M328" s="481" t="str">
        <v>Spain</v>
      </c>
      <c r="N328" s="481" t="str">
        <v>France</v>
      </c>
      <c r="O328" s="481" t="str">
        <v>Austria</v>
      </c>
      <c r="P328" s="481" t="str">
        <v>Portugal</v>
      </c>
      <c r="Q328" s="490" t="str">
        <v>England</v>
      </c>
    </row>
    <row r="329" spans="1:17" x14ac:dyDescent="0.2">
      <c r="A329" s="489">
        <v>326</v>
      </c>
      <c r="B329" s="481" t="str">
        <v>England</v>
      </c>
      <c r="C329" s="481" t="str">
        <v>Mexico</v>
      </c>
      <c r="D329" s="481" t="str">
        <v>Argentina</v>
      </c>
      <c r="E329" s="481" t="str">
        <v>Germany</v>
      </c>
      <c r="F329" s="481" t="str">
        <v>Mexico</v>
      </c>
      <c r="G329" s="481" t="str">
        <v>Canada</v>
      </c>
      <c r="H329" s="481" t="str">
        <v>Morocco</v>
      </c>
      <c r="I329" s="481" t="str">
        <v>USA</v>
      </c>
      <c r="J329" s="481" t="str">
        <v>Germany</v>
      </c>
      <c r="K329" s="481" t="str">
        <v>Sweden</v>
      </c>
      <c r="L329" s="481" t="str">
        <v>Egypt</v>
      </c>
      <c r="M329" s="481" t="str">
        <v>Spain</v>
      </c>
      <c r="N329" s="481" t="str">
        <v>France</v>
      </c>
      <c r="O329" s="481" t="str">
        <v>Argentina</v>
      </c>
      <c r="P329" s="481" t="str">
        <v>Congo DR</v>
      </c>
      <c r="Q329" s="490" t="str">
        <v>England</v>
      </c>
    </row>
    <row r="330" spans="1:17" x14ac:dyDescent="0.2">
      <c r="A330" s="489">
        <v>327</v>
      </c>
      <c r="B330" s="481" t="str">
        <v>Germany</v>
      </c>
      <c r="C330" s="481" t="str">
        <v>Morocco</v>
      </c>
      <c r="D330" s="481" t="str">
        <v>Morocco</v>
      </c>
      <c r="E330" s="481" t="str">
        <v>England</v>
      </c>
      <c r="F330" s="481" t="str">
        <v>Mexico</v>
      </c>
      <c r="G330" s="481" t="str">
        <v>Switzerland</v>
      </c>
      <c r="H330" s="481" t="str">
        <v>Morocco</v>
      </c>
      <c r="I330" s="481" t="str">
        <v>USA</v>
      </c>
      <c r="J330" s="481" t="str">
        <v>Cote d'Ivorie</v>
      </c>
      <c r="K330" s="481" t="str">
        <v>Netherlands</v>
      </c>
      <c r="L330" s="481" t="str">
        <v>Egypt</v>
      </c>
      <c r="M330" s="481" t="str">
        <v>Spain</v>
      </c>
      <c r="N330" s="481" t="str">
        <v>Senegal</v>
      </c>
      <c r="O330" s="481" t="str">
        <v>Argentina</v>
      </c>
      <c r="P330" s="481" t="str">
        <v>Portugal</v>
      </c>
      <c r="Q330" s="490" t="str">
        <v>Croatia</v>
      </c>
    </row>
    <row r="331" spans="1:17" x14ac:dyDescent="0.2">
      <c r="A331" s="489">
        <v>328</v>
      </c>
      <c r="B331" s="481" t="str">
        <v>France</v>
      </c>
      <c r="C331" s="481" t="str">
        <v>USA</v>
      </c>
      <c r="D331" s="481" t="str">
        <v>Brazil</v>
      </c>
      <c r="E331" s="481" t="str">
        <v>Colombia</v>
      </c>
      <c r="F331" s="481" t="str">
        <v>Mexico</v>
      </c>
      <c r="G331" s="481" t="str">
        <v>Qatar</v>
      </c>
      <c r="H331" s="481" t="str">
        <v>Scotland</v>
      </c>
      <c r="I331" s="481" t="str">
        <v>USA</v>
      </c>
      <c r="J331" s="481" t="str">
        <v>Germany</v>
      </c>
      <c r="K331" s="481" t="str">
        <v>Japan</v>
      </c>
      <c r="L331" s="481" t="str">
        <v>IR Iran</v>
      </c>
      <c r="M331" s="481" t="str">
        <v>Cabo Verde</v>
      </c>
      <c r="N331" s="481" t="str">
        <v>France</v>
      </c>
      <c r="O331" s="481" t="str">
        <v>Argentina</v>
      </c>
      <c r="P331" s="481" t="str">
        <v>Colombia</v>
      </c>
      <c r="Q331" s="490" t="str">
        <v>Panama</v>
      </c>
    </row>
    <row r="332" spans="1:17" x14ac:dyDescent="0.2">
      <c r="A332" s="489">
        <v>329</v>
      </c>
      <c r="B332" s="481" t="str">
        <v>France</v>
      </c>
      <c r="C332" s="481" t="str">
        <v>Portugal</v>
      </c>
      <c r="D332" s="481" t="str">
        <v>Argentina</v>
      </c>
      <c r="E332" s="481" t="str">
        <v>Scotland</v>
      </c>
      <c r="F332" s="481" t="str">
        <v>Korea Republic</v>
      </c>
      <c r="G332" s="481" t="str">
        <v>Switzerland</v>
      </c>
      <c r="H332" s="481" t="str">
        <v>Brazil</v>
      </c>
      <c r="I332" s="481" t="str">
        <v>USA</v>
      </c>
      <c r="J332" s="481" t="str">
        <v>Cote d'Ivorie</v>
      </c>
      <c r="K332" s="481" t="str">
        <v>Japan</v>
      </c>
      <c r="L332" s="481" t="str">
        <v>Belgium</v>
      </c>
      <c r="M332" s="481" t="str">
        <v>Saudi Arabia</v>
      </c>
      <c r="N332" s="481" t="str">
        <v>France</v>
      </c>
      <c r="O332" s="481" t="str">
        <v>Argentina</v>
      </c>
      <c r="P332" s="481" t="str">
        <v>Portugal</v>
      </c>
      <c r="Q332" s="490" t="str">
        <v>Croatia</v>
      </c>
    </row>
    <row r="333" spans="1:17" x14ac:dyDescent="0.2">
      <c r="A333" s="489">
        <v>330</v>
      </c>
      <c r="B333" s="481" t="str">
        <v>Spain</v>
      </c>
      <c r="C333" s="481" t="str">
        <v>Senegal</v>
      </c>
      <c r="D333" s="481" t="str">
        <v>Norway</v>
      </c>
      <c r="E333" s="481" t="str">
        <v>Egypt</v>
      </c>
      <c r="F333" s="481" t="str">
        <v>Mexico</v>
      </c>
      <c r="G333" s="481" t="str">
        <v>Switzerland</v>
      </c>
      <c r="H333" s="481" t="str">
        <v>Morocco</v>
      </c>
      <c r="I333" s="481" t="str">
        <v>Australia</v>
      </c>
      <c r="J333" s="481" t="str">
        <v>Cote d'Ivorie</v>
      </c>
      <c r="K333" s="481" t="str">
        <v>Netherlands</v>
      </c>
      <c r="L333" s="481" t="str">
        <v>Belgium</v>
      </c>
      <c r="M333" s="481" t="str">
        <v>Spain</v>
      </c>
      <c r="N333" s="481" t="str">
        <v>France</v>
      </c>
      <c r="O333" s="481" t="str">
        <v>Argentina</v>
      </c>
      <c r="P333" s="481" t="str">
        <v>Portugal</v>
      </c>
      <c r="Q333" s="490" t="str">
        <v>England</v>
      </c>
    </row>
    <row r="334" spans="1:17" x14ac:dyDescent="0.2">
      <c r="A334" s="489">
        <v>331</v>
      </c>
      <c r="B334" s="481" t="str">
        <v>England</v>
      </c>
      <c r="C334" s="481" t="str">
        <v>Belgium</v>
      </c>
      <c r="D334" s="481" t="str">
        <v>Germany</v>
      </c>
      <c r="E334" s="481" t="str">
        <v>Morocco</v>
      </c>
      <c r="F334" s="481" t="str">
        <v>Mexico</v>
      </c>
      <c r="G334" s="481" t="str">
        <v>Canada</v>
      </c>
      <c r="H334" s="481" t="str">
        <v>Brazil</v>
      </c>
      <c r="I334" s="481" t="str">
        <v>Australia</v>
      </c>
      <c r="J334" s="481" t="str">
        <v>Cote d'Ivorie</v>
      </c>
      <c r="K334" s="481" t="str">
        <v>Netherlands</v>
      </c>
      <c r="L334" s="481" t="str">
        <v>Belgium</v>
      </c>
      <c r="M334" s="481" t="str">
        <v>Spain</v>
      </c>
      <c r="N334" s="481" t="str">
        <v>Norway</v>
      </c>
      <c r="O334" s="481" t="str">
        <v>Argentina</v>
      </c>
      <c r="P334" s="481" t="str">
        <v>Colombia</v>
      </c>
      <c r="Q334" s="490" t="str">
        <v>England</v>
      </c>
    </row>
    <row r="335" spans="1:17" x14ac:dyDescent="0.2">
      <c r="A335" s="489">
        <v>332</v>
      </c>
      <c r="B335" s="481" t="str">
        <v>Argentina</v>
      </c>
      <c r="C335" s="481" t="str">
        <v>France</v>
      </c>
      <c r="D335" s="481" t="str">
        <v>Norway</v>
      </c>
      <c r="E335" s="481" t="str">
        <v>Spain</v>
      </c>
      <c r="F335" s="481" t="str">
        <v>Mexico</v>
      </c>
      <c r="G335" s="481" t="str">
        <v>Switzerland</v>
      </c>
      <c r="H335" s="481" t="str">
        <v>Morocco</v>
      </c>
      <c r="I335" s="481" t="str">
        <v>Australia</v>
      </c>
      <c r="J335" s="481" t="str">
        <v>Cote d'Ivorie</v>
      </c>
      <c r="K335" s="481" t="str">
        <v>Japan</v>
      </c>
      <c r="L335" s="481" t="str">
        <v>Egypt</v>
      </c>
      <c r="M335" s="481" t="str">
        <v>Cabo Verde</v>
      </c>
      <c r="N335" s="481" t="str">
        <v>Senegal</v>
      </c>
      <c r="O335" s="481" t="str">
        <v>Argentina</v>
      </c>
      <c r="P335" s="481" t="str">
        <v>Portugal</v>
      </c>
      <c r="Q335" s="490" t="str">
        <v>Croatia</v>
      </c>
    </row>
    <row r="336" spans="1:17" x14ac:dyDescent="0.2">
      <c r="A336" s="489">
        <v>333</v>
      </c>
      <c r="B336" s="481" t="str">
        <v>Belgium</v>
      </c>
      <c r="C336" s="481" t="str">
        <v>France</v>
      </c>
      <c r="D336" s="481" t="str">
        <v>Ecuador</v>
      </c>
      <c r="E336" s="481" t="str">
        <v>England</v>
      </c>
      <c r="F336" s="481" t="str">
        <v>Korea Republic</v>
      </c>
      <c r="G336" s="481" t="str">
        <v>Canada</v>
      </c>
      <c r="H336" s="481" t="str">
        <v>Morocco</v>
      </c>
      <c r="I336" s="481" t="str">
        <v>USA</v>
      </c>
      <c r="J336" s="481" t="str">
        <v>Germany</v>
      </c>
      <c r="K336" s="481" t="str">
        <v>Sweden</v>
      </c>
      <c r="L336" s="481" t="str">
        <v>Belgium</v>
      </c>
      <c r="M336" s="481" t="str">
        <v>Uruguay</v>
      </c>
      <c r="N336" s="481" t="str">
        <v>France</v>
      </c>
      <c r="O336" s="481" t="str">
        <v>Austria</v>
      </c>
      <c r="P336" s="481" t="str">
        <v>Portugal</v>
      </c>
      <c r="Q336" s="490" t="str">
        <v>England</v>
      </c>
    </row>
    <row r="337" spans="1:17" x14ac:dyDescent="0.2">
      <c r="A337" s="489">
        <v>334</v>
      </c>
      <c r="B337" s="481" t="str">
        <v>England</v>
      </c>
      <c r="C337" s="481" t="str">
        <v>Ecuador</v>
      </c>
      <c r="D337" s="481" t="str">
        <v>Portugal</v>
      </c>
      <c r="E337" s="481" t="str">
        <v>Netherlands</v>
      </c>
      <c r="F337" s="481" t="str">
        <v>Korea Republic</v>
      </c>
      <c r="G337" s="481" t="str">
        <v>Canada</v>
      </c>
      <c r="H337" s="481" t="str">
        <v>Brazil</v>
      </c>
      <c r="I337" s="481" t="str">
        <v>USA</v>
      </c>
      <c r="J337" s="481" t="str">
        <v>Germany</v>
      </c>
      <c r="K337" s="481" t="str">
        <v>Netherlands</v>
      </c>
      <c r="L337" s="481" t="str">
        <v>Egypt</v>
      </c>
      <c r="M337" s="481" t="str">
        <v>Spain</v>
      </c>
      <c r="N337" s="481" t="str">
        <v>France</v>
      </c>
      <c r="O337" s="481" t="str">
        <v>Argentina</v>
      </c>
      <c r="P337" s="481" t="str">
        <v>Portugal</v>
      </c>
      <c r="Q337" s="490" t="str">
        <v>Croatia</v>
      </c>
    </row>
    <row r="338" spans="1:17" x14ac:dyDescent="0.2">
      <c r="A338" s="489">
        <v>335</v>
      </c>
      <c r="B338" s="481" t="str">
        <v>England</v>
      </c>
      <c r="C338" s="481" t="str">
        <v>Argentina</v>
      </c>
      <c r="D338" s="481" t="str">
        <v>Argentina</v>
      </c>
      <c r="E338" s="481" t="str">
        <v>Germany</v>
      </c>
      <c r="F338" s="481" t="str">
        <v>Korea Republic</v>
      </c>
      <c r="G338" s="481" t="str">
        <v>Switzerland</v>
      </c>
      <c r="H338" s="481" t="str">
        <v>Morocco</v>
      </c>
      <c r="I338" s="481" t="str">
        <v>Australia</v>
      </c>
      <c r="J338" s="481" t="str">
        <v>Cote d'Ivorie</v>
      </c>
      <c r="K338" s="481" t="str">
        <v>Japan</v>
      </c>
      <c r="L338" s="481" t="str">
        <v>Belgium</v>
      </c>
      <c r="M338" s="481" t="str">
        <v>Spain</v>
      </c>
      <c r="N338" s="481" t="str">
        <v>Senegal</v>
      </c>
      <c r="O338" s="481" t="str">
        <v>Algeria</v>
      </c>
      <c r="P338" s="481" t="str">
        <v>Portugal</v>
      </c>
      <c r="Q338" s="490" t="str">
        <v>Croatia</v>
      </c>
    </row>
    <row r="339" spans="1:17" x14ac:dyDescent="0.2">
      <c r="A339" s="489">
        <v>336</v>
      </c>
      <c r="B339" s="481" t="str">
        <v>Belgium</v>
      </c>
      <c r="C339" s="481" t="str">
        <v>Belgium</v>
      </c>
      <c r="D339" s="481" t="str">
        <v>Germany</v>
      </c>
      <c r="E339" s="481" t="str">
        <v>USA</v>
      </c>
      <c r="F339" s="481" t="str">
        <v>Korea Republic</v>
      </c>
      <c r="G339" s="481" t="str">
        <v>Canada</v>
      </c>
      <c r="H339" s="481" t="str">
        <v>Morocco</v>
      </c>
      <c r="I339" s="481" t="str">
        <v>Australia</v>
      </c>
      <c r="J339" s="481" t="str">
        <v>Germany</v>
      </c>
      <c r="K339" s="481" t="str">
        <v>Sweden</v>
      </c>
      <c r="L339" s="481" t="str">
        <v>Egypt</v>
      </c>
      <c r="M339" s="481" t="str">
        <v>Uruguay</v>
      </c>
      <c r="N339" s="481" t="str">
        <v>France</v>
      </c>
      <c r="O339" s="481" t="str">
        <v>Austria</v>
      </c>
      <c r="P339" s="481" t="str">
        <v>Colombia</v>
      </c>
      <c r="Q339" s="490" t="str">
        <v>Panama</v>
      </c>
    </row>
    <row r="340" spans="1:17" x14ac:dyDescent="0.2">
      <c r="A340" s="489">
        <v>337</v>
      </c>
      <c r="B340" s="481" t="str">
        <v>England</v>
      </c>
      <c r="C340" s="481" t="str">
        <v>Spain</v>
      </c>
      <c r="D340" s="481" t="str">
        <v>Portugal</v>
      </c>
      <c r="E340" s="481" t="str">
        <v>Croatia</v>
      </c>
      <c r="F340" s="481" t="str">
        <v>Mexico</v>
      </c>
      <c r="G340" s="481" t="str">
        <v>Switzerland</v>
      </c>
      <c r="H340" s="481" t="str">
        <v>Brazil</v>
      </c>
      <c r="I340" s="481" t="str">
        <v>USA</v>
      </c>
      <c r="J340" s="481" t="str">
        <v>Cote d'Ivorie</v>
      </c>
      <c r="K340" s="481" t="str">
        <v>Netherlands</v>
      </c>
      <c r="L340" s="481" t="str">
        <v>Belgium</v>
      </c>
      <c r="M340" s="481" t="str">
        <v>Spain</v>
      </c>
      <c r="N340" s="481" t="str">
        <v>France</v>
      </c>
      <c r="O340" s="481" t="str">
        <v>Austria</v>
      </c>
      <c r="P340" s="481" t="str">
        <v>Colombia</v>
      </c>
      <c r="Q340" s="490" t="str">
        <v>Panama</v>
      </c>
    </row>
    <row r="341" spans="1:17" x14ac:dyDescent="0.2">
      <c r="A341" s="489">
        <v>338</v>
      </c>
      <c r="B341" s="481" t="str">
        <v>Saudi Arabia</v>
      </c>
      <c r="C341" s="481" t="str">
        <v>Portugal</v>
      </c>
      <c r="D341" s="481" t="str">
        <v>France</v>
      </c>
      <c r="E341" s="481" t="str">
        <v>France</v>
      </c>
      <c r="F341" s="481" t="str">
        <v>Korea Republic</v>
      </c>
      <c r="G341" s="481" t="str">
        <v>Switzerland</v>
      </c>
      <c r="H341" s="481" t="str">
        <v>Scotland</v>
      </c>
      <c r="I341" s="481" t="str">
        <v>USA</v>
      </c>
      <c r="J341" s="481" t="str">
        <v>Germany</v>
      </c>
      <c r="K341" s="481" t="str">
        <v>Netherlands</v>
      </c>
      <c r="L341" s="481" t="str">
        <v>Egypt</v>
      </c>
      <c r="M341" s="481" t="str">
        <v>Uruguay</v>
      </c>
      <c r="N341" s="481" t="str">
        <v>Senegal</v>
      </c>
      <c r="O341" s="481" t="str">
        <v>Austria</v>
      </c>
      <c r="P341" s="481" t="str">
        <v>Portugal</v>
      </c>
      <c r="Q341" s="490" t="str">
        <v>England</v>
      </c>
    </row>
    <row r="342" spans="1:17" x14ac:dyDescent="0.2">
      <c r="A342" s="489">
        <v>339</v>
      </c>
      <c r="B342" s="481" t="str">
        <v>Germany</v>
      </c>
      <c r="C342" s="481" t="str">
        <v>Morocco</v>
      </c>
      <c r="D342" s="481" t="str">
        <v>Belgium</v>
      </c>
      <c r="E342" s="481" t="str">
        <v>Norway</v>
      </c>
      <c r="F342" s="481" t="str">
        <v>Mexico</v>
      </c>
      <c r="G342" s="481" t="str">
        <v>Canada</v>
      </c>
      <c r="H342" s="481" t="str">
        <v>Morocco</v>
      </c>
      <c r="I342" s="481" t="str">
        <v>USA</v>
      </c>
      <c r="J342" s="481" t="str">
        <v>Germany</v>
      </c>
      <c r="K342" s="481" t="str">
        <v>Netherlands</v>
      </c>
      <c r="L342" s="481" t="str">
        <v>Belgium</v>
      </c>
      <c r="M342" s="481" t="str">
        <v>Spain</v>
      </c>
      <c r="N342" s="481" t="str">
        <v>Senegal</v>
      </c>
      <c r="O342" s="481" t="str">
        <v>Argentina</v>
      </c>
      <c r="P342" s="481" t="str">
        <v>Colombia</v>
      </c>
      <c r="Q342" s="490" t="str">
        <v>England</v>
      </c>
    </row>
    <row r="343" spans="1:17" x14ac:dyDescent="0.2">
      <c r="A343" s="489">
        <v>340</v>
      </c>
      <c r="B343" s="481" t="str">
        <v>Belgium</v>
      </c>
      <c r="C343" s="481" t="str">
        <v>Mexico</v>
      </c>
      <c r="D343" s="481" t="str">
        <v>Belgium</v>
      </c>
      <c r="E343" s="481" t="str">
        <v>England</v>
      </c>
      <c r="F343" s="481" t="str">
        <v>Mexico</v>
      </c>
      <c r="G343" s="481" t="str">
        <v>Canada</v>
      </c>
      <c r="H343" s="481" t="str">
        <v>Scotland</v>
      </c>
      <c r="I343" s="481" t="str">
        <v>Australia</v>
      </c>
      <c r="J343" s="481" t="str">
        <v>Germany</v>
      </c>
      <c r="K343" s="481" t="str">
        <v>Netherlands</v>
      </c>
      <c r="L343" s="481" t="str">
        <v>Egypt</v>
      </c>
      <c r="M343" s="481" t="str">
        <v>Uruguay</v>
      </c>
      <c r="N343" s="481" t="str">
        <v>Senegal</v>
      </c>
      <c r="O343" s="481" t="str">
        <v>Argentina</v>
      </c>
      <c r="P343" s="481" t="str">
        <v>Portugal</v>
      </c>
      <c r="Q343" s="490" t="str">
        <v>England</v>
      </c>
    </row>
    <row r="344" spans="1:17" x14ac:dyDescent="0.2">
      <c r="A344" s="489">
        <v>341</v>
      </c>
      <c r="B344" s="481" t="str">
        <v>France</v>
      </c>
      <c r="C344" s="481" t="str">
        <v>Spain</v>
      </c>
      <c r="D344" s="481" t="str">
        <v>Korea Republic</v>
      </c>
      <c r="E344" s="481" t="str">
        <v>France</v>
      </c>
      <c r="F344" s="481" t="str">
        <v>Korea Republic</v>
      </c>
      <c r="G344" s="481" t="str">
        <v>Qatar</v>
      </c>
      <c r="H344" s="481" t="str">
        <v>Morocco</v>
      </c>
      <c r="I344" s="481" t="str">
        <v>Australia</v>
      </c>
      <c r="J344" s="481" t="str">
        <v>Germany</v>
      </c>
      <c r="K344" s="481" t="str">
        <v>Netherlands</v>
      </c>
      <c r="L344" s="481" t="str">
        <v>IR Iran</v>
      </c>
      <c r="M344" s="481" t="str">
        <v>Uruguay</v>
      </c>
      <c r="N344" s="481" t="str">
        <v>France</v>
      </c>
      <c r="O344" s="481" t="str">
        <v>Argentina</v>
      </c>
      <c r="P344" s="481" t="str">
        <v>Portugal</v>
      </c>
      <c r="Q344" s="490" t="str">
        <v>England</v>
      </c>
    </row>
    <row r="345" spans="1:17" x14ac:dyDescent="0.2">
      <c r="A345" s="489">
        <v>342</v>
      </c>
      <c r="B345" s="481" t="str">
        <v>Portugal</v>
      </c>
      <c r="C345" s="481" t="str">
        <v>Portugal</v>
      </c>
      <c r="D345" s="481" t="str">
        <v>Portugal</v>
      </c>
      <c r="E345" s="481" t="str">
        <v>Mexico</v>
      </c>
      <c r="F345" s="481" t="str">
        <v>Korea Republic</v>
      </c>
      <c r="G345" s="481" t="str">
        <v>Canada</v>
      </c>
      <c r="H345" s="481" t="str">
        <v>Morocco</v>
      </c>
      <c r="I345" s="481" t="str">
        <v>USA</v>
      </c>
      <c r="J345" s="481" t="str">
        <v>Germany</v>
      </c>
      <c r="K345" s="481" t="str">
        <v>Sweden</v>
      </c>
      <c r="L345" s="481" t="str">
        <v>New Zealand</v>
      </c>
      <c r="M345" s="481" t="str">
        <v>Spain</v>
      </c>
      <c r="N345" s="481" t="str">
        <v>France</v>
      </c>
      <c r="O345" s="481" t="str">
        <v>Argentina</v>
      </c>
      <c r="P345" s="481" t="str">
        <v>Portugal</v>
      </c>
      <c r="Q345" s="490" t="str">
        <v>England</v>
      </c>
    </row>
    <row r="346" spans="1:17" x14ac:dyDescent="0.2">
      <c r="A346" s="489">
        <v>343</v>
      </c>
      <c r="B346" s="481" t="str">
        <v>Portugal</v>
      </c>
      <c r="C346" s="481" t="str">
        <v>Switzerland</v>
      </c>
      <c r="D346" s="481" t="str">
        <v>Argentina</v>
      </c>
      <c r="E346" s="481" t="str">
        <v>England</v>
      </c>
      <c r="F346" s="481" t="str">
        <v>Czechia</v>
      </c>
      <c r="G346" s="481" t="str">
        <v>Switzerland</v>
      </c>
      <c r="H346" s="481" t="str">
        <v>Brazil</v>
      </c>
      <c r="I346" s="481" t="str">
        <v>USA</v>
      </c>
      <c r="J346" s="481" t="str">
        <v>Germany</v>
      </c>
      <c r="K346" s="481" t="str">
        <v>Netherlands</v>
      </c>
      <c r="L346" s="481" t="str">
        <v>Belgium</v>
      </c>
      <c r="M346" s="481" t="str">
        <v>Uruguay</v>
      </c>
      <c r="N346" s="481" t="str">
        <v>Senegal</v>
      </c>
      <c r="O346" s="481" t="str">
        <v>Argentina</v>
      </c>
      <c r="P346" s="481" t="str">
        <v>Colombia</v>
      </c>
      <c r="Q346" s="490" t="str">
        <v>England</v>
      </c>
    </row>
    <row r="347" spans="1:17" x14ac:dyDescent="0.2">
      <c r="A347" s="489">
        <v>344</v>
      </c>
      <c r="B347" s="481" t="str">
        <v>France</v>
      </c>
      <c r="C347" s="481" t="str">
        <v>Portugal</v>
      </c>
      <c r="D347" s="481" t="str">
        <v>France</v>
      </c>
      <c r="E347" s="481" t="str">
        <v>Brazil</v>
      </c>
      <c r="F347" s="481" t="str">
        <v>Korea Republic</v>
      </c>
      <c r="G347" s="481" t="str">
        <v>Bosnia-Herzegovina</v>
      </c>
      <c r="H347" s="481" t="str">
        <v>Morocco</v>
      </c>
      <c r="I347" s="481" t="str">
        <v>Australia</v>
      </c>
      <c r="J347" s="481" t="str">
        <v>Cote d'Ivorie</v>
      </c>
      <c r="K347" s="481" t="str">
        <v>Japan</v>
      </c>
      <c r="L347" s="481" t="str">
        <v>IR Iran</v>
      </c>
      <c r="M347" s="481" t="str">
        <v>Spain</v>
      </c>
      <c r="N347" s="481" t="str">
        <v>France</v>
      </c>
      <c r="O347" s="481" t="str">
        <v>Algeria</v>
      </c>
      <c r="P347" s="481" t="str">
        <v>Colombia</v>
      </c>
      <c r="Q347" s="490" t="str">
        <v>England</v>
      </c>
    </row>
    <row r="348" spans="1:17" x14ac:dyDescent="0.2">
      <c r="A348" s="489">
        <v>345</v>
      </c>
      <c r="B348" s="481" t="str">
        <v>Brazil</v>
      </c>
      <c r="C348" s="481" t="str">
        <v>Portugal</v>
      </c>
      <c r="D348" s="481" t="str">
        <v>Uruguay</v>
      </c>
      <c r="E348" s="481" t="str">
        <v>Netherlands</v>
      </c>
      <c r="F348" s="481" t="str">
        <v>Korea Republic</v>
      </c>
      <c r="G348" s="481" t="str">
        <v>Switzerland</v>
      </c>
      <c r="H348" s="481" t="str">
        <v>Morocco</v>
      </c>
      <c r="I348" s="481" t="str">
        <v>USA</v>
      </c>
      <c r="J348" s="481" t="str">
        <v>Germany</v>
      </c>
      <c r="K348" s="481" t="str">
        <v>Sweden</v>
      </c>
      <c r="L348" s="481" t="str">
        <v>Belgium</v>
      </c>
      <c r="M348" s="481" t="str">
        <v>Spain</v>
      </c>
      <c r="N348" s="481" t="str">
        <v>Senegal</v>
      </c>
      <c r="O348" s="481" t="str">
        <v>Argentina</v>
      </c>
      <c r="P348" s="481" t="str">
        <v>Colombia</v>
      </c>
      <c r="Q348" s="490" t="str">
        <v>England</v>
      </c>
    </row>
    <row r="349" spans="1:17" x14ac:dyDescent="0.2">
      <c r="A349" s="489">
        <v>346</v>
      </c>
      <c r="B349" s="481" t="str">
        <v>Netherlands</v>
      </c>
      <c r="C349" s="481" t="str">
        <v>Argentina</v>
      </c>
      <c r="D349" s="481" t="str">
        <v>Croatia</v>
      </c>
      <c r="E349" s="481" t="str">
        <v>Uruguay</v>
      </c>
      <c r="F349" s="481" t="str">
        <v>Mexico</v>
      </c>
      <c r="G349" s="481" t="str">
        <v>Canada</v>
      </c>
      <c r="H349" s="481" t="str">
        <v>Morocco</v>
      </c>
      <c r="I349" s="481" t="str">
        <v>Australia</v>
      </c>
      <c r="J349" s="481" t="str">
        <v>Germany</v>
      </c>
      <c r="K349" s="481" t="str">
        <v>Japan</v>
      </c>
      <c r="L349" s="481" t="str">
        <v>Belgium</v>
      </c>
      <c r="M349" s="481" t="str">
        <v>Spain</v>
      </c>
      <c r="N349" s="481" t="str">
        <v>France</v>
      </c>
      <c r="O349" s="481" t="str">
        <v>Argentina</v>
      </c>
      <c r="P349" s="481" t="str">
        <v>Portugal</v>
      </c>
      <c r="Q349" s="490" t="str">
        <v>England</v>
      </c>
    </row>
    <row r="350" spans="1:17" x14ac:dyDescent="0.2">
      <c r="A350" s="489">
        <v>347</v>
      </c>
      <c r="B350" s="481" t="str">
        <v>Mexico</v>
      </c>
      <c r="C350" s="481" t="str">
        <v>Brazil</v>
      </c>
      <c r="D350" s="481" t="str">
        <v>Colombia</v>
      </c>
      <c r="E350" s="481" t="str">
        <v>England</v>
      </c>
      <c r="F350" s="481" t="str">
        <v>Korea Republic</v>
      </c>
      <c r="G350" s="481" t="str">
        <v>Switzerland</v>
      </c>
      <c r="H350" s="481" t="str">
        <v>Morocco</v>
      </c>
      <c r="I350" s="481" t="str">
        <v>USA</v>
      </c>
      <c r="J350" s="481" t="str">
        <v>Germany</v>
      </c>
      <c r="K350" s="481" t="str">
        <v>Netherlands</v>
      </c>
      <c r="L350" s="481" t="str">
        <v>Egypt</v>
      </c>
      <c r="M350" s="481" t="str">
        <v>Spain</v>
      </c>
      <c r="N350" s="481" t="str">
        <v>France</v>
      </c>
      <c r="O350" s="481" t="str">
        <v>Argentina</v>
      </c>
      <c r="P350" s="481" t="str">
        <v>Colombia</v>
      </c>
      <c r="Q350" s="490" t="str">
        <v>England</v>
      </c>
    </row>
    <row r="351" spans="1:17" x14ac:dyDescent="0.2">
      <c r="A351" s="489">
        <v>348</v>
      </c>
      <c r="B351" s="481" t="str">
        <v>Morocco</v>
      </c>
      <c r="C351" s="481" t="str">
        <v>Germany</v>
      </c>
      <c r="D351" s="481" t="str">
        <v>Colombia</v>
      </c>
      <c r="E351" s="481" t="str">
        <v>Netherlands</v>
      </c>
      <c r="F351" s="481" t="str">
        <v>Korea Republic</v>
      </c>
      <c r="G351" s="481" t="str">
        <v>Canada</v>
      </c>
      <c r="H351" s="481" t="str">
        <v>Morocco</v>
      </c>
      <c r="I351" s="481" t="str">
        <v>USA</v>
      </c>
      <c r="J351" s="481" t="str">
        <v>Germany</v>
      </c>
      <c r="K351" s="481" t="str">
        <v>Netherlands</v>
      </c>
      <c r="L351" s="481" t="str">
        <v>Belgium</v>
      </c>
      <c r="M351" s="481" t="str">
        <v>Uruguay</v>
      </c>
      <c r="N351" s="481" t="str">
        <v>Norway</v>
      </c>
      <c r="O351" s="481" t="str">
        <v>Algeria</v>
      </c>
      <c r="P351" s="481" t="str">
        <v>Portugal</v>
      </c>
      <c r="Q351" s="490" t="str">
        <v>England</v>
      </c>
    </row>
    <row r="352" spans="1:17" x14ac:dyDescent="0.2">
      <c r="A352" s="489">
        <v>349</v>
      </c>
      <c r="B352" s="481" t="str">
        <v>USA</v>
      </c>
      <c r="C352" s="481" t="str">
        <v>Norway</v>
      </c>
      <c r="D352" s="481" t="str">
        <v>USA</v>
      </c>
      <c r="E352" s="481" t="str">
        <v>Morocco</v>
      </c>
      <c r="F352" s="481" t="str">
        <v>Mexico</v>
      </c>
      <c r="G352" s="481" t="str">
        <v>Canada</v>
      </c>
      <c r="H352" s="481" t="str">
        <v>Brazil</v>
      </c>
      <c r="I352" s="481" t="str">
        <v>USA</v>
      </c>
      <c r="J352" s="481" t="str">
        <v>Germany</v>
      </c>
      <c r="K352" s="481" t="str">
        <v>Tunisia</v>
      </c>
      <c r="L352" s="481" t="str">
        <v>IR Iran</v>
      </c>
      <c r="M352" s="481" t="str">
        <v>Spain</v>
      </c>
      <c r="N352" s="481" t="str">
        <v>Senegal</v>
      </c>
      <c r="O352" s="481" t="str">
        <v>Argentina</v>
      </c>
      <c r="P352" s="481" t="str">
        <v>Portugal</v>
      </c>
      <c r="Q352" s="490" t="str">
        <v>England</v>
      </c>
    </row>
    <row r="353" spans="1:17" x14ac:dyDescent="0.2">
      <c r="A353" s="489">
        <v>350</v>
      </c>
      <c r="B353" s="481" t="str">
        <v>Colombia</v>
      </c>
      <c r="C353" s="481" t="str">
        <v>Portugal</v>
      </c>
      <c r="D353" s="481" t="str">
        <v>Netherlands</v>
      </c>
      <c r="E353" s="481" t="str">
        <v>Colombia</v>
      </c>
      <c r="F353" s="481" t="str">
        <v>Mexico</v>
      </c>
      <c r="G353" s="481" t="str">
        <v>Qatar</v>
      </c>
      <c r="H353" s="481" t="str">
        <v>Brazil</v>
      </c>
      <c r="I353" s="481" t="str">
        <v>USA</v>
      </c>
      <c r="J353" s="481" t="str">
        <v>Cote d'Ivorie</v>
      </c>
      <c r="K353" s="481" t="str">
        <v>Sweden</v>
      </c>
      <c r="L353" s="481" t="str">
        <v>Belgium</v>
      </c>
      <c r="M353" s="481" t="str">
        <v>Spain</v>
      </c>
      <c r="N353" s="481" t="str">
        <v>Senegal</v>
      </c>
      <c r="O353" s="481" t="str">
        <v>Argentina</v>
      </c>
      <c r="P353" s="481" t="str">
        <v>Portugal</v>
      </c>
      <c r="Q353" s="490" t="str">
        <v>Panama</v>
      </c>
    </row>
    <row r="354" spans="1:17" x14ac:dyDescent="0.2">
      <c r="A354" s="489">
        <v>351</v>
      </c>
      <c r="B354" s="481" t="str">
        <v>Austria</v>
      </c>
      <c r="C354" s="481" t="str">
        <v>Belgium</v>
      </c>
      <c r="D354" s="481" t="str">
        <v>England</v>
      </c>
      <c r="E354" s="481" t="str">
        <v>Switzerland</v>
      </c>
      <c r="F354" s="481" t="str">
        <v>Korea Republic</v>
      </c>
      <c r="G354" s="481" t="str">
        <v>Switzerland</v>
      </c>
      <c r="H354" s="481" t="str">
        <v>Scotland</v>
      </c>
      <c r="I354" s="481" t="str">
        <v>Australia</v>
      </c>
      <c r="J354" s="481" t="str">
        <v>Germany</v>
      </c>
      <c r="K354" s="481" t="str">
        <v>Netherlands</v>
      </c>
      <c r="L354" s="481" t="str">
        <v>Belgium</v>
      </c>
      <c r="M354" s="481" t="str">
        <v>Spain</v>
      </c>
      <c r="N354" s="481" t="str">
        <v>France</v>
      </c>
      <c r="O354" s="481" t="str">
        <v>Argentina</v>
      </c>
      <c r="P354" s="481" t="str">
        <v>Portugal</v>
      </c>
      <c r="Q354" s="490" t="str">
        <v>England</v>
      </c>
    </row>
    <row r="355" spans="1:17" x14ac:dyDescent="0.2">
      <c r="A355" s="489">
        <v>352</v>
      </c>
      <c r="B355" s="481" t="str">
        <v>Spain</v>
      </c>
      <c r="C355" s="481" t="str">
        <v>France</v>
      </c>
      <c r="D355" s="481" t="str">
        <v>Netherlands</v>
      </c>
      <c r="E355" s="481" t="str">
        <v>Spain</v>
      </c>
      <c r="F355" s="481" t="str">
        <v>Mexico</v>
      </c>
      <c r="G355" s="481" t="str">
        <v>Switzerland</v>
      </c>
      <c r="H355" s="481" t="str">
        <v>Morocco</v>
      </c>
      <c r="I355" s="481" t="str">
        <v>Australia</v>
      </c>
      <c r="J355" s="481" t="str">
        <v>Cote d'Ivorie</v>
      </c>
      <c r="K355" s="481" t="str">
        <v>Netherlands</v>
      </c>
      <c r="L355" s="481" t="str">
        <v>Egypt</v>
      </c>
      <c r="M355" s="481" t="str">
        <v>Spain</v>
      </c>
      <c r="N355" s="481" t="str">
        <v>Norway</v>
      </c>
      <c r="O355" s="481" t="str">
        <v>Argentina</v>
      </c>
      <c r="P355" s="481" t="str">
        <v>Portugal</v>
      </c>
      <c r="Q355" s="490" t="str">
        <v>England</v>
      </c>
    </row>
    <row r="356" spans="1:17" x14ac:dyDescent="0.2">
      <c r="A356" s="489">
        <v>353</v>
      </c>
      <c r="B356" s="481" t="str">
        <v>Argentina</v>
      </c>
      <c r="C356" s="481" t="str">
        <v>Norway</v>
      </c>
      <c r="D356" s="481" t="str">
        <v>Brazil</v>
      </c>
      <c r="E356" s="481" t="str">
        <v>Argentina</v>
      </c>
      <c r="F356" s="481" t="str">
        <v>Mexico</v>
      </c>
      <c r="G356" s="481" t="str">
        <v>Switzerland</v>
      </c>
      <c r="H356" s="481" t="str">
        <v>Brazil</v>
      </c>
      <c r="I356" s="481" t="str">
        <v>Australia</v>
      </c>
      <c r="J356" s="481" t="str">
        <v>Germany</v>
      </c>
      <c r="K356" s="481" t="str">
        <v>Sweden</v>
      </c>
      <c r="L356" s="481" t="str">
        <v>Egypt</v>
      </c>
      <c r="M356" s="481" t="str">
        <v>Uruguay</v>
      </c>
      <c r="N356" s="481" t="str">
        <v>Senegal</v>
      </c>
      <c r="O356" s="481" t="str">
        <v>Argentina</v>
      </c>
      <c r="P356" s="481" t="str">
        <v>Portugal</v>
      </c>
      <c r="Q356" s="490" t="str">
        <v>Croatia</v>
      </c>
    </row>
    <row r="357" spans="1:17" x14ac:dyDescent="0.2">
      <c r="A357" s="489">
        <v>354</v>
      </c>
      <c r="B357" s="481" t="str">
        <v>Mexico</v>
      </c>
      <c r="C357" s="481" t="str">
        <v>Portugal</v>
      </c>
      <c r="D357" s="481" t="str">
        <v>Ecuador</v>
      </c>
      <c r="E357" s="481" t="str">
        <v>Mexico</v>
      </c>
      <c r="F357" s="481" t="str">
        <v>Korea Republic</v>
      </c>
      <c r="G357" s="481" t="str">
        <v>Canada</v>
      </c>
      <c r="H357" s="481" t="str">
        <v>Morocco</v>
      </c>
      <c r="I357" s="481" t="str">
        <v>USA</v>
      </c>
      <c r="J357" s="481" t="str">
        <v>Cote d'Ivorie</v>
      </c>
      <c r="K357" s="481" t="str">
        <v>Netherlands</v>
      </c>
      <c r="L357" s="481" t="str">
        <v>Belgium</v>
      </c>
      <c r="M357" s="481" t="str">
        <v>Spain</v>
      </c>
      <c r="N357" s="481" t="str">
        <v>France</v>
      </c>
      <c r="O357" s="481" t="str">
        <v>Argentina</v>
      </c>
      <c r="P357" s="481" t="str">
        <v>Colombia</v>
      </c>
      <c r="Q357" s="490" t="str">
        <v>England</v>
      </c>
    </row>
    <row r="358" spans="1:17" x14ac:dyDescent="0.2">
      <c r="A358" s="489">
        <v>355</v>
      </c>
      <c r="B358" s="481" t="str">
        <v>Germany</v>
      </c>
      <c r="C358" s="481" t="str">
        <v>Germany</v>
      </c>
      <c r="D358" s="481" t="str">
        <v>Brazil</v>
      </c>
      <c r="E358" s="481" t="str">
        <v>Germany</v>
      </c>
      <c r="F358" s="481" t="str">
        <v>Mexico</v>
      </c>
      <c r="G358" s="481" t="str">
        <v>Switzerland</v>
      </c>
      <c r="H358" s="481" t="str">
        <v>Morocco</v>
      </c>
      <c r="I358" s="481" t="str">
        <v>Australia</v>
      </c>
      <c r="J358" s="481" t="str">
        <v>Germany</v>
      </c>
      <c r="K358" s="481" t="str">
        <v>Netherlands</v>
      </c>
      <c r="L358" s="481" t="str">
        <v>IR Iran</v>
      </c>
      <c r="M358" s="481" t="str">
        <v>Spain</v>
      </c>
      <c r="N358" s="481" t="str">
        <v>France</v>
      </c>
      <c r="O358" s="481" t="str">
        <v>Argentina</v>
      </c>
      <c r="P358" s="481" t="str">
        <v>Colombia</v>
      </c>
      <c r="Q358" s="490" t="str">
        <v>Croatia</v>
      </c>
    </row>
    <row r="359" spans="1:17" x14ac:dyDescent="0.2">
      <c r="A359" s="489">
        <v>356</v>
      </c>
      <c r="B359" s="481" t="str">
        <v>Argentina</v>
      </c>
      <c r="C359" s="481" t="str">
        <v>Germany</v>
      </c>
      <c r="D359" s="481" t="str">
        <v>Senegal</v>
      </c>
      <c r="E359" s="481" t="str">
        <v>Colombia</v>
      </c>
      <c r="F359" s="481" t="str">
        <v>Mexico</v>
      </c>
      <c r="G359" s="481" t="str">
        <v>Switzerland</v>
      </c>
      <c r="H359" s="481" t="str">
        <v>Brazil</v>
      </c>
      <c r="I359" s="481" t="str">
        <v>USA</v>
      </c>
      <c r="J359" s="481" t="str">
        <v>Germany</v>
      </c>
      <c r="K359" s="481" t="str">
        <v>Netherlands</v>
      </c>
      <c r="L359" s="481" t="str">
        <v>IR Iran</v>
      </c>
      <c r="M359" s="481" t="str">
        <v>Uruguay</v>
      </c>
      <c r="N359" s="481" t="str">
        <v>France</v>
      </c>
      <c r="O359" s="481" t="str">
        <v>Argentina</v>
      </c>
      <c r="P359" s="481" t="str">
        <v>Portugal</v>
      </c>
      <c r="Q359" s="490" t="str">
        <v>Panama</v>
      </c>
    </row>
    <row r="360" spans="1:17" x14ac:dyDescent="0.2">
      <c r="A360" s="489">
        <v>357</v>
      </c>
      <c r="B360" s="481" t="str">
        <v>France</v>
      </c>
      <c r="C360" s="481" t="str">
        <v>Croatia</v>
      </c>
      <c r="D360" s="481" t="str">
        <v>Argentina</v>
      </c>
      <c r="E360" s="481" t="str">
        <v>Argentina</v>
      </c>
      <c r="F360" s="481" t="str">
        <v>Mexico</v>
      </c>
      <c r="G360" s="481" t="str">
        <v>Switzerland</v>
      </c>
      <c r="H360" s="481" t="str">
        <v>Morocco</v>
      </c>
      <c r="I360" s="481" t="str">
        <v>Australia</v>
      </c>
      <c r="J360" s="481" t="str">
        <v>Germany</v>
      </c>
      <c r="K360" s="481" t="str">
        <v>Netherlands</v>
      </c>
      <c r="L360" s="481" t="str">
        <v>Belgium</v>
      </c>
      <c r="M360" s="481" t="str">
        <v>Spain</v>
      </c>
      <c r="N360" s="481" t="str">
        <v>France</v>
      </c>
      <c r="O360" s="481" t="str">
        <v>Argentina</v>
      </c>
      <c r="P360" s="481" t="str">
        <v>Portugal</v>
      </c>
      <c r="Q360" s="490" t="str">
        <v>England</v>
      </c>
    </row>
    <row r="361" spans="1:17" x14ac:dyDescent="0.2">
      <c r="A361" s="489">
        <v>358</v>
      </c>
      <c r="B361" s="481" t="str">
        <v>Colombia</v>
      </c>
      <c r="C361" s="481" t="str">
        <v>Brazil</v>
      </c>
      <c r="D361" s="481" t="str">
        <v>Brazil</v>
      </c>
      <c r="E361" s="481" t="str">
        <v>Uruguay</v>
      </c>
      <c r="F361" s="481" t="str">
        <v>Korea Republic</v>
      </c>
      <c r="G361" s="481" t="str">
        <v>Switzerland</v>
      </c>
      <c r="H361" s="481" t="str">
        <v>Morocco</v>
      </c>
      <c r="I361" s="481" t="str">
        <v>USA</v>
      </c>
      <c r="J361" s="481" t="str">
        <v>Germany</v>
      </c>
      <c r="K361" s="481" t="str">
        <v>Netherlands</v>
      </c>
      <c r="L361" s="481" t="str">
        <v>Belgium</v>
      </c>
      <c r="M361" s="481" t="str">
        <v>Uruguay</v>
      </c>
      <c r="N361" s="481" t="str">
        <v>France</v>
      </c>
      <c r="O361" s="481" t="str">
        <v>Argentina</v>
      </c>
      <c r="P361" s="481" t="str">
        <v>Colombia</v>
      </c>
      <c r="Q361" s="490" t="str">
        <v>Panama</v>
      </c>
    </row>
    <row r="362" spans="1:17" x14ac:dyDescent="0.2">
      <c r="A362" s="489">
        <v>359</v>
      </c>
      <c r="B362" s="481" t="str">
        <v>Portugal</v>
      </c>
      <c r="C362" s="481" t="str">
        <v>Japan</v>
      </c>
      <c r="D362" s="481" t="str">
        <v>Switzerland</v>
      </c>
      <c r="E362" s="481" t="str">
        <v>Croatia</v>
      </c>
      <c r="F362" s="481" t="str">
        <v>Mexico</v>
      </c>
      <c r="G362" s="481" t="str">
        <v>Canada</v>
      </c>
      <c r="H362" s="481" t="str">
        <v>Brazil</v>
      </c>
      <c r="I362" s="481" t="str">
        <v>USA</v>
      </c>
      <c r="J362" s="481" t="str">
        <v>Germany</v>
      </c>
      <c r="K362" s="481" t="str">
        <v>Japan</v>
      </c>
      <c r="L362" s="481" t="str">
        <v>Belgium</v>
      </c>
      <c r="M362" s="481" t="str">
        <v>Spain</v>
      </c>
      <c r="N362" s="481" t="str">
        <v>France</v>
      </c>
      <c r="O362" s="481" t="str">
        <v>Argentina</v>
      </c>
      <c r="P362" s="481" t="str">
        <v>Portugal</v>
      </c>
      <c r="Q362" s="490" t="str">
        <v>England</v>
      </c>
    </row>
    <row r="363" spans="1:17" x14ac:dyDescent="0.2">
      <c r="A363" s="489">
        <v>360</v>
      </c>
      <c r="B363" s="481" t="str">
        <v>Spain</v>
      </c>
      <c r="C363" s="481" t="str">
        <v>Brazil</v>
      </c>
      <c r="D363" s="481" t="str">
        <v>England</v>
      </c>
      <c r="E363" s="481" t="str">
        <v>Belgium</v>
      </c>
      <c r="F363" s="481" t="str">
        <v>Korea Republic</v>
      </c>
      <c r="G363" s="481" t="str">
        <v>Canada</v>
      </c>
      <c r="H363" s="481" t="str">
        <v>Morocco</v>
      </c>
      <c r="I363" s="481" t="str">
        <v>USA</v>
      </c>
      <c r="J363" s="481" t="str">
        <v>Germany</v>
      </c>
      <c r="K363" s="481" t="str">
        <v>Netherlands</v>
      </c>
      <c r="L363" s="481" t="str">
        <v>Belgium</v>
      </c>
      <c r="M363" s="481" t="str">
        <v>Uruguay</v>
      </c>
      <c r="N363" s="481" t="str">
        <v>France</v>
      </c>
      <c r="O363" s="481" t="str">
        <v>Algeria</v>
      </c>
      <c r="P363" s="481" t="str">
        <v>Colombia</v>
      </c>
      <c r="Q363" s="490" t="str">
        <v>Panama</v>
      </c>
    </row>
    <row r="364" spans="1:17" x14ac:dyDescent="0.2">
      <c r="A364" s="489">
        <v>361</v>
      </c>
      <c r="B364" s="481" t="str">
        <v>Argentina</v>
      </c>
      <c r="C364" s="481" t="str">
        <v>Spain</v>
      </c>
      <c r="D364" s="481" t="str">
        <v>France</v>
      </c>
      <c r="E364" s="481" t="str">
        <v>Spain</v>
      </c>
      <c r="F364" s="481" t="str">
        <v>Korea Republic</v>
      </c>
      <c r="G364" s="481" t="str">
        <v>Switzerland</v>
      </c>
      <c r="H364" s="481" t="str">
        <v>Morocco</v>
      </c>
      <c r="I364" s="481" t="str">
        <v>USA</v>
      </c>
      <c r="J364" s="481" t="str">
        <v>Germany</v>
      </c>
      <c r="K364" s="481" t="str">
        <v>Japan</v>
      </c>
      <c r="L364" s="481" t="str">
        <v>Belgium</v>
      </c>
      <c r="M364" s="481" t="str">
        <v>Spain</v>
      </c>
      <c r="N364" s="481" t="str">
        <v>France</v>
      </c>
      <c r="O364" s="481" t="str">
        <v>Argentina</v>
      </c>
      <c r="P364" s="481" t="str">
        <v>Colombia</v>
      </c>
      <c r="Q364" s="490" t="str">
        <v>England</v>
      </c>
    </row>
    <row r="365" spans="1:17" x14ac:dyDescent="0.2">
      <c r="A365" s="489">
        <v>362</v>
      </c>
      <c r="B365" s="481" t="str">
        <v>Argentina</v>
      </c>
      <c r="C365" s="481" t="str">
        <v>Portugal</v>
      </c>
      <c r="D365" s="481" t="str">
        <v>Netherlands</v>
      </c>
      <c r="E365" s="481" t="str">
        <v>Germany</v>
      </c>
      <c r="F365" s="481" t="str">
        <v>Mexico</v>
      </c>
      <c r="G365" s="481" t="str">
        <v>Qatar</v>
      </c>
      <c r="H365" s="481" t="str">
        <v>Brazil</v>
      </c>
      <c r="I365" s="481" t="str">
        <v>USA</v>
      </c>
      <c r="J365" s="481" t="str">
        <v>Germany</v>
      </c>
      <c r="K365" s="481" t="str">
        <v>Sweden</v>
      </c>
      <c r="L365" s="481" t="str">
        <v>Egypt</v>
      </c>
      <c r="M365" s="481" t="str">
        <v>Spain</v>
      </c>
      <c r="N365" s="481" t="str">
        <v>France</v>
      </c>
      <c r="O365" s="481" t="str">
        <v>Argentina</v>
      </c>
      <c r="P365" s="481" t="str">
        <v>Colombia</v>
      </c>
      <c r="Q365" s="490" t="str">
        <v>England</v>
      </c>
    </row>
    <row r="366" spans="1:17" x14ac:dyDescent="0.2">
      <c r="A366" s="489">
        <v>363</v>
      </c>
      <c r="B366" s="481" t="str">
        <v>Portugal</v>
      </c>
      <c r="C366" s="481" t="str">
        <v>Netherlands</v>
      </c>
      <c r="D366" s="481" t="str">
        <v>France</v>
      </c>
      <c r="E366" s="481" t="str">
        <v>Brazil</v>
      </c>
      <c r="F366" s="481" t="str">
        <v>South Africa</v>
      </c>
      <c r="G366" s="481" t="str">
        <v>Qatar</v>
      </c>
      <c r="H366" s="481" t="str">
        <v>Brazil</v>
      </c>
      <c r="I366" s="481" t="str">
        <v>Australia</v>
      </c>
      <c r="J366" s="481" t="str">
        <v>Germany</v>
      </c>
      <c r="K366" s="481" t="str">
        <v>Sweden</v>
      </c>
      <c r="L366" s="481" t="str">
        <v>Belgium</v>
      </c>
      <c r="M366" s="481" t="str">
        <v>Uruguay</v>
      </c>
      <c r="N366" s="481" t="str">
        <v>Norway</v>
      </c>
      <c r="O366" s="481" t="str">
        <v>Argentina</v>
      </c>
      <c r="P366" s="481" t="str">
        <v>Portugal</v>
      </c>
      <c r="Q366" s="490" t="str">
        <v>Croatia</v>
      </c>
    </row>
    <row r="367" spans="1:17" x14ac:dyDescent="0.2">
      <c r="A367" s="489">
        <v>364</v>
      </c>
      <c r="B367" s="481" t="str">
        <v>Morocco</v>
      </c>
      <c r="C367" s="481" t="str">
        <v>Spain</v>
      </c>
      <c r="D367" s="481" t="str">
        <v>Morocco</v>
      </c>
      <c r="E367" s="481" t="str">
        <v>Argentina</v>
      </c>
      <c r="F367" s="481" t="str">
        <v>Korea Republic</v>
      </c>
      <c r="G367" s="481" t="str">
        <v>Qatar</v>
      </c>
      <c r="H367" s="481" t="str">
        <v>Brazil</v>
      </c>
      <c r="I367" s="481" t="str">
        <v>USA</v>
      </c>
      <c r="J367" s="481" t="str">
        <v>Germany</v>
      </c>
      <c r="K367" s="481" t="str">
        <v>Netherlands</v>
      </c>
      <c r="L367" s="481" t="str">
        <v>IR Iran</v>
      </c>
      <c r="M367" s="481" t="str">
        <v>Spain</v>
      </c>
      <c r="N367" s="481" t="str">
        <v>France</v>
      </c>
      <c r="O367" s="481" t="str">
        <v>Argentina</v>
      </c>
      <c r="P367" s="481" t="str">
        <v>Portugal</v>
      </c>
      <c r="Q367" s="490" t="str">
        <v>England</v>
      </c>
    </row>
    <row r="368" spans="1:17" x14ac:dyDescent="0.2">
      <c r="A368" s="489">
        <v>365</v>
      </c>
      <c r="B368" s="481" t="str">
        <v>Mexico</v>
      </c>
      <c r="C368" s="481" t="str">
        <v>Morocco</v>
      </c>
      <c r="D368" s="481" t="str">
        <v>Uruguay</v>
      </c>
      <c r="E368" s="481" t="str">
        <v>Uruguay</v>
      </c>
      <c r="F368" s="481" t="str">
        <v>Mexico</v>
      </c>
      <c r="G368" s="481" t="str">
        <v>Switzerland</v>
      </c>
      <c r="H368" s="481" t="str">
        <v>Brazil</v>
      </c>
      <c r="I368" s="481" t="str">
        <v>Turkiye</v>
      </c>
      <c r="J368" s="481" t="str">
        <v>Germany</v>
      </c>
      <c r="K368" s="481" t="str">
        <v>Sweden</v>
      </c>
      <c r="L368" s="481" t="str">
        <v>Belgium</v>
      </c>
      <c r="M368" s="481" t="str">
        <v>Uruguay</v>
      </c>
      <c r="N368" s="481" t="str">
        <v>France</v>
      </c>
      <c r="O368" s="481" t="str">
        <v>Argentina</v>
      </c>
      <c r="P368" s="481" t="str">
        <v>Portugal</v>
      </c>
      <c r="Q368" s="490" t="str">
        <v>England</v>
      </c>
    </row>
    <row r="369" spans="1:17" x14ac:dyDescent="0.2">
      <c r="A369" s="489">
        <v>366</v>
      </c>
      <c r="B369" s="481" t="str">
        <v>Netherlands</v>
      </c>
      <c r="C369" s="481" t="str">
        <v>Spain</v>
      </c>
      <c r="D369" s="481" t="str">
        <v>France</v>
      </c>
      <c r="E369" s="481" t="str">
        <v>Senegal</v>
      </c>
      <c r="F369" s="481" t="str">
        <v>Mexico</v>
      </c>
      <c r="G369" s="481" t="str">
        <v>Switzerland</v>
      </c>
      <c r="H369" s="481" t="str">
        <v>Morocco</v>
      </c>
      <c r="I369" s="481" t="str">
        <v>Australia</v>
      </c>
      <c r="J369" s="481" t="str">
        <v>Germany</v>
      </c>
      <c r="K369" s="481" t="str">
        <v>Sweden</v>
      </c>
      <c r="L369" s="481" t="str">
        <v>IR Iran</v>
      </c>
      <c r="M369" s="481" t="str">
        <v>Spain</v>
      </c>
      <c r="N369" s="481" t="str">
        <v>Senegal</v>
      </c>
      <c r="O369" s="481" t="str">
        <v>Argentina</v>
      </c>
      <c r="P369" s="481" t="str">
        <v>Colombia</v>
      </c>
      <c r="Q369" s="490" t="str">
        <v>England</v>
      </c>
    </row>
    <row r="370" spans="1:17" x14ac:dyDescent="0.2">
      <c r="A370" s="489">
        <v>367</v>
      </c>
      <c r="B370" s="481" t="str">
        <v>Brazil</v>
      </c>
      <c r="C370" s="481" t="str">
        <v>Switzerland</v>
      </c>
      <c r="D370" s="481" t="str">
        <v>Portugal</v>
      </c>
      <c r="E370" s="481" t="str">
        <v>Spain</v>
      </c>
      <c r="F370" s="481" t="str">
        <v>Mexico</v>
      </c>
      <c r="G370" s="481" t="str">
        <v>Canada</v>
      </c>
      <c r="H370" s="481" t="str">
        <v>Brazil</v>
      </c>
      <c r="I370" s="481" t="str">
        <v>USA</v>
      </c>
      <c r="J370" s="481" t="str">
        <v>Germany</v>
      </c>
      <c r="K370" s="481" t="str">
        <v>Japan</v>
      </c>
      <c r="L370" s="481" t="str">
        <v>Belgium</v>
      </c>
      <c r="M370" s="481" t="str">
        <v>Spain</v>
      </c>
      <c r="N370" s="481" t="str">
        <v>France</v>
      </c>
      <c r="O370" s="481" t="str">
        <v>Argentina</v>
      </c>
      <c r="P370" s="481" t="str">
        <v>Portugal</v>
      </c>
      <c r="Q370" s="490" t="str">
        <v>England</v>
      </c>
    </row>
    <row r="371" spans="1:17" x14ac:dyDescent="0.2">
      <c r="A371" s="489">
        <v>368</v>
      </c>
      <c r="B371" s="481" t="str">
        <v>Portugal</v>
      </c>
      <c r="C371" s="481" t="str">
        <v>Morocco</v>
      </c>
      <c r="D371" s="481" t="str">
        <v>Switzerland</v>
      </c>
      <c r="E371" s="481" t="str">
        <v>Japan</v>
      </c>
      <c r="F371" s="481" t="str">
        <v>Mexico</v>
      </c>
      <c r="G371" s="481" t="str">
        <v>Switzerland</v>
      </c>
      <c r="H371" s="481" t="str">
        <v>Morocco</v>
      </c>
      <c r="I371" s="481" t="str">
        <v>USA</v>
      </c>
      <c r="J371" s="481" t="str">
        <v>Germany</v>
      </c>
      <c r="K371" s="481" t="str">
        <v>Sweden</v>
      </c>
      <c r="L371" s="481" t="str">
        <v>Belgium</v>
      </c>
      <c r="M371" s="481" t="str">
        <v>Spain</v>
      </c>
      <c r="N371" s="481" t="str">
        <v>Senegal</v>
      </c>
      <c r="O371" s="481" t="str">
        <v>Austria</v>
      </c>
      <c r="P371" s="481" t="str">
        <v>Portugal</v>
      </c>
      <c r="Q371" s="490" t="str">
        <v>England</v>
      </c>
    </row>
    <row r="372" spans="1:17" x14ac:dyDescent="0.2">
      <c r="A372" s="489">
        <v>369</v>
      </c>
      <c r="B372" s="481" t="str">
        <v>England</v>
      </c>
      <c r="C372" s="481" t="str">
        <v>Switzerland</v>
      </c>
      <c r="D372" s="481" t="str">
        <v>Netherlands</v>
      </c>
      <c r="E372" s="481" t="str">
        <v>Panama</v>
      </c>
      <c r="F372" s="481" t="str">
        <v>Korea Republic</v>
      </c>
      <c r="G372" s="481" t="str">
        <v>Canada</v>
      </c>
      <c r="H372" s="481" t="str">
        <v>Brazil</v>
      </c>
      <c r="I372" s="481" t="str">
        <v>USA</v>
      </c>
      <c r="J372" s="481" t="str">
        <v>Cote d'Ivorie</v>
      </c>
      <c r="K372" s="481" t="str">
        <v>Sweden</v>
      </c>
      <c r="L372" s="481" t="str">
        <v>Belgium</v>
      </c>
      <c r="M372" s="481" t="str">
        <v>Spain</v>
      </c>
      <c r="N372" s="481" t="str">
        <v>France</v>
      </c>
      <c r="O372" s="481" t="str">
        <v>Jordan</v>
      </c>
      <c r="P372" s="481" t="str">
        <v>Colombia</v>
      </c>
      <c r="Q372" s="490" t="str">
        <v>Panama</v>
      </c>
    </row>
    <row r="373" spans="1:17" x14ac:dyDescent="0.2">
      <c r="A373" s="489">
        <v>370</v>
      </c>
      <c r="B373" s="481" t="str">
        <v>Spain</v>
      </c>
      <c r="C373" s="481" t="str">
        <v>Korea Republic</v>
      </c>
      <c r="D373" s="481" t="str">
        <v>Egypt</v>
      </c>
      <c r="E373" s="481" t="str">
        <v>Japan</v>
      </c>
      <c r="F373" s="481" t="str">
        <v>Mexico</v>
      </c>
      <c r="G373" s="481" t="str">
        <v>Qatar</v>
      </c>
      <c r="H373" s="481" t="str">
        <v>Morocco</v>
      </c>
      <c r="I373" s="481" t="str">
        <v>USA</v>
      </c>
      <c r="J373" s="481" t="str">
        <v>Germany</v>
      </c>
      <c r="K373" s="481" t="str">
        <v>Sweden</v>
      </c>
      <c r="L373" s="481" t="str">
        <v>Belgium</v>
      </c>
      <c r="M373" s="481" t="str">
        <v>Uruguay</v>
      </c>
      <c r="N373" s="481" t="str">
        <v>France</v>
      </c>
      <c r="O373" s="481" t="str">
        <v>Austria</v>
      </c>
      <c r="P373" s="481" t="str">
        <v>Congo DR</v>
      </c>
      <c r="Q373" s="490" t="str">
        <v>England</v>
      </c>
    </row>
    <row r="374" spans="1:17" x14ac:dyDescent="0.2">
      <c r="A374" s="489">
        <v>371</v>
      </c>
      <c r="B374" s="481" t="str">
        <v>Belgium</v>
      </c>
      <c r="C374" s="481" t="str">
        <v>Germany</v>
      </c>
      <c r="D374" s="481" t="str">
        <v>Morocco</v>
      </c>
      <c r="E374" s="481" t="str">
        <v>Tunisia</v>
      </c>
      <c r="F374" s="481" t="str">
        <v>Korea Republic</v>
      </c>
      <c r="G374" s="481" t="str">
        <v>Switzerland</v>
      </c>
      <c r="H374" s="481" t="str">
        <v>Morocco</v>
      </c>
      <c r="I374" s="481" t="str">
        <v>USA</v>
      </c>
      <c r="J374" s="481" t="str">
        <v>Germany</v>
      </c>
      <c r="K374" s="481" t="str">
        <v>Netherlands</v>
      </c>
      <c r="L374" s="481" t="str">
        <v>Belgium</v>
      </c>
      <c r="M374" s="481" t="str">
        <v>Cabo Verde</v>
      </c>
      <c r="N374" s="481" t="str">
        <v>Senegal</v>
      </c>
      <c r="O374" s="481" t="str">
        <v>Jordan</v>
      </c>
      <c r="P374" s="481" t="str">
        <v>Uzbekistan</v>
      </c>
      <c r="Q374" s="490" t="str">
        <v>England</v>
      </c>
    </row>
    <row r="375" spans="1:17" x14ac:dyDescent="0.2">
      <c r="A375" s="489">
        <v>372</v>
      </c>
      <c r="B375" s="481" t="str">
        <v>France</v>
      </c>
      <c r="C375" s="481" t="str">
        <v>Brazil</v>
      </c>
      <c r="D375" s="481" t="str">
        <v>Portugal</v>
      </c>
      <c r="E375" s="481" t="str">
        <v>Algeria</v>
      </c>
      <c r="F375" s="481" t="str">
        <v>Korea Republic</v>
      </c>
      <c r="G375" s="481" t="str">
        <v>Switzerland</v>
      </c>
      <c r="H375" s="481" t="str">
        <v>Morocco</v>
      </c>
      <c r="I375" s="481" t="str">
        <v>USA</v>
      </c>
      <c r="J375" s="481" t="str">
        <v>Germany</v>
      </c>
      <c r="K375" s="481" t="str">
        <v>Sweden</v>
      </c>
      <c r="L375" s="481" t="str">
        <v>Egypt</v>
      </c>
      <c r="M375" s="481" t="str">
        <v>Spain</v>
      </c>
      <c r="N375" s="481" t="str">
        <v>Senegal</v>
      </c>
      <c r="O375" s="481" t="str">
        <v>Argentina</v>
      </c>
      <c r="P375" s="481" t="str">
        <v>Portugal</v>
      </c>
      <c r="Q375" s="490" t="str">
        <v>England</v>
      </c>
    </row>
    <row r="376" spans="1:17" x14ac:dyDescent="0.2">
      <c r="A376" s="489">
        <v>373</v>
      </c>
      <c r="B376" s="481" t="str">
        <v>Spain</v>
      </c>
      <c r="C376" s="481" t="str">
        <v>Scotland</v>
      </c>
      <c r="D376" s="481" t="str">
        <v>Argentina</v>
      </c>
      <c r="E376" s="481" t="str">
        <v>USA</v>
      </c>
      <c r="F376" s="481" t="str">
        <v>Mexico</v>
      </c>
      <c r="G376" s="481" t="str">
        <v>Canada</v>
      </c>
      <c r="H376" s="481" t="str">
        <v>Brazil</v>
      </c>
      <c r="I376" s="481" t="str">
        <v>USA</v>
      </c>
      <c r="J376" s="481" t="str">
        <v>Germany</v>
      </c>
      <c r="K376" s="481" t="str">
        <v>Japan</v>
      </c>
      <c r="L376" s="481" t="str">
        <v>Belgium</v>
      </c>
      <c r="M376" s="481" t="str">
        <v>Spain</v>
      </c>
      <c r="N376" s="481" t="str">
        <v>France</v>
      </c>
      <c r="O376" s="481" t="str">
        <v>Argentina</v>
      </c>
      <c r="P376" s="481" t="str">
        <v>Colombia</v>
      </c>
      <c r="Q376" s="490" t="str">
        <v>England</v>
      </c>
    </row>
    <row r="377" spans="1:17" x14ac:dyDescent="0.2">
      <c r="A377" s="489">
        <v>374</v>
      </c>
      <c r="B377" s="481" t="str">
        <v>Germany</v>
      </c>
      <c r="C377" s="481" t="str">
        <v>Colombia</v>
      </c>
      <c r="D377" s="481" t="str">
        <v>France</v>
      </c>
      <c r="E377" s="481" t="str">
        <v>Morocco</v>
      </c>
      <c r="F377" s="481" t="str">
        <v>Mexico</v>
      </c>
      <c r="G377" s="481" t="str">
        <v>Qatar</v>
      </c>
      <c r="H377" s="481" t="str">
        <v>Brazil</v>
      </c>
      <c r="I377" s="481" t="str">
        <v>Australia</v>
      </c>
      <c r="J377" s="481" t="str">
        <v>Germany</v>
      </c>
      <c r="K377" s="481" t="str">
        <v>Japan</v>
      </c>
      <c r="L377" s="481" t="str">
        <v>Belgium</v>
      </c>
      <c r="M377" s="481" t="str">
        <v>Uruguay</v>
      </c>
      <c r="N377" s="481" t="str">
        <v>France</v>
      </c>
      <c r="O377" s="481" t="str">
        <v>Argentina</v>
      </c>
      <c r="P377" s="481" t="str">
        <v>Portugal</v>
      </c>
      <c r="Q377" s="490" t="str">
        <v>England</v>
      </c>
    </row>
    <row r="378" spans="1:17" x14ac:dyDescent="0.2">
      <c r="A378" s="489">
        <v>375</v>
      </c>
      <c r="B378" s="481" t="str">
        <v>Brazil</v>
      </c>
      <c r="C378" s="481" t="str">
        <v>Argentina</v>
      </c>
      <c r="D378" s="481" t="str">
        <v>Argentina</v>
      </c>
      <c r="E378" s="481" t="str">
        <v>Canada</v>
      </c>
      <c r="F378" s="481" t="str">
        <v>Mexico</v>
      </c>
      <c r="G378" s="481" t="str">
        <v>Switzerland</v>
      </c>
      <c r="H378" s="481" t="str">
        <v>Morocco</v>
      </c>
      <c r="I378" s="481" t="str">
        <v>Australia</v>
      </c>
      <c r="J378" s="481" t="str">
        <v>Germany</v>
      </c>
      <c r="K378" s="481" t="str">
        <v>Sweden</v>
      </c>
      <c r="L378" s="481" t="str">
        <v>Belgium</v>
      </c>
      <c r="M378" s="481" t="str">
        <v>Spain</v>
      </c>
      <c r="N378" s="481" t="str">
        <v>France</v>
      </c>
      <c r="O378" s="481" t="str">
        <v>Argentina</v>
      </c>
      <c r="P378" s="481" t="str">
        <v>Colombia</v>
      </c>
      <c r="Q378" s="490" t="str">
        <v>England</v>
      </c>
    </row>
    <row r="379" spans="1:17" x14ac:dyDescent="0.2">
      <c r="A379" s="489">
        <v>376</v>
      </c>
      <c r="B379" s="481" t="str">
        <v>Netherlands</v>
      </c>
      <c r="C379" s="481" t="str">
        <v>Ecuador</v>
      </c>
      <c r="D379" s="481" t="str">
        <v>Morocco</v>
      </c>
      <c r="E379" s="481" t="str">
        <v>Croatia</v>
      </c>
      <c r="F379" s="481" t="str">
        <v>Mexico</v>
      </c>
      <c r="G379" s="481" t="str">
        <v>Switzerland</v>
      </c>
      <c r="H379" s="481" t="str">
        <v>Morocco</v>
      </c>
      <c r="I379" s="481" t="str">
        <v>Turkiye</v>
      </c>
      <c r="J379" s="481" t="str">
        <v>Germany</v>
      </c>
      <c r="K379" s="481" t="str">
        <v>Japan</v>
      </c>
      <c r="L379" s="481" t="str">
        <v>IR Iran</v>
      </c>
      <c r="M379" s="481" t="str">
        <v>Uruguay</v>
      </c>
      <c r="N379" s="481" t="str">
        <v>France</v>
      </c>
      <c r="O379" s="481" t="str">
        <v>Argentina</v>
      </c>
      <c r="P379" s="481" t="str">
        <v>Colombia</v>
      </c>
      <c r="Q379" s="490" t="str">
        <v>England</v>
      </c>
    </row>
    <row r="380" spans="1:17" x14ac:dyDescent="0.2">
      <c r="A380" s="489">
        <v>377</v>
      </c>
      <c r="B380" s="481" t="str">
        <v>Japan</v>
      </c>
      <c r="C380" s="481" t="str">
        <v>Switzerland</v>
      </c>
      <c r="D380" s="481" t="str">
        <v>Argentina</v>
      </c>
      <c r="E380" s="481" t="str">
        <v>USA</v>
      </c>
      <c r="F380" s="481" t="str">
        <v>Mexico</v>
      </c>
      <c r="G380" s="481" t="str">
        <v>Canada</v>
      </c>
      <c r="H380" s="481" t="str">
        <v>Brazil</v>
      </c>
      <c r="I380" s="481" t="str">
        <v>Australia</v>
      </c>
      <c r="J380" s="481" t="str">
        <v>Ecuador</v>
      </c>
      <c r="K380" s="481" t="str">
        <v>Sweden</v>
      </c>
      <c r="L380" s="481" t="str">
        <v>Belgium</v>
      </c>
      <c r="M380" s="481" t="str">
        <v>Uruguay</v>
      </c>
      <c r="N380" s="481" t="str">
        <v>Iraq</v>
      </c>
      <c r="O380" s="481" t="str">
        <v>Algeria</v>
      </c>
      <c r="P380" s="481" t="str">
        <v>Portugal</v>
      </c>
      <c r="Q380" s="490" t="str">
        <v>Croatia</v>
      </c>
    </row>
    <row r="381" spans="1:17" x14ac:dyDescent="0.2">
      <c r="A381" s="489">
        <v>378</v>
      </c>
      <c r="B381" s="481" t="str">
        <v>France</v>
      </c>
      <c r="C381" s="481" t="str">
        <v>Portugal</v>
      </c>
      <c r="D381" s="481" t="str">
        <v>Brazil</v>
      </c>
      <c r="E381" s="481" t="str">
        <v>Czechia</v>
      </c>
      <c r="F381" s="481" t="str">
        <v>Mexico</v>
      </c>
      <c r="G381" s="481" t="str">
        <v>Canada</v>
      </c>
      <c r="H381" s="481" t="str">
        <v>Morocco</v>
      </c>
      <c r="I381" s="481" t="str">
        <v>USA</v>
      </c>
      <c r="J381" s="481" t="str">
        <v>Germany</v>
      </c>
      <c r="K381" s="481" t="str">
        <v>Netherlands</v>
      </c>
      <c r="L381" s="481" t="str">
        <v>Egypt</v>
      </c>
      <c r="M381" s="481" t="str">
        <v>Spain</v>
      </c>
      <c r="N381" s="481" t="str">
        <v>Iraq</v>
      </c>
      <c r="O381" s="481" t="str">
        <v>Austria</v>
      </c>
      <c r="P381" s="481" t="str">
        <v>Congo DR</v>
      </c>
      <c r="Q381" s="490" t="str">
        <v>Croatia</v>
      </c>
    </row>
    <row r="382" spans="1:17" x14ac:dyDescent="0.2">
      <c r="A382" s="489">
        <v>379</v>
      </c>
      <c r="B382" s="481" t="str">
        <v>Switzerland</v>
      </c>
      <c r="C382" s="481" t="str">
        <v>Senegal</v>
      </c>
      <c r="D382" s="481" t="str">
        <v>Ecuador</v>
      </c>
      <c r="E382" s="481" t="str">
        <v>Morocco</v>
      </c>
      <c r="F382" s="481" t="str">
        <v>Mexico</v>
      </c>
      <c r="G382" s="481" t="str">
        <v>Canada</v>
      </c>
      <c r="H382" s="481" t="str">
        <v>Brazil</v>
      </c>
      <c r="I382" s="481" t="str">
        <v>USA</v>
      </c>
      <c r="J382" s="481" t="str">
        <v>Germany</v>
      </c>
      <c r="K382" s="481" t="str">
        <v>Sweden</v>
      </c>
      <c r="L382" s="481" t="str">
        <v>Egypt</v>
      </c>
      <c r="M382" s="481" t="str">
        <v>Spain</v>
      </c>
      <c r="N382" s="481" t="str">
        <v>France</v>
      </c>
      <c r="O382" s="481" t="str">
        <v>Argentina</v>
      </c>
      <c r="P382" s="481" t="str">
        <v>Colombia</v>
      </c>
      <c r="Q382" s="490" t="str">
        <v>England</v>
      </c>
    </row>
    <row r="383" spans="1:17" x14ac:dyDescent="0.2">
      <c r="A383" s="489">
        <v>380</v>
      </c>
      <c r="B383" s="481" t="str">
        <v>Germany</v>
      </c>
      <c r="C383" s="481" t="str">
        <v>Colombia</v>
      </c>
      <c r="D383" s="481" t="str">
        <v>Netherlands</v>
      </c>
      <c r="E383" s="481" t="str">
        <v>Switzerland</v>
      </c>
      <c r="F383" s="481" t="str">
        <v>Mexico</v>
      </c>
      <c r="G383" s="481" t="str">
        <v>Switzerland</v>
      </c>
      <c r="H383" s="481" t="str">
        <v>Brazil</v>
      </c>
      <c r="I383" s="481" t="str">
        <v>USA</v>
      </c>
      <c r="J383" s="481" t="str">
        <v>Germany</v>
      </c>
      <c r="K383" s="481" t="str">
        <v>Netherlands</v>
      </c>
      <c r="L383" s="481" t="str">
        <v>Egypt</v>
      </c>
      <c r="M383" s="481" t="str">
        <v>Spain</v>
      </c>
      <c r="N383" s="481" t="str">
        <v>France</v>
      </c>
      <c r="O383" s="481" t="str">
        <v>Argentina</v>
      </c>
      <c r="P383" s="481" t="str">
        <v>Colombia</v>
      </c>
      <c r="Q383" s="490" t="str">
        <v>England</v>
      </c>
    </row>
    <row r="384" spans="1:17" x14ac:dyDescent="0.2">
      <c r="A384" s="489">
        <v>381</v>
      </c>
      <c r="B384" s="481" t="str">
        <v>Croatia</v>
      </c>
      <c r="C384" s="481" t="str">
        <v>Panama</v>
      </c>
      <c r="D384" s="481" t="str">
        <v>USA</v>
      </c>
      <c r="E384" s="481" t="str">
        <v>Scotland</v>
      </c>
      <c r="F384" s="481" t="str">
        <v>Mexico</v>
      </c>
      <c r="G384" s="481" t="str">
        <v>Bosnia-Herzegovina</v>
      </c>
      <c r="H384" s="481" t="str">
        <v>Brazil</v>
      </c>
      <c r="I384" s="481" t="str">
        <v>Australia</v>
      </c>
      <c r="J384" s="481" t="str">
        <v>Germany</v>
      </c>
      <c r="K384" s="481" t="str">
        <v>Netherlands</v>
      </c>
      <c r="L384" s="481" t="str">
        <v>Egypt</v>
      </c>
      <c r="M384" s="481" t="str">
        <v>Uruguay</v>
      </c>
      <c r="N384" s="481" t="str">
        <v>France</v>
      </c>
      <c r="O384" s="481" t="str">
        <v>Algeria</v>
      </c>
      <c r="P384" s="481" t="str">
        <v>Colombia</v>
      </c>
      <c r="Q384" s="490" t="str">
        <v>Croatia</v>
      </c>
    </row>
    <row r="385" spans="1:17" x14ac:dyDescent="0.2">
      <c r="A385" s="489">
        <v>382</v>
      </c>
      <c r="B385" s="481" t="str">
        <v>England</v>
      </c>
      <c r="C385" s="481" t="str">
        <v>Portugal</v>
      </c>
      <c r="D385" s="481" t="str">
        <v>USA</v>
      </c>
      <c r="E385" s="481" t="str">
        <v>Germany</v>
      </c>
      <c r="F385" s="481" t="str">
        <v>Korea Republic</v>
      </c>
      <c r="G385" s="481" t="str">
        <v>Switzerland</v>
      </c>
      <c r="H385" s="481" t="str">
        <v>Brazil</v>
      </c>
      <c r="I385" s="481" t="str">
        <v>Australia</v>
      </c>
      <c r="J385" s="481" t="str">
        <v>Germany</v>
      </c>
      <c r="K385" s="481" t="str">
        <v>Japan</v>
      </c>
      <c r="L385" s="481" t="str">
        <v>Belgium</v>
      </c>
      <c r="M385" s="481" t="str">
        <v>Spain</v>
      </c>
      <c r="N385" s="481" t="str">
        <v>Senegal</v>
      </c>
      <c r="O385" s="481" t="str">
        <v>Argentina</v>
      </c>
      <c r="P385" s="481" t="str">
        <v>Congo DR</v>
      </c>
      <c r="Q385" s="490" t="str">
        <v>Croatia</v>
      </c>
    </row>
    <row r="386" spans="1:17" x14ac:dyDescent="0.2">
      <c r="A386" s="489">
        <v>383</v>
      </c>
      <c r="B386" s="481" t="str">
        <v>Brazil</v>
      </c>
      <c r="C386" s="481" t="str">
        <v>Portugal</v>
      </c>
      <c r="D386" s="481" t="str">
        <v>Germany</v>
      </c>
      <c r="E386" s="481" t="str">
        <v>Spain</v>
      </c>
      <c r="F386" s="481" t="str">
        <v>Korea Republic</v>
      </c>
      <c r="G386" s="481" t="str">
        <v>Switzerland</v>
      </c>
      <c r="H386" s="481" t="str">
        <v>Morocco</v>
      </c>
      <c r="I386" s="481" t="str">
        <v>USA</v>
      </c>
      <c r="J386" s="481" t="str">
        <v>Germany</v>
      </c>
      <c r="K386" s="481" t="str">
        <v>Netherlands</v>
      </c>
      <c r="L386" s="481" t="str">
        <v>Belgium</v>
      </c>
      <c r="M386" s="481" t="str">
        <v>Uruguay</v>
      </c>
      <c r="N386" s="481" t="str">
        <v>Senegal</v>
      </c>
      <c r="O386" s="481" t="str">
        <v>Austria</v>
      </c>
      <c r="P386" s="481" t="str">
        <v>Portugal</v>
      </c>
      <c r="Q386" s="490" t="str">
        <v>England</v>
      </c>
    </row>
    <row r="387" spans="1:17" x14ac:dyDescent="0.2">
      <c r="A387" s="489">
        <v>384</v>
      </c>
      <c r="B387" s="481" t="str">
        <v>Portugal</v>
      </c>
      <c r="C387" s="481" t="str">
        <v>Spain</v>
      </c>
      <c r="D387" s="481" t="str">
        <v>Uruguay</v>
      </c>
      <c r="E387" s="481" t="str">
        <v>Colombia</v>
      </c>
      <c r="F387" s="481" t="str">
        <v>Mexico</v>
      </c>
      <c r="G387" s="481" t="str">
        <v>Bosnia-Herzegovina</v>
      </c>
      <c r="H387" s="481" t="str">
        <v>Morocco</v>
      </c>
      <c r="I387" s="481" t="str">
        <v>Australia</v>
      </c>
      <c r="J387" s="481" t="str">
        <v>Germany</v>
      </c>
      <c r="K387" s="481" t="str">
        <v>Japan</v>
      </c>
      <c r="L387" s="481" t="str">
        <v>Egypt</v>
      </c>
      <c r="M387" s="481" t="str">
        <v>Uruguay</v>
      </c>
      <c r="N387" s="481" t="str">
        <v>France</v>
      </c>
      <c r="O387" s="481" t="str">
        <v>Argentina</v>
      </c>
      <c r="P387" s="481" t="str">
        <v>Colombia</v>
      </c>
      <c r="Q387" s="490" t="str">
        <v>England</v>
      </c>
    </row>
    <row r="388" spans="1:17" x14ac:dyDescent="0.2">
      <c r="A388" s="489">
        <v>385</v>
      </c>
      <c r="B388" s="481" t="str">
        <v>Spain</v>
      </c>
      <c r="C388" s="481" t="str">
        <v>Mexico</v>
      </c>
      <c r="D388" s="481" t="str">
        <v>Argentina</v>
      </c>
      <c r="E388" s="481" t="str">
        <v>USA</v>
      </c>
      <c r="F388" s="481" t="str">
        <v>Korea Republic</v>
      </c>
      <c r="G388" s="481" t="str">
        <v>Switzerland</v>
      </c>
      <c r="H388" s="481" t="str">
        <v>Brazil</v>
      </c>
      <c r="I388" s="481" t="str">
        <v>USA</v>
      </c>
      <c r="J388" s="481" t="str">
        <v>Germany</v>
      </c>
      <c r="K388" s="481" t="str">
        <v>Sweden</v>
      </c>
      <c r="L388" s="481" t="str">
        <v>Belgium</v>
      </c>
      <c r="M388" s="481" t="str">
        <v>Spain</v>
      </c>
      <c r="N388" s="481" t="str">
        <v>Senegal</v>
      </c>
      <c r="O388" s="481" t="str">
        <v>Argentina</v>
      </c>
      <c r="P388" s="481" t="str">
        <v>Congo DR</v>
      </c>
      <c r="Q388" s="490" t="str">
        <v>Croatia</v>
      </c>
    </row>
    <row r="389" spans="1:17" x14ac:dyDescent="0.2">
      <c r="A389" s="489">
        <v>386</v>
      </c>
      <c r="B389" s="481" t="str">
        <v>England</v>
      </c>
      <c r="C389" s="481" t="str">
        <v>Argentina</v>
      </c>
      <c r="D389" s="481" t="str">
        <v>England</v>
      </c>
      <c r="E389" s="481" t="str">
        <v>Netherlands</v>
      </c>
      <c r="F389" s="481" t="str">
        <v>Mexico</v>
      </c>
      <c r="G389" s="481" t="str">
        <v>Switzerland</v>
      </c>
      <c r="H389" s="481" t="str">
        <v>Brazil</v>
      </c>
      <c r="I389" s="481" t="str">
        <v>USA</v>
      </c>
      <c r="J389" s="481" t="str">
        <v>Germany</v>
      </c>
      <c r="K389" s="481" t="str">
        <v>Netherlands</v>
      </c>
      <c r="L389" s="481" t="str">
        <v>Belgium</v>
      </c>
      <c r="M389" s="481" t="str">
        <v>Spain</v>
      </c>
      <c r="N389" s="481" t="str">
        <v>France</v>
      </c>
      <c r="O389" s="481" t="str">
        <v>Argentina</v>
      </c>
      <c r="P389" s="481" t="str">
        <v>Colombia</v>
      </c>
      <c r="Q389" s="490" t="str">
        <v>England</v>
      </c>
    </row>
    <row r="390" spans="1:17" x14ac:dyDescent="0.2">
      <c r="A390" s="489">
        <v>387</v>
      </c>
      <c r="B390" s="481" t="str">
        <v>Brazil</v>
      </c>
      <c r="C390" s="481" t="str">
        <v>Argentina</v>
      </c>
      <c r="D390" s="481" t="str">
        <v>Netherlands</v>
      </c>
      <c r="E390" s="481" t="str">
        <v>England</v>
      </c>
      <c r="F390" s="481" t="str">
        <v>Mexico</v>
      </c>
      <c r="G390" s="481" t="str">
        <v>Qatar</v>
      </c>
      <c r="H390" s="481" t="str">
        <v>Brazil</v>
      </c>
      <c r="I390" s="481" t="str">
        <v>USA</v>
      </c>
      <c r="J390" s="481" t="str">
        <v>Germany</v>
      </c>
      <c r="K390" s="481" t="str">
        <v>Japan</v>
      </c>
      <c r="L390" s="481" t="str">
        <v>Belgium</v>
      </c>
      <c r="M390" s="481" t="str">
        <v>Uruguay</v>
      </c>
      <c r="N390" s="481" t="str">
        <v>France</v>
      </c>
      <c r="O390" s="481" t="str">
        <v>Argentina</v>
      </c>
      <c r="P390" s="481" t="str">
        <v>Colombia</v>
      </c>
      <c r="Q390" s="490" t="str">
        <v>Croatia</v>
      </c>
    </row>
    <row r="391" spans="1:17" x14ac:dyDescent="0.2">
      <c r="A391" s="489">
        <v>388</v>
      </c>
      <c r="B391" s="481" t="str">
        <v>Portugal</v>
      </c>
      <c r="C391" s="481" t="str">
        <v>Argentina</v>
      </c>
      <c r="D391" s="481" t="str">
        <v>Argentina</v>
      </c>
      <c r="E391" s="481" t="str">
        <v>Egypt</v>
      </c>
      <c r="F391" s="481" t="str">
        <v>Korea Republic</v>
      </c>
      <c r="G391" s="481" t="str">
        <v>Switzerland</v>
      </c>
      <c r="H391" s="481" t="str">
        <v>Scotland</v>
      </c>
      <c r="I391" s="481" t="str">
        <v>Australia</v>
      </c>
      <c r="J391" s="481" t="str">
        <v>Germany</v>
      </c>
      <c r="K391" s="481" t="str">
        <v>Netherlands</v>
      </c>
      <c r="L391" s="481" t="str">
        <v>IR Iran</v>
      </c>
      <c r="M391" s="481" t="str">
        <v>Spain</v>
      </c>
      <c r="N391" s="481" t="str">
        <v>France</v>
      </c>
      <c r="O391" s="481" t="str">
        <v>Algeria</v>
      </c>
      <c r="P391" s="481" t="str">
        <v>Colombia</v>
      </c>
      <c r="Q391" s="490" t="str">
        <v>England</v>
      </c>
    </row>
    <row r="392" spans="1:17" x14ac:dyDescent="0.2">
      <c r="A392" s="489">
        <v>389</v>
      </c>
      <c r="B392" s="481" t="str">
        <v>Brazil</v>
      </c>
      <c r="C392" s="481" t="str">
        <v>Croatia</v>
      </c>
      <c r="D392" s="481" t="str">
        <v>Portugal</v>
      </c>
      <c r="E392" s="481" t="str">
        <v>Austria</v>
      </c>
      <c r="F392" s="481" t="str">
        <v>Korea Republic</v>
      </c>
      <c r="G392" s="481" t="str">
        <v>Switzerland</v>
      </c>
      <c r="H392" s="481" t="str">
        <v>Brazil</v>
      </c>
      <c r="I392" s="481" t="str">
        <v>USA</v>
      </c>
      <c r="J392" s="481" t="str">
        <v>Germany</v>
      </c>
      <c r="K392" s="481" t="str">
        <v>Netherlands</v>
      </c>
      <c r="L392" s="481" t="str">
        <v>Belgium</v>
      </c>
      <c r="M392" s="481" t="str">
        <v>Uruguay</v>
      </c>
      <c r="N392" s="481" t="str">
        <v>Norway</v>
      </c>
      <c r="O392" s="481" t="str">
        <v>Argentina</v>
      </c>
      <c r="P392" s="481" t="str">
        <v>Portugal</v>
      </c>
      <c r="Q392" s="490" t="str">
        <v>Croatia</v>
      </c>
    </row>
    <row r="393" spans="1:17" x14ac:dyDescent="0.2">
      <c r="A393" s="489">
        <v>390</v>
      </c>
      <c r="B393" s="481" t="str">
        <v>England</v>
      </c>
      <c r="C393" s="481" t="str">
        <v>Japan</v>
      </c>
      <c r="D393" s="481" t="str">
        <v>Spain</v>
      </c>
      <c r="E393" s="481" t="str">
        <v>France</v>
      </c>
      <c r="F393" s="481" t="str">
        <v>Mexico</v>
      </c>
      <c r="G393" s="481" t="str">
        <v>Qatar</v>
      </c>
      <c r="H393" s="481" t="str">
        <v>Brazil</v>
      </c>
      <c r="I393" s="481" t="str">
        <v>USA</v>
      </c>
      <c r="J393" s="481" t="str">
        <v>Germany</v>
      </c>
      <c r="K393" s="481" t="str">
        <v>Sweden</v>
      </c>
      <c r="L393" s="481" t="str">
        <v>Belgium</v>
      </c>
      <c r="M393" s="481" t="str">
        <v>Uruguay</v>
      </c>
      <c r="N393" s="481" t="str">
        <v>France</v>
      </c>
      <c r="O393" s="481" t="str">
        <v>Argentina</v>
      </c>
      <c r="P393" s="481" t="str">
        <v>Portugal</v>
      </c>
      <c r="Q393" s="490" t="str">
        <v>England</v>
      </c>
    </row>
    <row r="394" spans="1:17" x14ac:dyDescent="0.2">
      <c r="A394" s="489">
        <v>391</v>
      </c>
      <c r="B394" s="481" t="str">
        <v>Argentina</v>
      </c>
      <c r="C394" s="481" t="str">
        <v>England</v>
      </c>
      <c r="D394" s="481" t="str">
        <v>Germany</v>
      </c>
      <c r="E394" s="481" t="str">
        <v>Switzerland</v>
      </c>
      <c r="F394" s="481" t="str">
        <v>Korea Republic</v>
      </c>
      <c r="G394" s="481" t="str">
        <v>Canada</v>
      </c>
      <c r="H394" s="481" t="str">
        <v>Brazil</v>
      </c>
      <c r="I394" s="481" t="str">
        <v>Australia</v>
      </c>
      <c r="J394" s="481" t="str">
        <v>Cote d'Ivorie</v>
      </c>
      <c r="K394" s="481" t="str">
        <v>Netherlands</v>
      </c>
      <c r="L394" s="481" t="str">
        <v>Belgium</v>
      </c>
      <c r="M394" s="481" t="str">
        <v>Uruguay</v>
      </c>
      <c r="N394" s="481" t="str">
        <v>France</v>
      </c>
      <c r="O394" s="481" t="str">
        <v>Argentina</v>
      </c>
      <c r="P394" s="481" t="str">
        <v>Colombia</v>
      </c>
      <c r="Q394" s="490" t="str">
        <v>England</v>
      </c>
    </row>
    <row r="395" spans="1:17" x14ac:dyDescent="0.2">
      <c r="A395" s="489">
        <v>392</v>
      </c>
      <c r="B395" s="481" t="str">
        <v>Mexico</v>
      </c>
      <c r="C395" s="481" t="str">
        <v>England</v>
      </c>
      <c r="D395" s="481" t="str">
        <v>France</v>
      </c>
      <c r="E395" s="481" t="str">
        <v>Spain</v>
      </c>
      <c r="F395" s="481" t="str">
        <v>Mexico</v>
      </c>
      <c r="G395" s="481" t="str">
        <v>Qatar</v>
      </c>
      <c r="H395" s="481" t="str">
        <v>Brazil</v>
      </c>
      <c r="I395" s="481" t="str">
        <v>Australia</v>
      </c>
      <c r="J395" s="481" t="str">
        <v>Cote d'Ivorie</v>
      </c>
      <c r="K395" s="481" t="str">
        <v>Netherlands</v>
      </c>
      <c r="L395" s="481" t="str">
        <v>Belgium</v>
      </c>
      <c r="M395" s="481" t="str">
        <v>Spain</v>
      </c>
      <c r="N395" s="481" t="str">
        <v>France</v>
      </c>
      <c r="O395" s="481" t="str">
        <v>Algeria</v>
      </c>
      <c r="P395" s="481" t="str">
        <v>Colombia</v>
      </c>
      <c r="Q395" s="490" t="str">
        <v>England</v>
      </c>
    </row>
    <row r="396" spans="1:17" x14ac:dyDescent="0.2">
      <c r="A396" s="489">
        <v>393</v>
      </c>
      <c r="B396" s="481" t="str">
        <v>France</v>
      </c>
      <c r="C396" s="481" t="str">
        <v>Brazil</v>
      </c>
      <c r="D396" s="481" t="str">
        <v>Uruguay</v>
      </c>
      <c r="E396" s="481" t="str">
        <v>Morocco</v>
      </c>
      <c r="F396" s="481" t="str">
        <v>Mexico</v>
      </c>
      <c r="G396" s="481" t="str">
        <v>Qatar</v>
      </c>
      <c r="H396" s="481" t="str">
        <v>Brazil</v>
      </c>
      <c r="I396" s="481" t="str">
        <v>Australia</v>
      </c>
      <c r="J396" s="481" t="str">
        <v>Germany</v>
      </c>
      <c r="K396" s="481" t="str">
        <v>Japan</v>
      </c>
      <c r="L396" s="481" t="str">
        <v>Egypt</v>
      </c>
      <c r="M396" s="481" t="str">
        <v>Spain</v>
      </c>
      <c r="N396" s="481" t="str">
        <v>France</v>
      </c>
      <c r="O396" s="481" t="str">
        <v>Argentina</v>
      </c>
      <c r="P396" s="481" t="str">
        <v>Colombia</v>
      </c>
      <c r="Q396" s="490" t="str">
        <v>England</v>
      </c>
    </row>
    <row r="397" spans="1:17" x14ac:dyDescent="0.2">
      <c r="A397" s="489">
        <v>394</v>
      </c>
      <c r="B397" s="481" t="str">
        <v>Brazil</v>
      </c>
      <c r="C397" s="481" t="str">
        <v>Australia</v>
      </c>
      <c r="D397" s="481" t="str">
        <v>Portugal</v>
      </c>
      <c r="E397" s="481" t="str">
        <v>Portugal</v>
      </c>
      <c r="F397" s="481" t="str">
        <v>Czechia</v>
      </c>
      <c r="G397" s="481" t="str">
        <v>Switzerland</v>
      </c>
      <c r="H397" s="481" t="str">
        <v>Brazil</v>
      </c>
      <c r="I397" s="481" t="str">
        <v>USA</v>
      </c>
      <c r="J397" s="481" t="str">
        <v>Ecuador</v>
      </c>
      <c r="K397" s="481" t="str">
        <v>Netherlands</v>
      </c>
      <c r="L397" s="481" t="str">
        <v>Egypt</v>
      </c>
      <c r="M397" s="481" t="str">
        <v>Uruguay</v>
      </c>
      <c r="N397" s="481" t="str">
        <v>Norway</v>
      </c>
      <c r="O397" s="481" t="str">
        <v>Argentina</v>
      </c>
      <c r="P397" s="481" t="str">
        <v>Colombia</v>
      </c>
      <c r="Q397" s="490" t="str">
        <v>Croatia</v>
      </c>
    </row>
    <row r="398" spans="1:17" x14ac:dyDescent="0.2">
      <c r="A398" s="489">
        <v>395</v>
      </c>
      <c r="B398" s="481" t="str">
        <v>Croatia</v>
      </c>
      <c r="C398" s="481" t="str">
        <v>Portugal</v>
      </c>
      <c r="D398" s="481" t="str">
        <v>Netherlands</v>
      </c>
      <c r="E398" s="481" t="str">
        <v>Algeria</v>
      </c>
      <c r="F398" s="481" t="str">
        <v>Korea Republic</v>
      </c>
      <c r="G398" s="481" t="str">
        <v>Bosnia-Herzegovina</v>
      </c>
      <c r="H398" s="481" t="str">
        <v>Morocco</v>
      </c>
      <c r="I398" s="481" t="str">
        <v>USA</v>
      </c>
      <c r="J398" s="481" t="str">
        <v>Germany</v>
      </c>
      <c r="K398" s="481" t="str">
        <v>Netherlands</v>
      </c>
      <c r="L398" s="481" t="str">
        <v>Belgium</v>
      </c>
      <c r="M398" s="481" t="str">
        <v>Uruguay</v>
      </c>
      <c r="N398" s="481" t="str">
        <v>France</v>
      </c>
      <c r="O398" s="481" t="str">
        <v>Argentina</v>
      </c>
      <c r="P398" s="481" t="str">
        <v>Portugal</v>
      </c>
      <c r="Q398" s="490" t="str">
        <v>England</v>
      </c>
    </row>
    <row r="399" spans="1:17" x14ac:dyDescent="0.2">
      <c r="A399" s="489">
        <v>396</v>
      </c>
      <c r="B399" s="481" t="str">
        <v>Morocco</v>
      </c>
      <c r="C399" s="481" t="str">
        <v>Colombia</v>
      </c>
      <c r="D399" s="481" t="str">
        <v>Argentina</v>
      </c>
      <c r="E399" s="481" t="str">
        <v>Argentina</v>
      </c>
      <c r="F399" s="481" t="str">
        <v>Mexico</v>
      </c>
      <c r="G399" s="481" t="str">
        <v>Canada</v>
      </c>
      <c r="H399" s="481" t="str">
        <v>Brazil</v>
      </c>
      <c r="I399" s="481" t="str">
        <v>USA</v>
      </c>
      <c r="J399" s="481" t="str">
        <v>Germany</v>
      </c>
      <c r="K399" s="481" t="str">
        <v>Sweden</v>
      </c>
      <c r="L399" s="481" t="str">
        <v>Egypt</v>
      </c>
      <c r="M399" s="481" t="str">
        <v>Uruguay</v>
      </c>
      <c r="N399" s="481" t="str">
        <v>Norway</v>
      </c>
      <c r="O399" s="481" t="str">
        <v>Austria</v>
      </c>
      <c r="P399" s="481" t="str">
        <v>Portugal</v>
      </c>
      <c r="Q399" s="490" t="str">
        <v>Croatia</v>
      </c>
    </row>
    <row r="400" spans="1:17" x14ac:dyDescent="0.2">
      <c r="A400" s="489">
        <v>397</v>
      </c>
      <c r="B400" s="481" t="str">
        <v>Austria</v>
      </c>
      <c r="C400" s="481" t="str">
        <v>Argentina</v>
      </c>
      <c r="D400" s="481" t="str">
        <v>Brazil</v>
      </c>
      <c r="E400" s="481" t="str">
        <v>England</v>
      </c>
      <c r="F400" s="481" t="str">
        <v>Mexico</v>
      </c>
      <c r="G400" s="481" t="str">
        <v>Switzerland</v>
      </c>
      <c r="H400" s="481" t="str">
        <v>Brazil</v>
      </c>
      <c r="I400" s="481" t="str">
        <v>Australia</v>
      </c>
      <c r="J400" s="481" t="str">
        <v>Germany</v>
      </c>
      <c r="K400" s="481" t="str">
        <v>Netherlands</v>
      </c>
      <c r="L400" s="481" t="str">
        <v>Belgium</v>
      </c>
      <c r="M400" s="481" t="str">
        <v>Saudi Arabia</v>
      </c>
      <c r="N400" s="481" t="str">
        <v>France</v>
      </c>
      <c r="O400" s="481" t="str">
        <v>Algeria</v>
      </c>
      <c r="P400" s="481" t="str">
        <v>Colombia</v>
      </c>
      <c r="Q400" s="490" t="str">
        <v>Croatia</v>
      </c>
    </row>
    <row r="401" spans="1:17" x14ac:dyDescent="0.2">
      <c r="A401" s="489">
        <v>398</v>
      </c>
      <c r="B401" s="481" t="str">
        <v>Germany</v>
      </c>
      <c r="C401" s="481" t="str">
        <v>Belgium</v>
      </c>
      <c r="D401" s="481" t="str">
        <v>Netherlands</v>
      </c>
      <c r="E401" s="481" t="str">
        <v>France</v>
      </c>
      <c r="F401" s="481" t="str">
        <v>Mexico</v>
      </c>
      <c r="G401" s="481" t="str">
        <v>Switzerland</v>
      </c>
      <c r="H401" s="481" t="str">
        <v>Brazil</v>
      </c>
      <c r="I401" s="481" t="str">
        <v>USA</v>
      </c>
      <c r="J401" s="481" t="str">
        <v>Germany</v>
      </c>
      <c r="K401" s="481" t="str">
        <v>Netherlands</v>
      </c>
      <c r="L401" s="481" t="str">
        <v>Belgium</v>
      </c>
      <c r="M401" s="481" t="str">
        <v>Spain</v>
      </c>
      <c r="N401" s="481" t="str">
        <v>France</v>
      </c>
      <c r="O401" s="481" t="str">
        <v>Algeria</v>
      </c>
      <c r="P401" s="481" t="str">
        <v>Portugal</v>
      </c>
      <c r="Q401" s="490" t="str">
        <v>Croatia</v>
      </c>
    </row>
    <row r="402" spans="1:17" x14ac:dyDescent="0.2">
      <c r="A402" s="489">
        <v>399</v>
      </c>
      <c r="B402" s="481" t="str">
        <v>Portugal</v>
      </c>
      <c r="C402" s="481" t="str">
        <v>Colombia</v>
      </c>
      <c r="D402" s="481" t="str">
        <v>Switzerland</v>
      </c>
      <c r="E402" s="481" t="str">
        <v>Korea Republic</v>
      </c>
      <c r="F402" s="481" t="str">
        <v>Korea Republic</v>
      </c>
      <c r="G402" s="481" t="str">
        <v>Switzerland</v>
      </c>
      <c r="H402" s="481" t="str">
        <v>Morocco</v>
      </c>
      <c r="I402" s="481" t="str">
        <v>Australia</v>
      </c>
      <c r="J402" s="481" t="str">
        <v>Germany</v>
      </c>
      <c r="K402" s="481" t="str">
        <v>Sweden</v>
      </c>
      <c r="L402" s="481" t="str">
        <v>IR Iran</v>
      </c>
      <c r="M402" s="481" t="str">
        <v>Spain</v>
      </c>
      <c r="N402" s="481" t="str">
        <v>Senegal</v>
      </c>
      <c r="O402" s="481" t="str">
        <v>Argentina</v>
      </c>
      <c r="P402" s="481" t="str">
        <v>Colombia</v>
      </c>
      <c r="Q402" s="490" t="str">
        <v>England</v>
      </c>
    </row>
    <row r="403" spans="1:17" x14ac:dyDescent="0.2">
      <c r="A403" s="489">
        <v>400</v>
      </c>
      <c r="B403" s="481" t="str">
        <v>Argentina</v>
      </c>
      <c r="C403" s="481" t="str">
        <v>Brazil</v>
      </c>
      <c r="D403" s="481" t="str">
        <v>Brazil</v>
      </c>
      <c r="E403" s="481" t="str">
        <v>Netherlands</v>
      </c>
      <c r="F403" s="481" t="str">
        <v>Mexico</v>
      </c>
      <c r="G403" s="481" t="str">
        <v>Switzerland</v>
      </c>
      <c r="H403" s="481" t="str">
        <v>Scotland</v>
      </c>
      <c r="I403" s="481" t="str">
        <v>Australia</v>
      </c>
      <c r="J403" s="481" t="str">
        <v>Germany</v>
      </c>
      <c r="K403" s="481" t="str">
        <v>Sweden</v>
      </c>
      <c r="L403" s="481" t="str">
        <v>IR Iran</v>
      </c>
      <c r="M403" s="481" t="str">
        <v>Spain</v>
      </c>
      <c r="N403" s="481" t="str">
        <v>Senegal</v>
      </c>
      <c r="O403" s="481" t="str">
        <v>Argentina</v>
      </c>
      <c r="P403" s="481" t="str">
        <v>Colombia</v>
      </c>
      <c r="Q403" s="490" t="str">
        <v>England</v>
      </c>
    </row>
    <row r="404" spans="1:17" x14ac:dyDescent="0.2">
      <c r="A404" s="489">
        <v>401</v>
      </c>
      <c r="B404" s="481" t="str">
        <v>England</v>
      </c>
      <c r="C404" s="481" t="str">
        <v>Portugal</v>
      </c>
      <c r="D404" s="481" t="str">
        <v>Japan</v>
      </c>
      <c r="E404" s="481" t="str">
        <v>Korea Republic</v>
      </c>
      <c r="F404" s="481" t="str">
        <v>Mexico</v>
      </c>
      <c r="G404" s="481" t="str">
        <v>Switzerland</v>
      </c>
      <c r="H404" s="481" t="str">
        <v>Scotland</v>
      </c>
      <c r="I404" s="481" t="str">
        <v>USA</v>
      </c>
      <c r="J404" s="481" t="str">
        <v>Germany</v>
      </c>
      <c r="K404" s="481" t="str">
        <v>Sweden</v>
      </c>
      <c r="L404" s="481" t="str">
        <v>Belgium</v>
      </c>
      <c r="M404" s="481" t="str">
        <v>Spain</v>
      </c>
      <c r="N404" s="481" t="str">
        <v>France</v>
      </c>
      <c r="O404" s="481" t="str">
        <v>Austria</v>
      </c>
      <c r="P404" s="481" t="str">
        <v>Portugal</v>
      </c>
      <c r="Q404" s="490" t="str">
        <v>Panama</v>
      </c>
    </row>
    <row r="405" spans="1:17" x14ac:dyDescent="0.2">
      <c r="A405" s="489">
        <v>402</v>
      </c>
      <c r="B405" s="481" t="str">
        <v>Portugal</v>
      </c>
      <c r="C405" s="481" t="str">
        <v>Portugal</v>
      </c>
      <c r="D405" s="481" t="str">
        <v>Portugal</v>
      </c>
      <c r="E405" s="481" t="str">
        <v>IR Iran</v>
      </c>
      <c r="F405" s="481" t="str">
        <v>Mexico</v>
      </c>
      <c r="G405" s="481" t="str">
        <v>Qatar</v>
      </c>
      <c r="H405" s="481" t="str">
        <v>Morocco</v>
      </c>
      <c r="I405" s="481" t="str">
        <v>USA</v>
      </c>
      <c r="J405" s="481" t="str">
        <v>Germany</v>
      </c>
      <c r="K405" s="481" t="str">
        <v>Sweden</v>
      </c>
      <c r="L405" s="481" t="str">
        <v>Belgium</v>
      </c>
      <c r="M405" s="481" t="str">
        <v>Uruguay</v>
      </c>
      <c r="N405" s="481" t="str">
        <v>Norway</v>
      </c>
      <c r="O405" s="481" t="str">
        <v>Argentina</v>
      </c>
      <c r="P405" s="481" t="str">
        <v>Portugal</v>
      </c>
      <c r="Q405" s="490" t="str">
        <v>England</v>
      </c>
    </row>
    <row r="406" spans="1:17" x14ac:dyDescent="0.2">
      <c r="A406" s="489">
        <v>403</v>
      </c>
      <c r="B406" s="481" t="str">
        <v>Brazil</v>
      </c>
      <c r="C406" s="481" t="str">
        <v>Morocco</v>
      </c>
      <c r="D406" s="481" t="str">
        <v>Netherlands</v>
      </c>
      <c r="E406" s="481" t="str">
        <v>Portugal</v>
      </c>
      <c r="F406" s="481" t="str">
        <v>Mexico</v>
      </c>
      <c r="G406" s="481" t="str">
        <v>Switzerland</v>
      </c>
      <c r="H406" s="481" t="str">
        <v>Morocco</v>
      </c>
      <c r="I406" s="481" t="str">
        <v>USA</v>
      </c>
      <c r="J406" s="481" t="str">
        <v>Germany</v>
      </c>
      <c r="K406" s="481" t="str">
        <v>Netherlands</v>
      </c>
      <c r="L406" s="481" t="str">
        <v>Belgium</v>
      </c>
      <c r="M406" s="481" t="str">
        <v>Spain</v>
      </c>
      <c r="N406" s="481" t="str">
        <v>France</v>
      </c>
      <c r="O406" s="481" t="str">
        <v>Austria</v>
      </c>
      <c r="P406" s="481" t="str">
        <v>Portugal</v>
      </c>
      <c r="Q406" s="490" t="str">
        <v>England</v>
      </c>
    </row>
    <row r="407" spans="1:17" x14ac:dyDescent="0.2">
      <c r="A407" s="489">
        <v>404</v>
      </c>
      <c r="B407" s="481" t="str">
        <v>Spain</v>
      </c>
      <c r="C407" s="481" t="str">
        <v>Korea Republic</v>
      </c>
      <c r="D407" s="481" t="str">
        <v>Norway</v>
      </c>
      <c r="E407" s="481" t="str">
        <v>Senegal</v>
      </c>
      <c r="F407" s="481" t="str">
        <v>Korea Republic</v>
      </c>
      <c r="G407" s="481" t="str">
        <v>Bosnia-Herzegovina</v>
      </c>
      <c r="H407" s="481" t="str">
        <v>Brazil</v>
      </c>
      <c r="I407" s="481" t="str">
        <v>Australia</v>
      </c>
      <c r="J407" s="481" t="str">
        <v>Germany</v>
      </c>
      <c r="K407" s="481" t="str">
        <v>Sweden</v>
      </c>
      <c r="L407" s="481" t="str">
        <v>IR Iran</v>
      </c>
      <c r="M407" s="481" t="str">
        <v>Spain</v>
      </c>
      <c r="N407" s="481" t="str">
        <v>France</v>
      </c>
      <c r="O407" s="481" t="str">
        <v>Argentina</v>
      </c>
      <c r="P407" s="481" t="str">
        <v>Portugal</v>
      </c>
      <c r="Q407" s="490" t="str">
        <v>Croatia</v>
      </c>
    </row>
    <row r="408" spans="1:17" x14ac:dyDescent="0.2">
      <c r="A408" s="489">
        <v>405</v>
      </c>
      <c r="B408" s="481" t="str">
        <v>Brazil</v>
      </c>
      <c r="C408" s="481" t="str">
        <v>Australia</v>
      </c>
      <c r="D408" s="481" t="str">
        <v>Croatia</v>
      </c>
      <c r="E408" s="481" t="str">
        <v>Portugal</v>
      </c>
      <c r="F408" s="481" t="str">
        <v>Korea Republic</v>
      </c>
      <c r="G408" s="481" t="str">
        <v>Switzerland</v>
      </c>
      <c r="H408" s="481" t="str">
        <v>Morocco</v>
      </c>
      <c r="I408" s="481" t="str">
        <v>USA</v>
      </c>
      <c r="J408" s="481" t="str">
        <v>Germany</v>
      </c>
      <c r="K408" s="481" t="str">
        <v>Netherlands</v>
      </c>
      <c r="L408" s="481" t="str">
        <v>Egypt</v>
      </c>
      <c r="M408" s="481" t="str">
        <v>Uruguay</v>
      </c>
      <c r="N408" s="481" t="str">
        <v>France</v>
      </c>
      <c r="O408" s="481" t="str">
        <v>Argentina</v>
      </c>
      <c r="P408" s="481" t="str">
        <v>Portugal</v>
      </c>
      <c r="Q408" s="490" t="str">
        <v>England</v>
      </c>
    </row>
    <row r="409" spans="1:17" x14ac:dyDescent="0.2">
      <c r="A409" s="489">
        <v>406</v>
      </c>
      <c r="B409" s="481" t="str">
        <v>Spain</v>
      </c>
      <c r="C409" s="481" t="str">
        <v>Norway</v>
      </c>
      <c r="D409" s="481" t="str">
        <v>USA</v>
      </c>
      <c r="E409" s="481" t="str">
        <v>Switzerland</v>
      </c>
      <c r="F409" s="481" t="str">
        <v>Korea Republic</v>
      </c>
      <c r="G409" s="481" t="str">
        <v>Canada</v>
      </c>
      <c r="H409" s="481" t="str">
        <v>Brazil</v>
      </c>
      <c r="I409" s="481" t="str">
        <v>Australia</v>
      </c>
      <c r="J409" s="481" t="str">
        <v>Germany</v>
      </c>
      <c r="K409" s="481" t="str">
        <v>Japan</v>
      </c>
      <c r="L409" s="481" t="str">
        <v>Egypt</v>
      </c>
      <c r="M409" s="481" t="str">
        <v>Spain</v>
      </c>
      <c r="N409" s="481" t="str">
        <v>Senegal</v>
      </c>
      <c r="O409" s="481" t="str">
        <v>Argentina</v>
      </c>
      <c r="P409" s="481" t="str">
        <v>Portugal</v>
      </c>
      <c r="Q409" s="490" t="str">
        <v>England</v>
      </c>
    </row>
    <row r="410" spans="1:17" x14ac:dyDescent="0.2">
      <c r="A410" s="489">
        <v>407</v>
      </c>
      <c r="B410" s="481" t="str">
        <v>France</v>
      </c>
      <c r="C410" s="481" t="str">
        <v>England</v>
      </c>
      <c r="D410" s="481" t="str">
        <v>Germany</v>
      </c>
      <c r="E410" s="481" t="str">
        <v>Argentina</v>
      </c>
      <c r="F410" s="481" t="str">
        <v>Mexico</v>
      </c>
      <c r="G410" s="481" t="str">
        <v>Switzerland</v>
      </c>
      <c r="H410" s="481" t="str">
        <v>Morocco</v>
      </c>
      <c r="I410" s="481" t="str">
        <v>USA</v>
      </c>
      <c r="J410" s="481" t="str">
        <v>Germany</v>
      </c>
      <c r="K410" s="481" t="str">
        <v>Netherlands</v>
      </c>
      <c r="L410" s="481" t="str">
        <v>Egypt</v>
      </c>
      <c r="M410" s="481" t="str">
        <v>Uruguay</v>
      </c>
      <c r="N410" s="481" t="str">
        <v>France</v>
      </c>
      <c r="O410" s="481" t="str">
        <v>Argentina</v>
      </c>
      <c r="P410" s="481" t="str">
        <v>Colombia</v>
      </c>
      <c r="Q410" s="490" t="str">
        <v>England</v>
      </c>
    </row>
    <row r="411" spans="1:17" x14ac:dyDescent="0.2">
      <c r="A411" s="489">
        <v>408</v>
      </c>
      <c r="B411" s="481" t="str">
        <v>Spain</v>
      </c>
      <c r="C411" s="481" t="str">
        <v>Korea Republic</v>
      </c>
      <c r="D411" s="481" t="str">
        <v>Belgium</v>
      </c>
      <c r="E411" s="481" t="str">
        <v>Austria</v>
      </c>
      <c r="F411" s="481" t="str">
        <v>South Africa</v>
      </c>
      <c r="G411" s="481" t="str">
        <v>Switzerland</v>
      </c>
      <c r="H411" s="481" t="str">
        <v>Morocco</v>
      </c>
      <c r="I411" s="481" t="str">
        <v>USA</v>
      </c>
      <c r="J411" s="481" t="str">
        <v>Germany</v>
      </c>
      <c r="K411" s="481" t="str">
        <v>Netherlands</v>
      </c>
      <c r="L411" s="481" t="str">
        <v>Egypt</v>
      </c>
      <c r="M411" s="481" t="str">
        <v>Spain</v>
      </c>
      <c r="N411" s="481" t="str">
        <v>Norway</v>
      </c>
      <c r="O411" s="481" t="str">
        <v>Argentina</v>
      </c>
      <c r="P411" s="481" t="str">
        <v>Colombia</v>
      </c>
      <c r="Q411" s="490" t="str">
        <v>England</v>
      </c>
    </row>
    <row r="412" spans="1:17" x14ac:dyDescent="0.2">
      <c r="A412" s="489">
        <v>409</v>
      </c>
      <c r="B412" s="481" t="str">
        <v>Belgium</v>
      </c>
      <c r="C412" s="481" t="str">
        <v>Croatia</v>
      </c>
      <c r="D412" s="481" t="str">
        <v>Netherlands</v>
      </c>
      <c r="E412" s="481" t="str">
        <v>USA</v>
      </c>
      <c r="F412" s="481" t="str">
        <v>Korea Republic</v>
      </c>
      <c r="G412" s="481" t="str">
        <v>Switzerland</v>
      </c>
      <c r="H412" s="481" t="str">
        <v>Morocco</v>
      </c>
      <c r="I412" s="481" t="str">
        <v>USA</v>
      </c>
      <c r="J412" s="481" t="str">
        <v>Ecuador</v>
      </c>
      <c r="K412" s="481" t="str">
        <v>Sweden</v>
      </c>
      <c r="L412" s="481" t="str">
        <v>Belgium</v>
      </c>
      <c r="M412" s="481" t="str">
        <v>Spain</v>
      </c>
      <c r="N412" s="481" t="str">
        <v>France</v>
      </c>
      <c r="O412" s="481" t="str">
        <v>Argentina</v>
      </c>
      <c r="P412" s="481" t="str">
        <v>Colombia</v>
      </c>
      <c r="Q412" s="490" t="str">
        <v>England</v>
      </c>
    </row>
    <row r="413" spans="1:17" x14ac:dyDescent="0.2">
      <c r="A413" s="489">
        <v>410</v>
      </c>
      <c r="B413" s="481" t="str">
        <v>Portugal</v>
      </c>
      <c r="C413" s="481" t="str">
        <v>England</v>
      </c>
      <c r="D413" s="481" t="str">
        <v>England</v>
      </c>
      <c r="E413" s="481" t="str">
        <v>Norway</v>
      </c>
      <c r="F413" s="481" t="str">
        <v>Mexico</v>
      </c>
      <c r="G413" s="481" t="str">
        <v>Switzerland</v>
      </c>
      <c r="H413" s="481" t="str">
        <v>Brazil</v>
      </c>
      <c r="I413" s="481" t="str">
        <v>USA</v>
      </c>
      <c r="J413" s="481" t="str">
        <v>Germany</v>
      </c>
      <c r="K413" s="481" t="str">
        <v>Sweden</v>
      </c>
      <c r="L413" s="481" t="str">
        <v>Belgium</v>
      </c>
      <c r="M413" s="481" t="str">
        <v>Spain</v>
      </c>
      <c r="N413" s="481" t="str">
        <v>Norway</v>
      </c>
      <c r="O413" s="481" t="str">
        <v>Argentina</v>
      </c>
      <c r="P413" s="481" t="str">
        <v>Uzbekistan</v>
      </c>
      <c r="Q413" s="490" t="str">
        <v>Panama</v>
      </c>
    </row>
    <row r="414" spans="1:17" x14ac:dyDescent="0.2">
      <c r="A414" s="489">
        <v>411</v>
      </c>
      <c r="B414" s="481" t="str">
        <v>Spain</v>
      </c>
      <c r="C414" s="481" t="str">
        <v>Portugal</v>
      </c>
      <c r="D414" s="481" t="str">
        <v>Algeria</v>
      </c>
      <c r="E414" s="481" t="str">
        <v>Morocco</v>
      </c>
      <c r="F414" s="481" t="str">
        <v>Mexico</v>
      </c>
      <c r="G414" s="481" t="str">
        <v>Bosnia-Herzegovina</v>
      </c>
      <c r="H414" s="481" t="str">
        <v>Brazil</v>
      </c>
      <c r="I414" s="481" t="str">
        <v>USA</v>
      </c>
      <c r="J414" s="481" t="str">
        <v>Ecuador</v>
      </c>
      <c r="K414" s="481" t="str">
        <v>Netherlands</v>
      </c>
      <c r="L414" s="481" t="str">
        <v>Egypt</v>
      </c>
      <c r="M414" s="481" t="str">
        <v>Spain</v>
      </c>
      <c r="N414" s="481" t="str">
        <v>France</v>
      </c>
      <c r="O414" s="481" t="str">
        <v>Argentina</v>
      </c>
      <c r="P414" s="481" t="str">
        <v>Colombia</v>
      </c>
      <c r="Q414" s="490" t="str">
        <v>Croatia</v>
      </c>
    </row>
    <row r="415" spans="1:17" x14ac:dyDescent="0.2">
      <c r="A415" s="489">
        <v>412</v>
      </c>
      <c r="B415" s="481" t="str">
        <v>Spain</v>
      </c>
      <c r="C415" s="481" t="str">
        <v>Norway</v>
      </c>
      <c r="D415" s="481" t="str">
        <v>England</v>
      </c>
      <c r="E415" s="481" t="str">
        <v>Uruguay</v>
      </c>
      <c r="F415" s="481" t="str">
        <v>Korea Republic</v>
      </c>
      <c r="G415" s="481" t="str">
        <v>Switzerland</v>
      </c>
      <c r="H415" s="481" t="str">
        <v>Morocco</v>
      </c>
      <c r="I415" s="481" t="str">
        <v>USA</v>
      </c>
      <c r="J415" s="481" t="str">
        <v>Germany</v>
      </c>
      <c r="K415" s="481" t="str">
        <v>Sweden</v>
      </c>
      <c r="L415" s="481" t="str">
        <v>Egypt</v>
      </c>
      <c r="M415" s="481" t="str">
        <v>Spain</v>
      </c>
      <c r="N415" s="481" t="str">
        <v>France</v>
      </c>
      <c r="O415" s="481" t="str">
        <v>Argentina</v>
      </c>
      <c r="P415" s="481" t="str">
        <v>Portugal</v>
      </c>
      <c r="Q415" s="490" t="str">
        <v>Croatia</v>
      </c>
    </row>
    <row r="416" spans="1:17" x14ac:dyDescent="0.2">
      <c r="A416" s="489">
        <v>413</v>
      </c>
      <c r="B416" s="481" t="str">
        <v>Spain</v>
      </c>
      <c r="C416" s="481" t="str">
        <v>Morocco</v>
      </c>
      <c r="D416" s="481" t="str">
        <v>England</v>
      </c>
      <c r="E416" s="481" t="str">
        <v>France</v>
      </c>
      <c r="F416" s="481" t="str">
        <v>Mexico</v>
      </c>
      <c r="G416" s="481" t="str">
        <v>Bosnia-Herzegovina</v>
      </c>
      <c r="H416" s="481" t="str">
        <v>Scotland</v>
      </c>
      <c r="I416" s="481" t="str">
        <v>USA</v>
      </c>
      <c r="J416" s="481" t="str">
        <v>Germany</v>
      </c>
      <c r="K416" s="481" t="str">
        <v>Japan</v>
      </c>
      <c r="L416" s="481" t="str">
        <v>Belgium</v>
      </c>
      <c r="M416" s="481" t="str">
        <v>Spain</v>
      </c>
      <c r="N416" s="481" t="str">
        <v>Senegal</v>
      </c>
      <c r="O416" s="481" t="str">
        <v>Argentina</v>
      </c>
      <c r="P416" s="481" t="str">
        <v>Congo DR</v>
      </c>
      <c r="Q416" s="490" t="str">
        <v>Panama</v>
      </c>
    </row>
    <row r="417" spans="1:17" x14ac:dyDescent="0.2">
      <c r="A417" s="489">
        <v>414</v>
      </c>
      <c r="B417" s="481" t="str">
        <v>Portugal</v>
      </c>
      <c r="C417" s="481" t="str">
        <v>Argentina</v>
      </c>
      <c r="D417" s="481" t="str">
        <v>Belgium</v>
      </c>
      <c r="E417" s="481" t="str">
        <v>Netherlands</v>
      </c>
      <c r="F417" s="481" t="str">
        <v>Mexico</v>
      </c>
      <c r="G417" s="481" t="str">
        <v>Bosnia-Herzegovina</v>
      </c>
      <c r="H417" s="481" t="str">
        <v>Brazil</v>
      </c>
      <c r="I417" s="481" t="str">
        <v>USA</v>
      </c>
      <c r="J417" s="481" t="str">
        <v>Germany</v>
      </c>
      <c r="K417" s="481" t="str">
        <v>Netherlands</v>
      </c>
      <c r="L417" s="481" t="str">
        <v>Egypt</v>
      </c>
      <c r="M417" s="481" t="str">
        <v>Spain</v>
      </c>
      <c r="N417" s="481" t="str">
        <v>France</v>
      </c>
      <c r="O417" s="481" t="str">
        <v>Argentina</v>
      </c>
      <c r="P417" s="481" t="str">
        <v>Colombia</v>
      </c>
      <c r="Q417" s="490" t="str">
        <v>Croatia</v>
      </c>
    </row>
    <row r="418" spans="1:17" x14ac:dyDescent="0.2">
      <c r="A418" s="489">
        <v>415</v>
      </c>
      <c r="B418" s="481" t="str">
        <v>Mexico</v>
      </c>
      <c r="C418" s="481" t="str">
        <v>Portugal</v>
      </c>
      <c r="D418" s="481" t="str">
        <v>Croatia</v>
      </c>
      <c r="E418" s="481" t="str">
        <v>Uruguay</v>
      </c>
      <c r="F418" s="481" t="str">
        <v>Mexico</v>
      </c>
      <c r="G418" s="481" t="str">
        <v>Bosnia-Herzegovina</v>
      </c>
      <c r="H418" s="481" t="str">
        <v>Brazil</v>
      </c>
      <c r="I418" s="481" t="str">
        <v>USA</v>
      </c>
      <c r="J418" s="481" t="str">
        <v>Germany</v>
      </c>
      <c r="K418" s="481" t="str">
        <v>Sweden</v>
      </c>
      <c r="L418" s="481" t="str">
        <v>Belgium</v>
      </c>
      <c r="M418" s="481" t="str">
        <v>Spain</v>
      </c>
      <c r="N418" s="481" t="str">
        <v>France</v>
      </c>
      <c r="O418" s="481" t="str">
        <v>Austria</v>
      </c>
      <c r="P418" s="481" t="str">
        <v>Colombia</v>
      </c>
      <c r="Q418" s="490" t="str">
        <v>Panama</v>
      </c>
    </row>
    <row r="419" spans="1:17" x14ac:dyDescent="0.2">
      <c r="A419" s="489">
        <v>416</v>
      </c>
      <c r="B419" s="481" t="str">
        <v>Spain</v>
      </c>
      <c r="C419" s="481" t="str">
        <v>USA</v>
      </c>
      <c r="D419" s="481" t="str">
        <v>USA</v>
      </c>
      <c r="E419" s="481" t="str">
        <v>Mexico</v>
      </c>
      <c r="F419" s="481" t="str">
        <v>Czechia</v>
      </c>
      <c r="G419" s="481" t="str">
        <v>Canada</v>
      </c>
      <c r="H419" s="481" t="str">
        <v>Scotland</v>
      </c>
      <c r="I419" s="481" t="str">
        <v>USA</v>
      </c>
      <c r="J419" s="481" t="str">
        <v>Germany</v>
      </c>
      <c r="K419" s="481" t="str">
        <v>Sweden</v>
      </c>
      <c r="L419" s="481" t="str">
        <v>IR Iran</v>
      </c>
      <c r="M419" s="481" t="str">
        <v>Uruguay</v>
      </c>
      <c r="N419" s="481" t="str">
        <v>France</v>
      </c>
      <c r="O419" s="481" t="str">
        <v>Algeria</v>
      </c>
      <c r="P419" s="481" t="str">
        <v>Portugal</v>
      </c>
      <c r="Q419" s="490" t="str">
        <v>Panama</v>
      </c>
    </row>
    <row r="420" spans="1:17" x14ac:dyDescent="0.2">
      <c r="A420" s="489">
        <v>417</v>
      </c>
      <c r="B420" s="481" t="str">
        <v>Spain</v>
      </c>
      <c r="C420" s="481" t="str">
        <v>Portugal</v>
      </c>
      <c r="D420" s="481" t="str">
        <v>Argentina</v>
      </c>
      <c r="E420" s="481" t="str">
        <v>Netherlands</v>
      </c>
      <c r="F420" s="481" t="str">
        <v>Mexico</v>
      </c>
      <c r="G420" s="481" t="str">
        <v>Switzerland</v>
      </c>
      <c r="H420" s="481" t="str">
        <v>Scotland</v>
      </c>
      <c r="I420" s="481" t="str">
        <v>USA</v>
      </c>
      <c r="J420" s="481" t="str">
        <v>Germany</v>
      </c>
      <c r="K420" s="481" t="str">
        <v>Japan</v>
      </c>
      <c r="L420" s="481" t="str">
        <v>Egypt</v>
      </c>
      <c r="M420" s="481" t="str">
        <v>Spain</v>
      </c>
      <c r="N420" s="481" t="str">
        <v>Senegal</v>
      </c>
      <c r="O420" s="481" t="str">
        <v>Argentina</v>
      </c>
      <c r="P420" s="481" t="str">
        <v>Portugal</v>
      </c>
      <c r="Q420" s="490" t="str">
        <v>Panama</v>
      </c>
    </row>
    <row r="421" spans="1:17" x14ac:dyDescent="0.2">
      <c r="A421" s="489">
        <v>418</v>
      </c>
      <c r="B421" s="481" t="str">
        <v>Argentina</v>
      </c>
      <c r="C421" s="481" t="str">
        <v>Spain</v>
      </c>
      <c r="D421" s="481" t="str">
        <v>Portugal</v>
      </c>
      <c r="E421" s="481" t="str">
        <v>Senegal</v>
      </c>
      <c r="F421" s="481" t="str">
        <v>Mexico</v>
      </c>
      <c r="G421" s="481" t="str">
        <v>Canada</v>
      </c>
      <c r="H421" s="481" t="str">
        <v>Scotland</v>
      </c>
      <c r="I421" s="481" t="str">
        <v>USA</v>
      </c>
      <c r="J421" s="481" t="str">
        <v>Germany</v>
      </c>
      <c r="K421" s="481" t="str">
        <v>Netherlands</v>
      </c>
      <c r="L421" s="481" t="str">
        <v>Belgium</v>
      </c>
      <c r="M421" s="481" t="str">
        <v>Spain</v>
      </c>
      <c r="N421" s="481" t="str">
        <v>France</v>
      </c>
      <c r="O421" s="481" t="str">
        <v>Argentina</v>
      </c>
      <c r="P421" s="481" t="str">
        <v>Colombia</v>
      </c>
      <c r="Q421" s="490" t="str">
        <v>England</v>
      </c>
    </row>
    <row r="422" spans="1:17" x14ac:dyDescent="0.2">
      <c r="A422" s="489">
        <v>419</v>
      </c>
      <c r="B422" s="481" t="str">
        <v>Brazil</v>
      </c>
      <c r="C422" s="481" t="str">
        <v>Argentina</v>
      </c>
      <c r="D422" s="481" t="str">
        <v>France</v>
      </c>
      <c r="E422" s="481" t="str">
        <v>Croatia</v>
      </c>
      <c r="F422" s="481" t="str">
        <v>Mexico</v>
      </c>
      <c r="G422" s="481" t="str">
        <v>Switzerland</v>
      </c>
      <c r="H422" s="481" t="str">
        <v>Brazil</v>
      </c>
      <c r="I422" s="481" t="str">
        <v>USA</v>
      </c>
      <c r="J422" s="481" t="str">
        <v>Germany</v>
      </c>
      <c r="K422" s="481" t="str">
        <v>Netherlands</v>
      </c>
      <c r="L422" s="481" t="str">
        <v>IR Iran</v>
      </c>
      <c r="M422" s="481" t="str">
        <v>Uruguay</v>
      </c>
      <c r="N422" s="481" t="str">
        <v>France</v>
      </c>
      <c r="O422" s="481" t="str">
        <v>Argentina</v>
      </c>
      <c r="P422" s="481" t="str">
        <v>Portugal</v>
      </c>
      <c r="Q422" s="490" t="str">
        <v>England</v>
      </c>
    </row>
    <row r="423" spans="1:17" x14ac:dyDescent="0.2">
      <c r="A423" s="489">
        <v>420</v>
      </c>
      <c r="B423" s="481" t="str">
        <v>Belgium</v>
      </c>
      <c r="C423" s="481" t="str">
        <v>Uruguay</v>
      </c>
      <c r="D423" s="481" t="str">
        <v>Argentina</v>
      </c>
      <c r="E423" s="481" t="str">
        <v>Egypt</v>
      </c>
      <c r="F423" s="481" t="str">
        <v>Korea Republic</v>
      </c>
      <c r="G423" s="481" t="str">
        <v>Canada</v>
      </c>
      <c r="H423" s="481" t="str">
        <v>Brazil</v>
      </c>
      <c r="I423" s="481" t="str">
        <v>USA</v>
      </c>
      <c r="J423" s="481" t="str">
        <v>Germany</v>
      </c>
      <c r="K423" s="481" t="str">
        <v>Sweden</v>
      </c>
      <c r="L423" s="481" t="str">
        <v>Belgium</v>
      </c>
      <c r="M423" s="481" t="str">
        <v>Spain</v>
      </c>
      <c r="N423" s="481" t="str">
        <v>France</v>
      </c>
      <c r="O423" s="481" t="str">
        <v>Algeria</v>
      </c>
      <c r="P423" s="481" t="str">
        <v>Portugal</v>
      </c>
      <c r="Q423" s="490" t="str">
        <v>England</v>
      </c>
    </row>
    <row r="424" spans="1:17" x14ac:dyDescent="0.2">
      <c r="A424" s="489">
        <v>421</v>
      </c>
      <c r="B424" s="481" t="str">
        <v>Argentina</v>
      </c>
      <c r="C424" s="481" t="str">
        <v>Mexico</v>
      </c>
      <c r="D424" s="481" t="str">
        <v>France</v>
      </c>
      <c r="E424" s="481" t="str">
        <v>USA</v>
      </c>
      <c r="F424" s="481" t="str">
        <v>Korea Republic</v>
      </c>
      <c r="G424" s="481" t="str">
        <v>Switzerland</v>
      </c>
      <c r="H424" s="481" t="str">
        <v>Brazil</v>
      </c>
      <c r="I424" s="481" t="str">
        <v>USA</v>
      </c>
      <c r="J424" s="481" t="str">
        <v>Germany</v>
      </c>
      <c r="K424" s="481" t="str">
        <v>Japan</v>
      </c>
      <c r="L424" s="481" t="str">
        <v>Belgium</v>
      </c>
      <c r="M424" s="481" t="str">
        <v>Spain</v>
      </c>
      <c r="N424" s="481" t="str">
        <v>France</v>
      </c>
      <c r="O424" s="481" t="str">
        <v>Algeria</v>
      </c>
      <c r="P424" s="481" t="str">
        <v>Portugal</v>
      </c>
      <c r="Q424" s="490" t="str">
        <v>England</v>
      </c>
    </row>
    <row r="425" spans="1:17" x14ac:dyDescent="0.2">
      <c r="A425" s="489">
        <v>422</v>
      </c>
      <c r="B425" s="481" t="str">
        <v>Spain</v>
      </c>
      <c r="C425" s="481" t="str">
        <v>Brazil</v>
      </c>
      <c r="D425" s="481" t="str">
        <v>France</v>
      </c>
      <c r="E425" s="481" t="str">
        <v>Algeria</v>
      </c>
      <c r="F425" s="481" t="str">
        <v>Mexico</v>
      </c>
      <c r="G425" s="481" t="str">
        <v>Switzerland</v>
      </c>
      <c r="H425" s="481" t="str">
        <v>Brazil</v>
      </c>
      <c r="I425" s="481" t="str">
        <v>Australia</v>
      </c>
      <c r="J425" s="481" t="str">
        <v>Germany</v>
      </c>
      <c r="K425" s="481" t="str">
        <v>Netherlands</v>
      </c>
      <c r="L425" s="481" t="str">
        <v>Egypt</v>
      </c>
      <c r="M425" s="481" t="str">
        <v>Cabo Verde</v>
      </c>
      <c r="N425" s="481" t="str">
        <v>Senegal</v>
      </c>
      <c r="O425" s="481" t="str">
        <v>Argentina</v>
      </c>
      <c r="P425" s="481" t="str">
        <v>Portugal</v>
      </c>
      <c r="Q425" s="490" t="str">
        <v>Panama</v>
      </c>
    </row>
    <row r="426" spans="1:17" x14ac:dyDescent="0.2">
      <c r="A426" s="489">
        <v>423</v>
      </c>
      <c r="B426" s="481" t="str">
        <v>Brazil</v>
      </c>
      <c r="C426" s="481" t="str">
        <v>Switzerland</v>
      </c>
      <c r="D426" s="481" t="str">
        <v>England</v>
      </c>
      <c r="E426" s="481" t="str">
        <v>Austria</v>
      </c>
      <c r="F426" s="481" t="str">
        <v>Korea Republic</v>
      </c>
      <c r="G426" s="481" t="str">
        <v>Switzerland</v>
      </c>
      <c r="H426" s="481" t="str">
        <v>Morocco</v>
      </c>
      <c r="I426" s="481" t="str">
        <v>Australia</v>
      </c>
      <c r="J426" s="481" t="str">
        <v>Ecuador</v>
      </c>
      <c r="K426" s="481" t="str">
        <v>Netherlands</v>
      </c>
      <c r="L426" s="481" t="str">
        <v>Belgium</v>
      </c>
      <c r="M426" s="481" t="str">
        <v>Spain</v>
      </c>
      <c r="N426" s="481" t="str">
        <v>France</v>
      </c>
      <c r="O426" s="481" t="str">
        <v>Austria</v>
      </c>
      <c r="P426" s="481" t="str">
        <v>Colombia</v>
      </c>
      <c r="Q426" s="490" t="str">
        <v>England</v>
      </c>
    </row>
    <row r="427" spans="1:17" x14ac:dyDescent="0.2">
      <c r="A427" s="489">
        <v>424</v>
      </c>
      <c r="B427" s="481" t="str">
        <v>Mexico</v>
      </c>
      <c r="C427" s="481" t="str">
        <v>Germany</v>
      </c>
      <c r="D427" s="481" t="str">
        <v>Argentina</v>
      </c>
      <c r="E427" s="481" t="str">
        <v>Brazil</v>
      </c>
      <c r="F427" s="481" t="str">
        <v>Mexico</v>
      </c>
      <c r="G427" s="481" t="str">
        <v>Canada</v>
      </c>
      <c r="H427" s="481" t="str">
        <v>Brazil</v>
      </c>
      <c r="I427" s="481" t="str">
        <v>Turkiye</v>
      </c>
      <c r="J427" s="481" t="str">
        <v>Cote d'Ivorie</v>
      </c>
      <c r="K427" s="481" t="str">
        <v>Netherlands</v>
      </c>
      <c r="L427" s="481" t="str">
        <v>Belgium</v>
      </c>
      <c r="M427" s="481" t="str">
        <v>Spain</v>
      </c>
      <c r="N427" s="481" t="str">
        <v>France</v>
      </c>
      <c r="O427" s="481" t="str">
        <v>Argentina</v>
      </c>
      <c r="P427" s="481" t="str">
        <v>Portugal</v>
      </c>
      <c r="Q427" s="490" t="str">
        <v>England</v>
      </c>
    </row>
    <row r="428" spans="1:17" x14ac:dyDescent="0.2">
      <c r="A428" s="489">
        <v>425</v>
      </c>
      <c r="B428" s="481" t="str">
        <v>Spain</v>
      </c>
      <c r="C428" s="481" t="str">
        <v>Switzerland</v>
      </c>
      <c r="D428" s="481" t="str">
        <v>Brazil</v>
      </c>
      <c r="E428" s="481" t="str">
        <v>Canada</v>
      </c>
      <c r="F428" s="481" t="str">
        <v>Mexico</v>
      </c>
      <c r="G428" s="481" t="str">
        <v>Switzerland</v>
      </c>
      <c r="H428" s="481" t="str">
        <v>Brazil</v>
      </c>
      <c r="I428" s="481" t="str">
        <v>USA</v>
      </c>
      <c r="J428" s="481" t="str">
        <v>Germany</v>
      </c>
      <c r="K428" s="481" t="str">
        <v>Sweden</v>
      </c>
      <c r="L428" s="481" t="str">
        <v>Belgium</v>
      </c>
      <c r="M428" s="481" t="str">
        <v>Spain</v>
      </c>
      <c r="N428" s="481" t="str">
        <v>Norway</v>
      </c>
      <c r="O428" s="481" t="str">
        <v>Argentina</v>
      </c>
      <c r="P428" s="481" t="str">
        <v>Portugal</v>
      </c>
      <c r="Q428" s="490" t="str">
        <v>Croatia</v>
      </c>
    </row>
    <row r="429" spans="1:17" x14ac:dyDescent="0.2">
      <c r="A429" s="489">
        <v>426</v>
      </c>
      <c r="B429" s="481" t="str">
        <v>England</v>
      </c>
      <c r="C429" s="481" t="str">
        <v>Switzerland</v>
      </c>
      <c r="D429" s="481" t="str">
        <v>Germany</v>
      </c>
      <c r="E429" s="481" t="str">
        <v>Mexico</v>
      </c>
      <c r="F429" s="481" t="str">
        <v>Mexico</v>
      </c>
      <c r="G429" s="481" t="str">
        <v>Canada</v>
      </c>
      <c r="H429" s="481" t="str">
        <v>Morocco</v>
      </c>
      <c r="I429" s="481" t="str">
        <v>USA</v>
      </c>
      <c r="J429" s="481" t="str">
        <v>Cote d'Ivorie</v>
      </c>
      <c r="K429" s="481" t="str">
        <v>Japan</v>
      </c>
      <c r="L429" s="481" t="str">
        <v>Egypt</v>
      </c>
      <c r="M429" s="481" t="str">
        <v>Spain</v>
      </c>
      <c r="N429" s="481" t="str">
        <v>France</v>
      </c>
      <c r="O429" s="481" t="str">
        <v>Argentina</v>
      </c>
      <c r="P429" s="481" t="str">
        <v>Colombia</v>
      </c>
      <c r="Q429" s="490" t="str">
        <v>England</v>
      </c>
    </row>
    <row r="430" spans="1:17" x14ac:dyDescent="0.2">
      <c r="A430" s="489">
        <v>427</v>
      </c>
      <c r="B430" s="481" t="str">
        <v>Argentina</v>
      </c>
      <c r="C430" s="481" t="str">
        <v>Ecuador</v>
      </c>
      <c r="D430" s="481" t="str">
        <v>Norway</v>
      </c>
      <c r="E430" s="481" t="str">
        <v>Uruguay</v>
      </c>
      <c r="F430" s="481" t="str">
        <v>Mexico</v>
      </c>
      <c r="G430" s="481" t="str">
        <v>Switzerland</v>
      </c>
      <c r="H430" s="481" t="str">
        <v>Morocco</v>
      </c>
      <c r="I430" s="481" t="str">
        <v>USA</v>
      </c>
      <c r="J430" s="481" t="str">
        <v>Ecuador</v>
      </c>
      <c r="K430" s="481" t="str">
        <v>Japan</v>
      </c>
      <c r="L430" s="481" t="str">
        <v>Belgium</v>
      </c>
      <c r="M430" s="481" t="str">
        <v>Spain</v>
      </c>
      <c r="N430" s="481" t="str">
        <v>Norway</v>
      </c>
      <c r="O430" s="481" t="str">
        <v>Argentina</v>
      </c>
      <c r="P430" s="481" t="str">
        <v>Colombia</v>
      </c>
      <c r="Q430" s="490" t="str">
        <v>England</v>
      </c>
    </row>
    <row r="431" spans="1:17" x14ac:dyDescent="0.2">
      <c r="A431" s="489">
        <v>428</v>
      </c>
      <c r="B431" s="481" t="str">
        <v>Brazil</v>
      </c>
      <c r="C431" s="481" t="str">
        <v>Portugal</v>
      </c>
      <c r="D431" s="481" t="str">
        <v>Portugal</v>
      </c>
      <c r="E431" s="481" t="str">
        <v>Portugal</v>
      </c>
      <c r="F431" s="481" t="str">
        <v>Mexico</v>
      </c>
      <c r="G431" s="481" t="str">
        <v>Canada</v>
      </c>
      <c r="H431" s="481" t="str">
        <v>Morocco</v>
      </c>
      <c r="I431" s="481" t="str">
        <v>USA</v>
      </c>
      <c r="J431" s="481" t="str">
        <v>Germany</v>
      </c>
      <c r="K431" s="481" t="str">
        <v>Japan</v>
      </c>
      <c r="L431" s="481" t="str">
        <v>Belgium</v>
      </c>
      <c r="M431" s="481" t="str">
        <v>Saudi Arabia</v>
      </c>
      <c r="N431" s="481" t="str">
        <v>France</v>
      </c>
      <c r="O431" s="481" t="str">
        <v>Algeria</v>
      </c>
      <c r="P431" s="481" t="str">
        <v>Portugal</v>
      </c>
      <c r="Q431" s="490" t="str">
        <v>England</v>
      </c>
    </row>
    <row r="432" spans="1:17" x14ac:dyDescent="0.2">
      <c r="A432" s="489">
        <v>429</v>
      </c>
      <c r="B432" s="481" t="str">
        <v>Portugal</v>
      </c>
      <c r="C432" s="481" t="str">
        <v>Korea Republic</v>
      </c>
      <c r="D432" s="481" t="str">
        <v>Morocco</v>
      </c>
      <c r="E432" s="481" t="str">
        <v>Morocco</v>
      </c>
      <c r="F432" s="481" t="str">
        <v>Mexico</v>
      </c>
      <c r="G432" s="481" t="str">
        <v>Bosnia-Herzegovina</v>
      </c>
      <c r="H432" s="481" t="str">
        <v>Morocco</v>
      </c>
      <c r="I432" s="481" t="str">
        <v>USA</v>
      </c>
      <c r="J432" s="481" t="str">
        <v>Ecuador</v>
      </c>
      <c r="K432" s="481" t="str">
        <v>Sweden</v>
      </c>
      <c r="L432" s="481" t="str">
        <v>Belgium</v>
      </c>
      <c r="M432" s="481" t="str">
        <v>Spain</v>
      </c>
      <c r="N432" s="481" t="str">
        <v>France</v>
      </c>
      <c r="O432" s="481" t="str">
        <v>Argentina</v>
      </c>
      <c r="P432" s="481" t="str">
        <v>Colombia</v>
      </c>
      <c r="Q432" s="490" t="str">
        <v>England</v>
      </c>
    </row>
    <row r="433" spans="1:17" x14ac:dyDescent="0.2">
      <c r="A433" s="489">
        <v>430</v>
      </c>
      <c r="B433" s="481" t="str">
        <v>Argentina</v>
      </c>
      <c r="C433" s="481" t="str">
        <v>England</v>
      </c>
      <c r="D433" s="481" t="str">
        <v>England</v>
      </c>
      <c r="E433" s="481" t="str">
        <v>Portugal</v>
      </c>
      <c r="F433" s="481" t="str">
        <v>Mexico</v>
      </c>
      <c r="G433" s="481" t="str">
        <v>Canada</v>
      </c>
      <c r="H433" s="481" t="str">
        <v>Morocco</v>
      </c>
      <c r="I433" s="481" t="str">
        <v>USA</v>
      </c>
      <c r="J433" s="481" t="str">
        <v>Germany</v>
      </c>
      <c r="K433" s="481" t="str">
        <v>Sweden</v>
      </c>
      <c r="L433" s="481" t="str">
        <v>Belgium</v>
      </c>
      <c r="M433" s="481" t="str">
        <v>Spain</v>
      </c>
      <c r="N433" s="481" t="str">
        <v>Senegal</v>
      </c>
      <c r="O433" s="481" t="str">
        <v>Argentina</v>
      </c>
      <c r="P433" s="481" t="str">
        <v>Colombia</v>
      </c>
      <c r="Q433" s="490" t="str">
        <v>England</v>
      </c>
    </row>
    <row r="434" spans="1:17" x14ac:dyDescent="0.2">
      <c r="A434" s="489">
        <v>431</v>
      </c>
      <c r="B434" s="481" t="str">
        <v>Mexico</v>
      </c>
      <c r="C434" s="481" t="str">
        <v>Portugal</v>
      </c>
      <c r="D434" s="481" t="str">
        <v>Belgium</v>
      </c>
      <c r="E434" s="481" t="str">
        <v>Mexico</v>
      </c>
      <c r="F434" s="481" t="str">
        <v>Mexico</v>
      </c>
      <c r="G434" s="481" t="str">
        <v>Switzerland</v>
      </c>
      <c r="H434" s="481" t="str">
        <v>Morocco</v>
      </c>
      <c r="I434" s="481" t="str">
        <v>USA</v>
      </c>
      <c r="J434" s="481" t="str">
        <v>Germany</v>
      </c>
      <c r="K434" s="481" t="str">
        <v>Netherlands</v>
      </c>
      <c r="L434" s="481" t="str">
        <v>Belgium</v>
      </c>
      <c r="M434" s="481" t="str">
        <v>Spain</v>
      </c>
      <c r="N434" s="481" t="str">
        <v>France</v>
      </c>
      <c r="O434" s="481" t="str">
        <v>Argentina</v>
      </c>
      <c r="P434" s="481" t="str">
        <v>Portugal</v>
      </c>
      <c r="Q434" s="490" t="str">
        <v>England</v>
      </c>
    </row>
    <row r="435" spans="1:17" x14ac:dyDescent="0.2">
      <c r="A435" s="489">
        <v>432</v>
      </c>
      <c r="B435" s="481" t="str">
        <v>Argentina</v>
      </c>
      <c r="C435" s="481" t="str">
        <v>Netherlands</v>
      </c>
      <c r="D435" s="481" t="str">
        <v>France</v>
      </c>
      <c r="E435" s="481" t="str">
        <v>Mexico</v>
      </c>
      <c r="F435" s="481" t="str">
        <v>Korea Republic</v>
      </c>
      <c r="G435" s="481" t="str">
        <v>Switzerland</v>
      </c>
      <c r="H435" s="481" t="str">
        <v>Morocco</v>
      </c>
      <c r="I435" s="481" t="str">
        <v>USA</v>
      </c>
      <c r="J435" s="481" t="str">
        <v>Germany</v>
      </c>
      <c r="K435" s="481" t="str">
        <v>Netherlands</v>
      </c>
      <c r="L435" s="481" t="str">
        <v>Belgium</v>
      </c>
      <c r="M435" s="481" t="str">
        <v>Spain</v>
      </c>
      <c r="N435" s="481" t="str">
        <v>France</v>
      </c>
      <c r="O435" s="481" t="str">
        <v>Argentina</v>
      </c>
      <c r="P435" s="481" t="str">
        <v>Colombia</v>
      </c>
      <c r="Q435" s="490" t="str">
        <v>England</v>
      </c>
    </row>
    <row r="436" spans="1:17" x14ac:dyDescent="0.2">
      <c r="A436" s="489">
        <v>433</v>
      </c>
      <c r="B436" s="481" t="str">
        <v>Spain</v>
      </c>
      <c r="C436" s="481" t="str">
        <v>Brazil</v>
      </c>
      <c r="D436" s="481" t="str">
        <v>USA</v>
      </c>
      <c r="E436" s="481" t="str">
        <v>Netherlands</v>
      </c>
      <c r="F436" s="481" t="str">
        <v>Korea Republic</v>
      </c>
      <c r="G436" s="481" t="str">
        <v>Switzerland</v>
      </c>
      <c r="H436" s="481" t="str">
        <v>Brazil</v>
      </c>
      <c r="I436" s="481" t="str">
        <v>Australia</v>
      </c>
      <c r="J436" s="481" t="str">
        <v>Germany</v>
      </c>
      <c r="K436" s="481" t="str">
        <v>Japan</v>
      </c>
      <c r="L436" s="481" t="str">
        <v>Egypt</v>
      </c>
      <c r="M436" s="481" t="str">
        <v>Spain</v>
      </c>
      <c r="N436" s="481" t="str">
        <v>Senegal</v>
      </c>
      <c r="O436" s="481" t="str">
        <v>Argentina</v>
      </c>
      <c r="P436" s="481" t="str">
        <v>Uzbekistan</v>
      </c>
      <c r="Q436" s="490" t="str">
        <v>England</v>
      </c>
    </row>
    <row r="437" spans="1:17" x14ac:dyDescent="0.2">
      <c r="A437" s="489">
        <v>434</v>
      </c>
      <c r="B437" s="481" t="str">
        <v>Colombia</v>
      </c>
      <c r="C437" s="481" t="str">
        <v>France</v>
      </c>
      <c r="D437" s="481" t="str">
        <v>France</v>
      </c>
      <c r="E437" s="481" t="str">
        <v>Argentina</v>
      </c>
      <c r="F437" s="481" t="str">
        <v>Mexico</v>
      </c>
      <c r="G437" s="481" t="str">
        <v>Canada</v>
      </c>
      <c r="H437" s="481" t="str">
        <v>Brazil</v>
      </c>
      <c r="I437" s="481" t="str">
        <v>USA</v>
      </c>
      <c r="J437" s="481" t="str">
        <v>Germany</v>
      </c>
      <c r="K437" s="481" t="str">
        <v>Netherlands</v>
      </c>
      <c r="L437" s="481" t="str">
        <v>Belgium</v>
      </c>
      <c r="M437" s="481" t="str">
        <v>Spain</v>
      </c>
      <c r="N437" s="481" t="str">
        <v>France</v>
      </c>
      <c r="O437" s="481" t="str">
        <v>Algeria</v>
      </c>
      <c r="P437" s="481" t="str">
        <v>Portugal</v>
      </c>
      <c r="Q437" s="490" t="str">
        <v>England</v>
      </c>
    </row>
    <row r="438" spans="1:17" x14ac:dyDescent="0.2">
      <c r="A438" s="489">
        <v>435</v>
      </c>
      <c r="B438" s="481" t="str">
        <v>Mexico</v>
      </c>
      <c r="C438" s="481" t="str">
        <v>Brazil</v>
      </c>
      <c r="D438" s="481" t="str">
        <v>Argentina</v>
      </c>
      <c r="E438" s="481" t="str">
        <v>Morocco</v>
      </c>
      <c r="F438" s="481" t="str">
        <v>Korea Republic</v>
      </c>
      <c r="G438" s="481" t="str">
        <v>Switzerland</v>
      </c>
      <c r="H438" s="481" t="str">
        <v>Morocco</v>
      </c>
      <c r="I438" s="481" t="str">
        <v>USA</v>
      </c>
      <c r="J438" s="481" t="str">
        <v>Germany</v>
      </c>
      <c r="K438" s="481" t="str">
        <v>Sweden</v>
      </c>
      <c r="L438" s="481" t="str">
        <v>Belgium</v>
      </c>
      <c r="M438" s="481" t="str">
        <v>Spain</v>
      </c>
      <c r="N438" s="481" t="str">
        <v>Senegal</v>
      </c>
      <c r="O438" s="481" t="str">
        <v>Argentina</v>
      </c>
      <c r="P438" s="481" t="str">
        <v>Colombia</v>
      </c>
      <c r="Q438" s="490" t="str">
        <v>Croatia</v>
      </c>
    </row>
    <row r="439" spans="1:17" x14ac:dyDescent="0.2">
      <c r="A439" s="489">
        <v>436</v>
      </c>
      <c r="B439" s="481" t="str">
        <v>Belgium</v>
      </c>
      <c r="C439" s="481" t="str">
        <v>Spain</v>
      </c>
      <c r="D439" s="481" t="str">
        <v>Spain</v>
      </c>
      <c r="E439" s="481" t="str">
        <v>Germany</v>
      </c>
      <c r="F439" s="481" t="str">
        <v>Mexico</v>
      </c>
      <c r="G439" s="481" t="str">
        <v>Canada</v>
      </c>
      <c r="H439" s="481" t="str">
        <v>Scotland</v>
      </c>
      <c r="I439" s="481" t="str">
        <v>USA</v>
      </c>
      <c r="J439" s="481" t="str">
        <v>Germany</v>
      </c>
      <c r="K439" s="481" t="str">
        <v>Netherlands</v>
      </c>
      <c r="L439" s="481" t="str">
        <v>IR Iran</v>
      </c>
      <c r="M439" s="481" t="str">
        <v>Spain</v>
      </c>
      <c r="N439" s="481" t="str">
        <v>France</v>
      </c>
      <c r="O439" s="481" t="str">
        <v>Argentina</v>
      </c>
      <c r="P439" s="481" t="str">
        <v>Colombia</v>
      </c>
      <c r="Q439" s="490" t="str">
        <v>Croatia</v>
      </c>
    </row>
    <row r="440" spans="1:17" x14ac:dyDescent="0.2">
      <c r="A440" s="489">
        <v>437</v>
      </c>
      <c r="B440" s="481" t="str">
        <v>France</v>
      </c>
      <c r="C440" s="481" t="str">
        <v>Mexico</v>
      </c>
      <c r="D440" s="481" t="str">
        <v>Spain</v>
      </c>
      <c r="E440" s="481" t="str">
        <v>Belgium</v>
      </c>
      <c r="F440" s="481" t="str">
        <v>Mexico</v>
      </c>
      <c r="G440" s="481" t="str">
        <v>Switzerland</v>
      </c>
      <c r="H440" s="481" t="str">
        <v>Morocco</v>
      </c>
      <c r="I440" s="481" t="str">
        <v>USA</v>
      </c>
      <c r="J440" s="481" t="str">
        <v>Germany</v>
      </c>
      <c r="K440" s="481" t="str">
        <v>Netherlands</v>
      </c>
      <c r="L440" s="481" t="str">
        <v>Egypt</v>
      </c>
      <c r="M440" s="481" t="str">
        <v>Spain</v>
      </c>
      <c r="N440" s="481" t="str">
        <v>Senegal</v>
      </c>
      <c r="O440" s="481" t="str">
        <v>Argentina</v>
      </c>
      <c r="P440" s="481" t="str">
        <v>Uzbekistan</v>
      </c>
      <c r="Q440" s="490" t="str">
        <v>England</v>
      </c>
    </row>
    <row r="441" spans="1:17" x14ac:dyDescent="0.2">
      <c r="A441" s="489">
        <v>438</v>
      </c>
      <c r="B441" s="481" t="str">
        <v>Portugal</v>
      </c>
      <c r="C441" s="481" t="str">
        <v>Croatia</v>
      </c>
      <c r="D441" s="481" t="str">
        <v>Mexico</v>
      </c>
      <c r="E441" s="481" t="str">
        <v>Switzerland</v>
      </c>
      <c r="F441" s="481" t="str">
        <v>Mexico</v>
      </c>
      <c r="G441" s="481" t="str">
        <v>Bosnia-Herzegovina</v>
      </c>
      <c r="H441" s="481" t="str">
        <v>Morocco</v>
      </c>
      <c r="I441" s="481" t="str">
        <v>USA</v>
      </c>
      <c r="J441" s="481" t="str">
        <v>Germany</v>
      </c>
      <c r="K441" s="481" t="str">
        <v>Japan</v>
      </c>
      <c r="L441" s="481" t="str">
        <v>Belgium</v>
      </c>
      <c r="M441" s="481" t="str">
        <v>Uruguay</v>
      </c>
      <c r="N441" s="481" t="str">
        <v>France</v>
      </c>
      <c r="O441" s="481" t="str">
        <v>Argentina</v>
      </c>
      <c r="P441" s="481" t="str">
        <v>Portugal</v>
      </c>
      <c r="Q441" s="490" t="str">
        <v>England</v>
      </c>
    </row>
    <row r="442" spans="1:17" x14ac:dyDescent="0.2">
      <c r="A442" s="489">
        <v>439</v>
      </c>
      <c r="B442" s="481" t="str">
        <v>Belgium</v>
      </c>
      <c r="C442" s="481" t="str">
        <v>Netherlands</v>
      </c>
      <c r="D442" s="481" t="str">
        <v>Brazil</v>
      </c>
      <c r="E442" s="481" t="str">
        <v>Austria</v>
      </c>
      <c r="F442" s="481" t="str">
        <v>Mexico</v>
      </c>
      <c r="G442" s="481" t="str">
        <v>Canada</v>
      </c>
      <c r="H442" s="481" t="str">
        <v>Brazil</v>
      </c>
      <c r="I442" s="481" t="str">
        <v>USA</v>
      </c>
      <c r="J442" s="481" t="str">
        <v>Germany</v>
      </c>
      <c r="K442" s="481" t="str">
        <v>Netherlands</v>
      </c>
      <c r="L442" s="481" t="str">
        <v>Belgium</v>
      </c>
      <c r="M442" s="481" t="str">
        <v>Spain</v>
      </c>
      <c r="N442" s="481" t="str">
        <v>Senegal</v>
      </c>
      <c r="O442" s="481" t="str">
        <v>Algeria</v>
      </c>
      <c r="P442" s="481" t="str">
        <v>Colombia</v>
      </c>
      <c r="Q442" s="490" t="str">
        <v>England</v>
      </c>
    </row>
    <row r="443" spans="1:17" x14ac:dyDescent="0.2">
      <c r="A443" s="489">
        <v>440</v>
      </c>
      <c r="B443" s="481" t="str">
        <v>Spain</v>
      </c>
      <c r="C443" s="481" t="str">
        <v>Portugal</v>
      </c>
      <c r="D443" s="481" t="str">
        <v>Belgium</v>
      </c>
      <c r="E443" s="481" t="str">
        <v>Morocco</v>
      </c>
      <c r="F443" s="481" t="str">
        <v>Korea Republic</v>
      </c>
      <c r="G443" s="481" t="str">
        <v>Qatar</v>
      </c>
      <c r="H443" s="481" t="str">
        <v>Brazil</v>
      </c>
      <c r="I443" s="481" t="str">
        <v>Australia</v>
      </c>
      <c r="J443" s="481" t="str">
        <v>Germany</v>
      </c>
      <c r="K443" s="481" t="str">
        <v>Japan</v>
      </c>
      <c r="L443" s="481" t="str">
        <v>IR Iran</v>
      </c>
      <c r="M443" s="481" t="str">
        <v>Spain</v>
      </c>
      <c r="N443" s="481" t="str">
        <v>Norway</v>
      </c>
      <c r="O443" s="481" t="str">
        <v>Austria</v>
      </c>
      <c r="P443" s="481" t="str">
        <v>Portugal</v>
      </c>
      <c r="Q443" s="490" t="str">
        <v>Croatia</v>
      </c>
    </row>
    <row r="444" spans="1:17" x14ac:dyDescent="0.2">
      <c r="A444" s="489">
        <v>441</v>
      </c>
      <c r="B444" s="481" t="str">
        <v>Portugal</v>
      </c>
      <c r="C444" s="481" t="str">
        <v>Argentina</v>
      </c>
      <c r="D444" s="481" t="str">
        <v>Netherlands</v>
      </c>
      <c r="E444" s="481" t="str">
        <v>Croatia</v>
      </c>
      <c r="F444" s="481" t="str">
        <v>Mexico</v>
      </c>
      <c r="G444" s="481" t="str">
        <v>Switzerland</v>
      </c>
      <c r="H444" s="481" t="str">
        <v>Brazil</v>
      </c>
      <c r="I444" s="481" t="str">
        <v>Australia</v>
      </c>
      <c r="J444" s="481" t="str">
        <v>Germany</v>
      </c>
      <c r="K444" s="481" t="str">
        <v>Japan</v>
      </c>
      <c r="L444" s="481" t="str">
        <v>Egypt</v>
      </c>
      <c r="M444" s="481" t="str">
        <v>Spain</v>
      </c>
      <c r="N444" s="481" t="str">
        <v>France</v>
      </c>
      <c r="O444" s="481" t="str">
        <v>Algeria</v>
      </c>
      <c r="P444" s="481" t="str">
        <v>Portugal</v>
      </c>
      <c r="Q444" s="490" t="str">
        <v>Croatia</v>
      </c>
    </row>
    <row r="445" spans="1:17" x14ac:dyDescent="0.2">
      <c r="A445" s="489">
        <v>442</v>
      </c>
      <c r="B445" s="481" t="str">
        <v>Spain</v>
      </c>
      <c r="C445" s="481" t="str">
        <v>USA</v>
      </c>
      <c r="D445" s="481" t="str">
        <v>Spain</v>
      </c>
      <c r="E445" s="481" t="str">
        <v>Uruguay</v>
      </c>
      <c r="F445" s="481" t="str">
        <v>Mexico</v>
      </c>
      <c r="G445" s="481" t="str">
        <v>Switzerland</v>
      </c>
      <c r="H445" s="481" t="str">
        <v>Brazil</v>
      </c>
      <c r="I445" s="481" t="str">
        <v>USA</v>
      </c>
      <c r="J445" s="481" t="str">
        <v>Germany</v>
      </c>
      <c r="K445" s="481" t="str">
        <v>Sweden</v>
      </c>
      <c r="L445" s="481" t="str">
        <v>Belgium</v>
      </c>
      <c r="M445" s="481" t="str">
        <v>Spain</v>
      </c>
      <c r="N445" s="481" t="str">
        <v>France</v>
      </c>
      <c r="O445" s="481" t="str">
        <v>Algeria</v>
      </c>
      <c r="P445" s="481" t="str">
        <v>Portugal</v>
      </c>
      <c r="Q445" s="490" t="str">
        <v>Croatia</v>
      </c>
    </row>
    <row r="446" spans="1:17" x14ac:dyDescent="0.2">
      <c r="A446" s="489">
        <v>443</v>
      </c>
      <c r="B446" s="481" t="str">
        <v>Japan</v>
      </c>
      <c r="C446" s="481" t="str">
        <v>England</v>
      </c>
      <c r="D446" s="481" t="str">
        <v>Croatia</v>
      </c>
      <c r="E446" s="481" t="str">
        <v>Netherlands</v>
      </c>
      <c r="F446" s="481" t="str">
        <v>Korea Republic</v>
      </c>
      <c r="G446" s="481" t="str">
        <v>Canada</v>
      </c>
      <c r="H446" s="481" t="str">
        <v>Morocco</v>
      </c>
      <c r="I446" s="481" t="str">
        <v>USA</v>
      </c>
      <c r="J446" s="481" t="str">
        <v>Germany</v>
      </c>
      <c r="K446" s="481" t="str">
        <v>Netherlands</v>
      </c>
      <c r="L446" s="481" t="str">
        <v>Belgium</v>
      </c>
      <c r="M446" s="481" t="str">
        <v>Uruguay</v>
      </c>
      <c r="N446" s="481" t="str">
        <v>France</v>
      </c>
      <c r="O446" s="481" t="str">
        <v>Argentina</v>
      </c>
      <c r="P446" s="481" t="str">
        <v>Portugal</v>
      </c>
      <c r="Q446" s="490" t="str">
        <v>England</v>
      </c>
    </row>
    <row r="447" spans="1:17" x14ac:dyDescent="0.2">
      <c r="A447" s="489">
        <v>444</v>
      </c>
      <c r="B447" s="481" t="str">
        <v>Croatia</v>
      </c>
      <c r="C447" s="481" t="str">
        <v>France</v>
      </c>
      <c r="D447" s="481" t="str">
        <v>France</v>
      </c>
      <c r="E447" s="481" t="str">
        <v>France</v>
      </c>
      <c r="F447" s="481" t="str">
        <v>Korea Republic</v>
      </c>
      <c r="G447" s="481" t="str">
        <v>Switzerland</v>
      </c>
      <c r="H447" s="481" t="str">
        <v>Morocco</v>
      </c>
      <c r="I447" s="481" t="str">
        <v>Australia</v>
      </c>
      <c r="J447" s="481" t="str">
        <v>Germany</v>
      </c>
      <c r="K447" s="481" t="str">
        <v>Sweden</v>
      </c>
      <c r="L447" s="481" t="str">
        <v>Belgium</v>
      </c>
      <c r="M447" s="481" t="str">
        <v>Spain</v>
      </c>
      <c r="N447" s="481" t="str">
        <v>France</v>
      </c>
      <c r="O447" s="481" t="str">
        <v>Argentina</v>
      </c>
      <c r="P447" s="481" t="str">
        <v>Colombia</v>
      </c>
      <c r="Q447" s="490" t="str">
        <v>Croatia</v>
      </c>
    </row>
    <row r="448" spans="1:17" x14ac:dyDescent="0.2">
      <c r="A448" s="489">
        <v>445</v>
      </c>
      <c r="B448" s="481" t="str">
        <v>England</v>
      </c>
      <c r="C448" s="481" t="str">
        <v>France</v>
      </c>
      <c r="D448" s="481" t="str">
        <v>Senegal</v>
      </c>
      <c r="E448" s="481" t="str">
        <v>Netherlands</v>
      </c>
      <c r="F448" s="481" t="str">
        <v>Korea Republic</v>
      </c>
      <c r="G448" s="481" t="str">
        <v>Qatar</v>
      </c>
      <c r="H448" s="481" t="str">
        <v>Scotland</v>
      </c>
      <c r="I448" s="481" t="str">
        <v>USA</v>
      </c>
      <c r="J448" s="481" t="str">
        <v>Germany</v>
      </c>
      <c r="K448" s="481" t="str">
        <v>Japan</v>
      </c>
      <c r="L448" s="481" t="str">
        <v>Egypt</v>
      </c>
      <c r="M448" s="481" t="str">
        <v>Uruguay</v>
      </c>
      <c r="N448" s="481" t="str">
        <v>Norway</v>
      </c>
      <c r="O448" s="481" t="str">
        <v>Austria</v>
      </c>
      <c r="P448" s="481" t="str">
        <v>Colombia</v>
      </c>
      <c r="Q448" s="490" t="str">
        <v>England</v>
      </c>
    </row>
    <row r="449" spans="1:17" x14ac:dyDescent="0.2">
      <c r="A449" s="489">
        <v>446</v>
      </c>
      <c r="B449" s="481" t="str">
        <v>Spain</v>
      </c>
      <c r="C449" s="481" t="str">
        <v>Portugal</v>
      </c>
      <c r="D449" s="481" t="str">
        <v>Senegal</v>
      </c>
      <c r="E449" s="481" t="str">
        <v>Switzerland</v>
      </c>
      <c r="F449" s="481" t="str">
        <v>Mexico</v>
      </c>
      <c r="G449" s="481" t="str">
        <v>Canada</v>
      </c>
      <c r="H449" s="481" t="str">
        <v>Brazil</v>
      </c>
      <c r="I449" s="481" t="str">
        <v>Australia</v>
      </c>
      <c r="J449" s="481" t="str">
        <v>Germany</v>
      </c>
      <c r="K449" s="481" t="str">
        <v>Netherlands</v>
      </c>
      <c r="L449" s="481" t="str">
        <v>Egypt</v>
      </c>
      <c r="M449" s="481" t="str">
        <v>Uruguay</v>
      </c>
      <c r="N449" s="481" t="str">
        <v>France</v>
      </c>
      <c r="O449" s="481" t="str">
        <v>Argentina</v>
      </c>
      <c r="P449" s="481" t="str">
        <v>Colombia</v>
      </c>
      <c r="Q449" s="490" t="str">
        <v>England</v>
      </c>
    </row>
    <row r="450" spans="1:17" x14ac:dyDescent="0.2">
      <c r="A450" s="489">
        <v>447</v>
      </c>
      <c r="B450" s="481" t="str">
        <v>Spain</v>
      </c>
      <c r="C450" s="481" t="str">
        <v>Uruguay</v>
      </c>
      <c r="D450" s="481" t="str">
        <v>Brazil</v>
      </c>
      <c r="E450" s="481" t="str">
        <v>Austria</v>
      </c>
      <c r="F450" s="481" t="str">
        <v>Mexico</v>
      </c>
      <c r="G450" s="481" t="str">
        <v>Switzerland</v>
      </c>
      <c r="H450" s="481" t="str">
        <v>Morocco</v>
      </c>
      <c r="I450" s="481" t="str">
        <v>Australia</v>
      </c>
      <c r="J450" s="481" t="str">
        <v>Germany</v>
      </c>
      <c r="K450" s="481" t="str">
        <v>Netherlands</v>
      </c>
      <c r="L450" s="481" t="str">
        <v>Egypt</v>
      </c>
      <c r="M450" s="481" t="str">
        <v>Cabo Verde</v>
      </c>
      <c r="N450" s="481" t="str">
        <v>Iraq</v>
      </c>
      <c r="O450" s="481" t="str">
        <v>Argentina</v>
      </c>
      <c r="P450" s="481" t="str">
        <v>Colombia</v>
      </c>
      <c r="Q450" s="490" t="str">
        <v>Croatia</v>
      </c>
    </row>
    <row r="451" spans="1:17" x14ac:dyDescent="0.2">
      <c r="A451" s="489">
        <v>448</v>
      </c>
      <c r="B451" s="481" t="str">
        <v>Brazil</v>
      </c>
      <c r="C451" s="481" t="str">
        <v>Mexico</v>
      </c>
      <c r="D451" s="481" t="str">
        <v>Brazil</v>
      </c>
      <c r="E451" s="481" t="str">
        <v>Belgium</v>
      </c>
      <c r="F451" s="481" t="str">
        <v>Mexico</v>
      </c>
      <c r="G451" s="481" t="str">
        <v>Qatar</v>
      </c>
      <c r="H451" s="481" t="str">
        <v>Brazil</v>
      </c>
      <c r="I451" s="481" t="str">
        <v>USA</v>
      </c>
      <c r="J451" s="481" t="str">
        <v>Germany</v>
      </c>
      <c r="K451" s="481" t="str">
        <v>Netherlands</v>
      </c>
      <c r="L451" s="481" t="str">
        <v>Belgium</v>
      </c>
      <c r="M451" s="481" t="str">
        <v>Uruguay</v>
      </c>
      <c r="N451" s="481" t="str">
        <v>France</v>
      </c>
      <c r="O451" s="481" t="str">
        <v>Argentina</v>
      </c>
      <c r="P451" s="481" t="str">
        <v>Colombia</v>
      </c>
      <c r="Q451" s="490" t="str">
        <v>England</v>
      </c>
    </row>
    <row r="452" spans="1:17" x14ac:dyDescent="0.2">
      <c r="A452" s="489">
        <v>449</v>
      </c>
      <c r="B452" s="481" t="str">
        <v>Croatia</v>
      </c>
      <c r="C452" s="481" t="str">
        <v>Senegal</v>
      </c>
      <c r="D452" s="481" t="str">
        <v>Morocco</v>
      </c>
      <c r="E452" s="481" t="str">
        <v>Norway</v>
      </c>
      <c r="F452" s="481" t="str">
        <v>Mexico</v>
      </c>
      <c r="G452" s="481" t="str">
        <v>Canada</v>
      </c>
      <c r="H452" s="481" t="str">
        <v>Brazil</v>
      </c>
      <c r="I452" s="481" t="str">
        <v>USA</v>
      </c>
      <c r="J452" s="481" t="str">
        <v>Germany</v>
      </c>
      <c r="K452" s="481" t="str">
        <v>Sweden</v>
      </c>
      <c r="L452" s="481" t="str">
        <v>Egypt</v>
      </c>
      <c r="M452" s="481" t="str">
        <v>Spain</v>
      </c>
      <c r="N452" s="481" t="str">
        <v>France</v>
      </c>
      <c r="O452" s="481" t="str">
        <v>Argentina</v>
      </c>
      <c r="P452" s="481" t="str">
        <v>Colombia</v>
      </c>
      <c r="Q452" s="490" t="str">
        <v>Panama</v>
      </c>
    </row>
    <row r="453" spans="1:17" x14ac:dyDescent="0.2">
      <c r="A453" s="489">
        <v>450</v>
      </c>
      <c r="B453" s="481" t="str">
        <v>Portugal</v>
      </c>
      <c r="C453" s="481" t="str">
        <v>Switzerland</v>
      </c>
      <c r="D453" s="481" t="str">
        <v>Croatia</v>
      </c>
      <c r="E453" s="481" t="str">
        <v>Egypt</v>
      </c>
      <c r="F453" s="481" t="str">
        <v>Mexico</v>
      </c>
      <c r="G453" s="481" t="str">
        <v>Switzerland</v>
      </c>
      <c r="H453" s="481" t="str">
        <v>Morocco</v>
      </c>
      <c r="I453" s="481" t="str">
        <v>USA</v>
      </c>
      <c r="J453" s="481" t="str">
        <v>Germany</v>
      </c>
      <c r="K453" s="481" t="str">
        <v>Sweden</v>
      </c>
      <c r="L453" s="481" t="str">
        <v>Egypt</v>
      </c>
      <c r="M453" s="481" t="str">
        <v>Uruguay</v>
      </c>
      <c r="N453" s="481" t="str">
        <v>Norway</v>
      </c>
      <c r="O453" s="481" t="str">
        <v>Argentina</v>
      </c>
      <c r="P453" s="481" t="str">
        <v>Colombia</v>
      </c>
      <c r="Q453" s="490" t="str">
        <v>England</v>
      </c>
    </row>
    <row r="454" spans="1:17" x14ac:dyDescent="0.2">
      <c r="A454" s="489">
        <v>451</v>
      </c>
      <c r="B454" s="481" t="str">
        <v>Portugal</v>
      </c>
      <c r="C454" s="481" t="str">
        <v>Uruguay</v>
      </c>
      <c r="D454" s="481" t="str">
        <v>Portugal</v>
      </c>
      <c r="E454" s="481" t="str">
        <v>Uruguay</v>
      </c>
      <c r="F454" s="481" t="str">
        <v>Korea Republic</v>
      </c>
      <c r="G454" s="481" t="str">
        <v>Canada</v>
      </c>
      <c r="H454" s="481" t="str">
        <v>Brazil</v>
      </c>
      <c r="I454" s="481" t="str">
        <v>USA</v>
      </c>
      <c r="J454" s="481" t="str">
        <v>Germany</v>
      </c>
      <c r="K454" s="481" t="str">
        <v>Japan</v>
      </c>
      <c r="L454" s="481" t="str">
        <v>Belgium</v>
      </c>
      <c r="M454" s="481" t="str">
        <v>Spain</v>
      </c>
      <c r="N454" s="481" t="str">
        <v>France</v>
      </c>
      <c r="O454" s="481" t="str">
        <v>Argentina</v>
      </c>
      <c r="P454" s="481" t="str">
        <v>Colombia</v>
      </c>
      <c r="Q454" s="490" t="str">
        <v>England</v>
      </c>
    </row>
    <row r="455" spans="1:17" x14ac:dyDescent="0.2">
      <c r="A455" s="489">
        <v>452</v>
      </c>
      <c r="B455" s="481" t="str">
        <v>USA</v>
      </c>
      <c r="C455" s="481" t="str">
        <v>France</v>
      </c>
      <c r="D455" s="481" t="str">
        <v>England</v>
      </c>
      <c r="E455" s="481" t="str">
        <v>Argentina</v>
      </c>
      <c r="F455" s="481" t="str">
        <v>Mexico</v>
      </c>
      <c r="G455" s="481" t="str">
        <v>Qatar</v>
      </c>
      <c r="H455" s="481" t="str">
        <v>Brazil</v>
      </c>
      <c r="I455" s="481" t="str">
        <v>USA</v>
      </c>
      <c r="J455" s="481" t="str">
        <v>Germany</v>
      </c>
      <c r="K455" s="481" t="str">
        <v>Netherlands</v>
      </c>
      <c r="L455" s="481" t="str">
        <v>Belgium</v>
      </c>
      <c r="M455" s="481" t="str">
        <v>Uruguay</v>
      </c>
      <c r="N455" s="481" t="str">
        <v>France</v>
      </c>
      <c r="O455" s="481" t="str">
        <v>Argentina</v>
      </c>
      <c r="P455" s="481" t="str">
        <v>Portugal</v>
      </c>
      <c r="Q455" s="490" t="str">
        <v>England</v>
      </c>
    </row>
    <row r="456" spans="1:17" x14ac:dyDescent="0.2">
      <c r="A456" s="489">
        <v>453</v>
      </c>
      <c r="B456" s="481" t="str">
        <v>Colombia</v>
      </c>
      <c r="C456" s="481" t="str">
        <v>Brazil</v>
      </c>
      <c r="D456" s="481" t="str">
        <v>Argentina</v>
      </c>
      <c r="E456" s="481" t="str">
        <v>Turkiye</v>
      </c>
      <c r="F456" s="481" t="str">
        <v>Mexico</v>
      </c>
      <c r="G456" s="481" t="str">
        <v>Switzerland</v>
      </c>
      <c r="H456" s="481" t="str">
        <v>Morocco</v>
      </c>
      <c r="I456" s="481" t="str">
        <v>USA</v>
      </c>
      <c r="J456" s="481" t="str">
        <v>Germany</v>
      </c>
      <c r="K456" s="481" t="str">
        <v>Netherlands</v>
      </c>
      <c r="L456" s="481" t="str">
        <v>Belgium</v>
      </c>
      <c r="M456" s="481" t="str">
        <v>Spain</v>
      </c>
      <c r="N456" s="481" t="str">
        <v>France</v>
      </c>
      <c r="O456" s="481" t="str">
        <v>Algeria</v>
      </c>
      <c r="P456" s="481" t="str">
        <v>Colombia</v>
      </c>
      <c r="Q456" s="490" t="str">
        <v>Croatia</v>
      </c>
    </row>
    <row r="457" spans="1:17" x14ac:dyDescent="0.2">
      <c r="A457" s="489">
        <v>454</v>
      </c>
      <c r="B457" s="481" t="str">
        <v>Argentina</v>
      </c>
      <c r="C457" s="481" t="str">
        <v>USA</v>
      </c>
      <c r="D457" s="481" t="str">
        <v>England</v>
      </c>
      <c r="E457" s="481" t="str">
        <v>Argentina</v>
      </c>
      <c r="F457" s="481" t="str">
        <v>Mexico</v>
      </c>
      <c r="G457" s="481" t="str">
        <v>Canada</v>
      </c>
      <c r="H457" s="481" t="str">
        <v>Scotland</v>
      </c>
      <c r="I457" s="481" t="str">
        <v>USA</v>
      </c>
      <c r="J457" s="481" t="str">
        <v>Germany</v>
      </c>
      <c r="K457" s="481" t="str">
        <v>Sweden</v>
      </c>
      <c r="L457" s="481" t="str">
        <v>Belgium</v>
      </c>
      <c r="M457" s="481" t="str">
        <v>Uruguay</v>
      </c>
      <c r="N457" s="481" t="str">
        <v>France</v>
      </c>
      <c r="O457" s="481" t="str">
        <v>Algeria</v>
      </c>
      <c r="P457" s="481" t="str">
        <v>Colombia</v>
      </c>
      <c r="Q457" s="490" t="str">
        <v>England</v>
      </c>
    </row>
    <row r="458" spans="1:17" x14ac:dyDescent="0.2">
      <c r="A458" s="489">
        <v>455</v>
      </c>
      <c r="B458" s="481" t="str">
        <v>Brazil</v>
      </c>
      <c r="C458" s="481" t="str">
        <v>Korea Republic</v>
      </c>
      <c r="D458" s="481" t="str">
        <v>Portugal</v>
      </c>
      <c r="E458" s="481" t="str">
        <v>England</v>
      </c>
      <c r="F458" s="481" t="str">
        <v>Korea Republic</v>
      </c>
      <c r="G458" s="481" t="str">
        <v>Switzerland</v>
      </c>
      <c r="H458" s="481" t="str">
        <v>Brazil</v>
      </c>
      <c r="I458" s="481" t="str">
        <v>USA</v>
      </c>
      <c r="J458" s="481" t="str">
        <v>Germany</v>
      </c>
      <c r="K458" s="481" t="str">
        <v>Sweden</v>
      </c>
      <c r="L458" s="481" t="str">
        <v>Belgium</v>
      </c>
      <c r="M458" s="481" t="str">
        <v>Spain</v>
      </c>
      <c r="N458" s="481" t="str">
        <v>Senegal</v>
      </c>
      <c r="O458" s="481" t="str">
        <v>Austria</v>
      </c>
      <c r="P458" s="481" t="str">
        <v>Colombia</v>
      </c>
      <c r="Q458" s="490" t="str">
        <v>Croatia</v>
      </c>
    </row>
    <row r="459" spans="1:17" x14ac:dyDescent="0.2">
      <c r="A459" s="489">
        <v>456</v>
      </c>
      <c r="B459" s="481" t="str">
        <v>Netherlands</v>
      </c>
      <c r="C459" s="481" t="str">
        <v>Senegal</v>
      </c>
      <c r="D459" s="481" t="str">
        <v>Germany</v>
      </c>
      <c r="E459" s="481" t="str">
        <v>Colombia</v>
      </c>
      <c r="F459" s="481" t="str">
        <v>Mexico</v>
      </c>
      <c r="G459" s="481" t="str">
        <v>Switzerland</v>
      </c>
      <c r="H459" s="481" t="str">
        <v>Morocco</v>
      </c>
      <c r="I459" s="481" t="str">
        <v>Paraguay</v>
      </c>
      <c r="J459" s="481" t="str">
        <v>Germany</v>
      </c>
      <c r="K459" s="481" t="str">
        <v>Japan</v>
      </c>
      <c r="L459" s="481" t="str">
        <v>IR Iran</v>
      </c>
      <c r="M459" s="481" t="str">
        <v>Spain</v>
      </c>
      <c r="N459" s="481" t="str">
        <v>Norway</v>
      </c>
      <c r="O459" s="481" t="str">
        <v>Argentina</v>
      </c>
      <c r="P459" s="481" t="str">
        <v>Colombia</v>
      </c>
      <c r="Q459" s="490" t="str">
        <v>England</v>
      </c>
    </row>
    <row r="460" spans="1:17" x14ac:dyDescent="0.2">
      <c r="A460" s="489">
        <v>457</v>
      </c>
      <c r="B460" s="481" t="str">
        <v>Spain</v>
      </c>
      <c r="C460" s="481" t="str">
        <v>IR Iran</v>
      </c>
      <c r="D460" s="481" t="str">
        <v>Croatia</v>
      </c>
      <c r="E460" s="481" t="str">
        <v>Turkiye</v>
      </c>
      <c r="F460" s="481" t="str">
        <v>Korea Republic</v>
      </c>
      <c r="G460" s="481" t="str">
        <v>Switzerland</v>
      </c>
      <c r="H460" s="481" t="str">
        <v>Brazil</v>
      </c>
      <c r="I460" s="481" t="str">
        <v>Turkiye</v>
      </c>
      <c r="J460" s="481" t="str">
        <v>Germany</v>
      </c>
      <c r="K460" s="481" t="str">
        <v>Netherlands</v>
      </c>
      <c r="L460" s="481" t="str">
        <v>IR Iran</v>
      </c>
      <c r="M460" s="481" t="str">
        <v>Spain</v>
      </c>
      <c r="N460" s="481" t="str">
        <v>Iraq</v>
      </c>
      <c r="O460" s="481" t="str">
        <v>Algeria</v>
      </c>
      <c r="P460" s="481" t="str">
        <v>Portugal</v>
      </c>
      <c r="Q460" s="490" t="str">
        <v>England</v>
      </c>
    </row>
    <row r="461" spans="1:17" x14ac:dyDescent="0.2">
      <c r="A461" s="489">
        <v>458</v>
      </c>
      <c r="B461" s="481" t="str">
        <v>Turkiye</v>
      </c>
      <c r="C461" s="481" t="str">
        <v>Croatia</v>
      </c>
      <c r="D461" s="481" t="str">
        <v>France</v>
      </c>
      <c r="E461" s="481" t="str">
        <v>Colombia</v>
      </c>
      <c r="F461" s="481" t="str">
        <v>Korea Republic</v>
      </c>
      <c r="G461" s="481" t="str">
        <v>Qatar</v>
      </c>
      <c r="H461" s="481" t="str">
        <v>Brazil</v>
      </c>
      <c r="I461" s="481" t="str">
        <v>USA</v>
      </c>
      <c r="J461" s="481" t="str">
        <v>Germany</v>
      </c>
      <c r="K461" s="481" t="str">
        <v>Sweden</v>
      </c>
      <c r="L461" s="481" t="str">
        <v>Egypt</v>
      </c>
      <c r="M461" s="481" t="str">
        <v>Spain</v>
      </c>
      <c r="N461" s="481" t="str">
        <v>France</v>
      </c>
      <c r="O461" s="481" t="str">
        <v>Argentina</v>
      </c>
      <c r="P461" s="481" t="str">
        <v>Colombia</v>
      </c>
      <c r="Q461" s="490" t="str">
        <v>Croatia</v>
      </c>
    </row>
    <row r="462" spans="1:17" x14ac:dyDescent="0.2">
      <c r="A462" s="489">
        <v>459</v>
      </c>
      <c r="B462" s="481" t="str">
        <v>Argentina</v>
      </c>
      <c r="C462" s="481" t="str">
        <v>England</v>
      </c>
      <c r="D462" s="481" t="str">
        <v>Spain</v>
      </c>
      <c r="E462" s="481" t="str">
        <v>Germany</v>
      </c>
      <c r="F462" s="481" t="str">
        <v>Mexico</v>
      </c>
      <c r="G462" s="481" t="str">
        <v>Switzerland</v>
      </c>
      <c r="H462" s="481" t="str">
        <v>Brazil</v>
      </c>
      <c r="I462" s="481" t="str">
        <v>USA</v>
      </c>
      <c r="J462" s="481" t="str">
        <v>Germany</v>
      </c>
      <c r="K462" s="481" t="str">
        <v>Japan</v>
      </c>
      <c r="L462" s="481" t="str">
        <v>Belgium</v>
      </c>
      <c r="M462" s="481" t="str">
        <v>Spain</v>
      </c>
      <c r="N462" s="481" t="str">
        <v>France</v>
      </c>
      <c r="O462" s="481" t="str">
        <v>Argentina</v>
      </c>
      <c r="P462" s="481" t="str">
        <v>Portugal</v>
      </c>
      <c r="Q462" s="490" t="str">
        <v>Panama</v>
      </c>
    </row>
    <row r="463" spans="1:17" x14ac:dyDescent="0.2">
      <c r="A463" s="489">
        <v>460</v>
      </c>
      <c r="B463" s="481" t="str">
        <v>Argentina</v>
      </c>
      <c r="C463" s="481" t="str">
        <v>Portugal</v>
      </c>
      <c r="D463" s="481" t="str">
        <v>France</v>
      </c>
      <c r="E463" s="481" t="str">
        <v>Argentina</v>
      </c>
      <c r="F463" s="481" t="str">
        <v>Mexico</v>
      </c>
      <c r="G463" s="481" t="str">
        <v>Canada</v>
      </c>
      <c r="H463" s="481" t="str">
        <v>Brazil</v>
      </c>
      <c r="I463" s="481" t="str">
        <v>Australia</v>
      </c>
      <c r="J463" s="481" t="str">
        <v>Germany</v>
      </c>
      <c r="K463" s="481" t="str">
        <v>Netherlands</v>
      </c>
      <c r="L463" s="481" t="str">
        <v>Belgium</v>
      </c>
      <c r="M463" s="481" t="str">
        <v>Uruguay</v>
      </c>
      <c r="N463" s="481" t="str">
        <v>France</v>
      </c>
      <c r="O463" s="481" t="str">
        <v>Argentina</v>
      </c>
      <c r="P463" s="481" t="str">
        <v>Colombia</v>
      </c>
      <c r="Q463" s="490" t="str">
        <v>Croatia</v>
      </c>
    </row>
    <row r="464" spans="1:17" x14ac:dyDescent="0.2">
      <c r="A464" s="489">
        <v>461</v>
      </c>
      <c r="B464" s="481" t="str">
        <v>Spain</v>
      </c>
      <c r="C464" s="481" t="str">
        <v>Uruguay</v>
      </c>
      <c r="D464" s="481" t="str">
        <v>Sweden</v>
      </c>
      <c r="E464" s="481" t="str">
        <v>Australia</v>
      </c>
      <c r="F464" s="481" t="str">
        <v>Mexico</v>
      </c>
      <c r="G464" s="481" t="str">
        <v>Canada</v>
      </c>
      <c r="H464" s="481" t="str">
        <v>Morocco</v>
      </c>
      <c r="I464" s="481" t="str">
        <v>USA</v>
      </c>
      <c r="J464" s="481" t="str">
        <v>Germany</v>
      </c>
      <c r="K464" s="481" t="str">
        <v>Sweden</v>
      </c>
      <c r="L464" s="481" t="str">
        <v>Egypt</v>
      </c>
      <c r="M464" s="481" t="str">
        <v>Spain</v>
      </c>
      <c r="N464" s="481" t="str">
        <v>Norway</v>
      </c>
      <c r="O464" s="481" t="str">
        <v>Argentina</v>
      </c>
      <c r="P464" s="481" t="str">
        <v>Colombia</v>
      </c>
      <c r="Q464" s="490" t="str">
        <v>Croatia</v>
      </c>
    </row>
    <row r="465" spans="1:17" x14ac:dyDescent="0.2">
      <c r="A465" s="489">
        <v>462</v>
      </c>
      <c r="B465" s="481" t="str">
        <v>England</v>
      </c>
      <c r="C465" s="481" t="str">
        <v>Brazil</v>
      </c>
      <c r="D465" s="481" t="str">
        <v>Belgium</v>
      </c>
      <c r="E465" s="481" t="str">
        <v>Mexico</v>
      </c>
      <c r="F465" s="481" t="str">
        <v>Korea Republic</v>
      </c>
      <c r="G465" s="481" t="str">
        <v>Switzerland</v>
      </c>
      <c r="H465" s="481" t="str">
        <v>Morocco</v>
      </c>
      <c r="I465" s="481" t="str">
        <v>USA</v>
      </c>
      <c r="J465" s="481" t="str">
        <v>Germany</v>
      </c>
      <c r="K465" s="481" t="str">
        <v>Netherlands</v>
      </c>
      <c r="L465" s="481" t="str">
        <v>New Zealand</v>
      </c>
      <c r="M465" s="481" t="str">
        <v>Spain</v>
      </c>
      <c r="N465" s="481" t="str">
        <v>Senegal</v>
      </c>
      <c r="O465" s="481" t="str">
        <v>Algeria</v>
      </c>
      <c r="P465" s="481" t="str">
        <v>Portugal</v>
      </c>
      <c r="Q465" s="490" t="str">
        <v>England</v>
      </c>
    </row>
    <row r="466" spans="1:17" x14ac:dyDescent="0.2">
      <c r="A466" s="489">
        <v>463</v>
      </c>
      <c r="B466" s="481" t="str">
        <v>USA</v>
      </c>
      <c r="C466" s="481" t="str">
        <v>Egypt</v>
      </c>
      <c r="D466" s="481" t="str">
        <v>France</v>
      </c>
      <c r="E466" s="481" t="str">
        <v>Korea Republic</v>
      </c>
      <c r="F466" s="481" t="str">
        <v>Korea Republic</v>
      </c>
      <c r="G466" s="481" t="str">
        <v>Canada</v>
      </c>
      <c r="H466" s="481" t="str">
        <v>Brazil</v>
      </c>
      <c r="I466" s="481" t="str">
        <v>USA</v>
      </c>
      <c r="J466" s="481" t="str">
        <v>Germany</v>
      </c>
      <c r="K466" s="481" t="str">
        <v>Netherlands</v>
      </c>
      <c r="L466" s="481" t="str">
        <v>Egypt</v>
      </c>
      <c r="M466" s="481" t="str">
        <v>Spain</v>
      </c>
      <c r="N466" s="481" t="str">
        <v>France</v>
      </c>
      <c r="O466" s="481" t="str">
        <v>Austria</v>
      </c>
      <c r="P466" s="481" t="str">
        <v>Portugal</v>
      </c>
      <c r="Q466" s="490" t="str">
        <v>Panama</v>
      </c>
    </row>
    <row r="467" spans="1:17" x14ac:dyDescent="0.2">
      <c r="A467" s="489">
        <v>464</v>
      </c>
      <c r="B467" s="481" t="str">
        <v>Portugal</v>
      </c>
      <c r="C467" s="481" t="str">
        <v>Argentina</v>
      </c>
      <c r="D467" s="481" t="str">
        <v>Senegal</v>
      </c>
      <c r="E467" s="481" t="str">
        <v>Belgium</v>
      </c>
      <c r="F467" s="481" t="str">
        <v>Korea Republic</v>
      </c>
      <c r="G467" s="481" t="str">
        <v>Canada</v>
      </c>
      <c r="H467" s="481" t="str">
        <v>Brazil</v>
      </c>
      <c r="I467" s="481" t="str">
        <v>USA</v>
      </c>
      <c r="J467" s="481" t="str">
        <v>Germany</v>
      </c>
      <c r="K467" s="481" t="str">
        <v>Sweden</v>
      </c>
      <c r="L467" s="481" t="str">
        <v>Belgium</v>
      </c>
      <c r="M467" s="481" t="str">
        <v>Uruguay</v>
      </c>
      <c r="N467" s="481" t="str">
        <v>Senegal</v>
      </c>
      <c r="O467" s="481" t="str">
        <v>Argentina</v>
      </c>
      <c r="P467" s="481" t="str">
        <v>Colombia</v>
      </c>
      <c r="Q467" s="490" t="str">
        <v>England</v>
      </c>
    </row>
    <row r="468" spans="1:17" x14ac:dyDescent="0.2">
      <c r="A468" s="489">
        <v>465</v>
      </c>
      <c r="B468" s="481" t="str">
        <v>Argentina</v>
      </c>
      <c r="C468" s="481" t="str">
        <v>France</v>
      </c>
      <c r="D468" s="481" t="str">
        <v>France</v>
      </c>
      <c r="E468" s="481" t="str">
        <v>Colombia</v>
      </c>
      <c r="F468" s="481" t="str">
        <v>Mexico</v>
      </c>
      <c r="G468" s="481" t="str">
        <v>Bosnia-Herzegovina</v>
      </c>
      <c r="H468" s="481" t="str">
        <v>Morocco</v>
      </c>
      <c r="I468" s="481" t="str">
        <v>Turkiye</v>
      </c>
      <c r="J468" s="481" t="str">
        <v>Germany</v>
      </c>
      <c r="K468" s="481" t="str">
        <v>Netherlands</v>
      </c>
      <c r="L468" s="481" t="str">
        <v>Belgium</v>
      </c>
      <c r="M468" s="481" t="str">
        <v>Spain</v>
      </c>
      <c r="N468" s="481" t="str">
        <v>France</v>
      </c>
      <c r="O468" s="481" t="str">
        <v>Algeria</v>
      </c>
      <c r="P468" s="481" t="str">
        <v>Portugal</v>
      </c>
      <c r="Q468" s="490" t="str">
        <v>Croatia</v>
      </c>
    </row>
    <row r="469" spans="1:17" x14ac:dyDescent="0.2">
      <c r="A469" s="489">
        <v>466</v>
      </c>
      <c r="B469" s="481" t="str">
        <v>Colombia</v>
      </c>
      <c r="C469" s="481" t="str">
        <v>Austria</v>
      </c>
      <c r="D469" s="481" t="str">
        <v>Netherlands</v>
      </c>
      <c r="E469" s="481" t="str">
        <v>Netherlands</v>
      </c>
      <c r="F469" s="481" t="str">
        <v>Mexico</v>
      </c>
      <c r="G469" s="481" t="str">
        <v>Canada</v>
      </c>
      <c r="H469" s="481" t="str">
        <v>Morocco</v>
      </c>
      <c r="I469" s="481" t="str">
        <v>Australia</v>
      </c>
      <c r="J469" s="481" t="str">
        <v>Cote d'Ivorie</v>
      </c>
      <c r="K469" s="481" t="str">
        <v>Japan</v>
      </c>
      <c r="L469" s="481" t="str">
        <v>Belgium</v>
      </c>
      <c r="M469" s="481" t="str">
        <v>Spain</v>
      </c>
      <c r="N469" s="481" t="str">
        <v>Norway</v>
      </c>
      <c r="O469" s="481" t="str">
        <v>Jordan</v>
      </c>
      <c r="P469" s="481" t="str">
        <v>Portugal</v>
      </c>
      <c r="Q469" s="490" t="str">
        <v>England</v>
      </c>
    </row>
    <row r="470" spans="1:17" x14ac:dyDescent="0.2">
      <c r="A470" s="489">
        <v>467</v>
      </c>
      <c r="B470" s="481" t="str">
        <v>Portugal</v>
      </c>
      <c r="C470" s="481" t="str">
        <v>Norway</v>
      </c>
      <c r="D470" s="481" t="str">
        <v>Norway</v>
      </c>
      <c r="E470" s="481" t="str">
        <v>Colombia</v>
      </c>
      <c r="F470" s="481" t="str">
        <v>Korea Republic</v>
      </c>
      <c r="G470" s="481" t="str">
        <v>Switzerland</v>
      </c>
      <c r="H470" s="481" t="str">
        <v>Morocco</v>
      </c>
      <c r="I470" s="481" t="str">
        <v>Paraguay</v>
      </c>
      <c r="J470" s="481" t="str">
        <v>Germany</v>
      </c>
      <c r="K470" s="481" t="str">
        <v>Japan</v>
      </c>
      <c r="L470" s="481" t="str">
        <v>Belgium</v>
      </c>
      <c r="M470" s="481" t="str">
        <v>Spain</v>
      </c>
      <c r="N470" s="481" t="str">
        <v>Norway</v>
      </c>
      <c r="O470" s="481" t="str">
        <v>Algeria</v>
      </c>
      <c r="P470" s="481" t="str">
        <v>Colombia</v>
      </c>
      <c r="Q470" s="490" t="str">
        <v>Panama</v>
      </c>
    </row>
    <row r="471" spans="1:17" x14ac:dyDescent="0.2">
      <c r="A471" s="489">
        <v>468</v>
      </c>
      <c r="B471" s="481" t="str">
        <v>Belgium</v>
      </c>
      <c r="C471" s="481" t="str">
        <v>Croatia</v>
      </c>
      <c r="D471" s="481" t="str">
        <v>Croatia</v>
      </c>
      <c r="E471" s="481" t="str">
        <v>Austria</v>
      </c>
      <c r="F471" s="481" t="str">
        <v>Czechia</v>
      </c>
      <c r="G471" s="481" t="str">
        <v>Switzerland</v>
      </c>
      <c r="H471" s="481" t="str">
        <v>Brazil</v>
      </c>
      <c r="I471" s="481" t="str">
        <v>USA</v>
      </c>
      <c r="J471" s="481" t="str">
        <v>Germany</v>
      </c>
      <c r="K471" s="481" t="str">
        <v>Sweden</v>
      </c>
      <c r="L471" s="481" t="str">
        <v>IR Iran</v>
      </c>
      <c r="M471" s="481" t="str">
        <v>Uruguay</v>
      </c>
      <c r="N471" s="481" t="str">
        <v>France</v>
      </c>
      <c r="O471" s="481" t="str">
        <v>Argentina</v>
      </c>
      <c r="P471" s="481" t="str">
        <v>Portugal</v>
      </c>
      <c r="Q471" s="490" t="str">
        <v>England</v>
      </c>
    </row>
    <row r="472" spans="1:17" x14ac:dyDescent="0.2">
      <c r="A472" s="489">
        <v>469</v>
      </c>
      <c r="B472" s="481" t="str">
        <v>Portugal</v>
      </c>
      <c r="C472" s="481" t="str">
        <v>Canada</v>
      </c>
      <c r="D472" s="481" t="str">
        <v>Germany</v>
      </c>
      <c r="E472" s="481" t="str">
        <v>Portugal</v>
      </c>
      <c r="F472" s="481" t="str">
        <v>Czechia</v>
      </c>
      <c r="G472" s="481" t="str">
        <v>Switzerland</v>
      </c>
      <c r="H472" s="481" t="str">
        <v>Brazil</v>
      </c>
      <c r="I472" s="481" t="str">
        <v>Australia</v>
      </c>
      <c r="J472" s="481" t="str">
        <v>Germany</v>
      </c>
      <c r="K472" s="481" t="str">
        <v>Japan</v>
      </c>
      <c r="L472" s="481" t="str">
        <v>Belgium</v>
      </c>
      <c r="M472" s="481" t="str">
        <v>Spain</v>
      </c>
      <c r="N472" s="481" t="str">
        <v>France</v>
      </c>
      <c r="O472" s="481" t="str">
        <v>Algeria</v>
      </c>
      <c r="P472" s="481" t="str">
        <v>Congo DR</v>
      </c>
      <c r="Q472" s="490" t="str">
        <v>England</v>
      </c>
    </row>
    <row r="473" spans="1:17" x14ac:dyDescent="0.2">
      <c r="A473" s="489">
        <v>470</v>
      </c>
      <c r="B473" s="481" t="str">
        <v>Germany</v>
      </c>
      <c r="C473" s="481" t="str">
        <v>Croatia</v>
      </c>
      <c r="D473" s="481" t="str">
        <v>Morocco</v>
      </c>
      <c r="E473" s="481" t="str">
        <v>Uruguay</v>
      </c>
      <c r="F473" s="481" t="str">
        <v>Korea Republic</v>
      </c>
      <c r="G473" s="481" t="str">
        <v>Qatar</v>
      </c>
      <c r="H473" s="481" t="str">
        <v>Morocco</v>
      </c>
      <c r="I473" s="481" t="str">
        <v>USA</v>
      </c>
      <c r="J473" s="481" t="str">
        <v>Germany</v>
      </c>
      <c r="K473" s="481" t="str">
        <v>Netherlands</v>
      </c>
      <c r="L473" s="481" t="str">
        <v>IR Iran</v>
      </c>
      <c r="M473" s="481" t="str">
        <v>Spain</v>
      </c>
      <c r="N473" s="481" t="str">
        <v>France</v>
      </c>
      <c r="O473" s="481" t="str">
        <v>Argentina</v>
      </c>
      <c r="P473" s="481" t="str">
        <v>Portugal</v>
      </c>
      <c r="Q473" s="490" t="str">
        <v>Croatia</v>
      </c>
    </row>
    <row r="474" spans="1:17" x14ac:dyDescent="0.2">
      <c r="A474" s="489">
        <v>471</v>
      </c>
      <c r="B474" s="481" t="str">
        <v>England</v>
      </c>
      <c r="C474" s="481" t="str">
        <v>Mexico</v>
      </c>
      <c r="D474" s="481" t="str">
        <v>Morocco</v>
      </c>
      <c r="E474" s="481" t="str">
        <v>Spain</v>
      </c>
      <c r="F474" s="481" t="str">
        <v>Czechia</v>
      </c>
      <c r="G474" s="481" t="str">
        <v>Switzerland</v>
      </c>
      <c r="H474" s="481" t="str">
        <v>Brazil</v>
      </c>
      <c r="I474" s="481" t="str">
        <v>Australia</v>
      </c>
      <c r="J474" s="481" t="str">
        <v>Germany</v>
      </c>
      <c r="K474" s="481" t="str">
        <v>Netherlands</v>
      </c>
      <c r="L474" s="481" t="str">
        <v>Egypt</v>
      </c>
      <c r="M474" s="481" t="str">
        <v>Spain</v>
      </c>
      <c r="N474" s="481" t="str">
        <v>Norway</v>
      </c>
      <c r="O474" s="481" t="str">
        <v>Austria</v>
      </c>
      <c r="P474" s="481" t="str">
        <v>Colombia</v>
      </c>
      <c r="Q474" s="490" t="str">
        <v>England</v>
      </c>
    </row>
    <row r="475" spans="1:17" x14ac:dyDescent="0.2">
      <c r="A475" s="489">
        <v>472</v>
      </c>
      <c r="B475" s="481" t="str">
        <v>Brazil</v>
      </c>
      <c r="C475" s="481" t="str">
        <v>Spain</v>
      </c>
      <c r="D475" s="481" t="str">
        <v>Japan</v>
      </c>
      <c r="E475" s="481" t="str">
        <v>Austria</v>
      </c>
      <c r="F475" s="481" t="str">
        <v>Korea Republic</v>
      </c>
      <c r="G475" s="481" t="str">
        <v>Switzerland</v>
      </c>
      <c r="H475" s="481" t="str">
        <v>Morocco</v>
      </c>
      <c r="I475" s="481" t="str">
        <v>USA</v>
      </c>
      <c r="J475" s="481" t="str">
        <v>Germany</v>
      </c>
      <c r="K475" s="481" t="str">
        <v>Netherlands</v>
      </c>
      <c r="L475" s="481" t="str">
        <v>Egypt</v>
      </c>
      <c r="M475" s="481" t="str">
        <v>Uruguay</v>
      </c>
      <c r="N475" s="481" t="str">
        <v>Norway</v>
      </c>
      <c r="O475" s="481" t="str">
        <v>Austria</v>
      </c>
      <c r="P475" s="481" t="str">
        <v>Colombia</v>
      </c>
      <c r="Q475" s="490" t="str">
        <v>Panama</v>
      </c>
    </row>
    <row r="476" spans="1:17" x14ac:dyDescent="0.2">
      <c r="A476" s="489">
        <v>473</v>
      </c>
      <c r="B476" s="481" t="str">
        <v>England</v>
      </c>
      <c r="C476" s="481" t="str">
        <v>Australia</v>
      </c>
      <c r="D476" s="481" t="str">
        <v>England</v>
      </c>
      <c r="E476" s="481" t="str">
        <v>Belgium</v>
      </c>
      <c r="F476" s="481" t="str">
        <v>Mexico</v>
      </c>
      <c r="G476" s="481" t="str">
        <v>Canada</v>
      </c>
      <c r="H476" s="481" t="str">
        <v>Morocco</v>
      </c>
      <c r="I476" s="481" t="str">
        <v>Turkiye</v>
      </c>
      <c r="J476" s="481" t="str">
        <v>Germany</v>
      </c>
      <c r="K476" s="481" t="str">
        <v>Japan</v>
      </c>
      <c r="L476" s="481" t="str">
        <v>Egypt</v>
      </c>
      <c r="M476" s="481" t="str">
        <v>Saudi Arabia</v>
      </c>
      <c r="N476" s="481" t="str">
        <v>France</v>
      </c>
      <c r="O476" s="481" t="str">
        <v>Argentina</v>
      </c>
      <c r="P476" s="481" t="str">
        <v>Colombia</v>
      </c>
      <c r="Q476" s="490" t="str">
        <v>Croatia</v>
      </c>
    </row>
    <row r="477" spans="1:17" x14ac:dyDescent="0.2">
      <c r="A477" s="489">
        <v>474</v>
      </c>
      <c r="B477" s="481" t="str">
        <v>France</v>
      </c>
      <c r="C477" s="481" t="str">
        <v>Belgium</v>
      </c>
      <c r="D477" s="481" t="str">
        <v>Colombia</v>
      </c>
      <c r="E477" s="481" t="str">
        <v>Germany</v>
      </c>
      <c r="F477" s="481" t="str">
        <v>Mexico</v>
      </c>
      <c r="G477" s="481" t="str">
        <v>Switzerland</v>
      </c>
      <c r="H477" s="481" t="str">
        <v>Brazil</v>
      </c>
      <c r="I477" s="481" t="str">
        <v>USA</v>
      </c>
      <c r="J477" s="481" t="str">
        <v>Ecuador</v>
      </c>
      <c r="K477" s="481" t="str">
        <v>Netherlands</v>
      </c>
      <c r="L477" s="481" t="str">
        <v>IR Iran</v>
      </c>
      <c r="M477" s="481" t="str">
        <v>Spain</v>
      </c>
      <c r="N477" s="481" t="str">
        <v>France</v>
      </c>
      <c r="O477" s="481" t="str">
        <v>Algeria</v>
      </c>
      <c r="P477" s="481" t="str">
        <v>Uzbekistan</v>
      </c>
      <c r="Q477" s="490" t="str">
        <v>England</v>
      </c>
    </row>
    <row r="478" spans="1:17" x14ac:dyDescent="0.2">
      <c r="A478" s="489">
        <v>475</v>
      </c>
      <c r="B478" s="481" t="str">
        <v>France</v>
      </c>
      <c r="C478" s="481" t="str">
        <v>Morocco</v>
      </c>
      <c r="D478" s="481" t="str">
        <v>France</v>
      </c>
      <c r="E478" s="481" t="str">
        <v>England</v>
      </c>
      <c r="F478" s="481" t="str">
        <v>Mexico</v>
      </c>
      <c r="G478" s="481" t="str">
        <v>Bosnia-Herzegovina</v>
      </c>
      <c r="H478" s="481" t="str">
        <v>Brazil</v>
      </c>
      <c r="I478" s="481" t="str">
        <v>USA</v>
      </c>
      <c r="J478" s="481" t="str">
        <v>Germany</v>
      </c>
      <c r="K478" s="481" t="str">
        <v>Netherlands</v>
      </c>
      <c r="L478" s="481" t="str">
        <v>Belgium</v>
      </c>
      <c r="M478" s="481" t="str">
        <v>Spain</v>
      </c>
      <c r="N478" s="481" t="str">
        <v>France</v>
      </c>
      <c r="O478" s="481" t="str">
        <v>Argentina</v>
      </c>
      <c r="P478" s="481" t="str">
        <v>Colombia</v>
      </c>
      <c r="Q478" s="490" t="str">
        <v>England</v>
      </c>
    </row>
    <row r="479" spans="1:17" x14ac:dyDescent="0.2">
      <c r="A479" s="489">
        <v>476</v>
      </c>
      <c r="B479" s="481" t="str">
        <v>England</v>
      </c>
      <c r="C479" s="481" t="str">
        <v>Mexico</v>
      </c>
      <c r="D479" s="481" t="str">
        <v>Portugal</v>
      </c>
      <c r="E479" s="481" t="str">
        <v>Argentina</v>
      </c>
      <c r="F479" s="481" t="str">
        <v>Mexico</v>
      </c>
      <c r="G479" s="481" t="str">
        <v>Switzerland</v>
      </c>
      <c r="H479" s="481" t="str">
        <v>Brazil</v>
      </c>
      <c r="I479" s="481" t="str">
        <v>USA</v>
      </c>
      <c r="J479" s="481" t="str">
        <v>Germany</v>
      </c>
      <c r="K479" s="481" t="str">
        <v>Japan</v>
      </c>
      <c r="L479" s="481" t="str">
        <v>Belgium</v>
      </c>
      <c r="M479" s="481" t="str">
        <v>Cabo Verde</v>
      </c>
      <c r="N479" s="481" t="str">
        <v>France</v>
      </c>
      <c r="O479" s="481" t="str">
        <v>Austria</v>
      </c>
      <c r="P479" s="481" t="str">
        <v>Portugal</v>
      </c>
      <c r="Q479" s="490" t="str">
        <v>Croatia</v>
      </c>
    </row>
    <row r="480" spans="1:17" x14ac:dyDescent="0.2">
      <c r="A480" s="489">
        <v>477</v>
      </c>
      <c r="B480" s="481" t="str">
        <v>Spain</v>
      </c>
      <c r="C480" s="481" t="str">
        <v>Portugal</v>
      </c>
      <c r="D480" s="481" t="str">
        <v>Australia</v>
      </c>
      <c r="E480" s="481" t="str">
        <v>Belgium</v>
      </c>
      <c r="F480" s="481" t="str">
        <v>Mexico</v>
      </c>
      <c r="G480" s="481" t="str">
        <v>Qatar</v>
      </c>
      <c r="H480" s="481" t="str">
        <v>Brazil</v>
      </c>
      <c r="I480" s="481" t="str">
        <v>Australia</v>
      </c>
      <c r="J480" s="481" t="str">
        <v>Germany</v>
      </c>
      <c r="K480" s="481" t="str">
        <v>Netherlands</v>
      </c>
      <c r="L480" s="481" t="str">
        <v>Belgium</v>
      </c>
      <c r="M480" s="481" t="str">
        <v>Saudi Arabia</v>
      </c>
      <c r="N480" s="481" t="str">
        <v>France</v>
      </c>
      <c r="O480" s="481" t="str">
        <v>Argentina</v>
      </c>
      <c r="P480" s="481" t="str">
        <v>Portugal</v>
      </c>
      <c r="Q480" s="490" t="str">
        <v>England</v>
      </c>
    </row>
    <row r="481" spans="1:17" x14ac:dyDescent="0.2">
      <c r="A481" s="489">
        <v>478</v>
      </c>
      <c r="B481" s="481" t="str">
        <v>Colombia</v>
      </c>
      <c r="C481" s="481" t="str">
        <v>Argentina</v>
      </c>
      <c r="D481" s="481" t="str">
        <v>Spain</v>
      </c>
      <c r="E481" s="481" t="str">
        <v>Austria</v>
      </c>
      <c r="F481" s="481" t="str">
        <v>Mexico</v>
      </c>
      <c r="G481" s="481" t="str">
        <v>Canada</v>
      </c>
      <c r="H481" s="481" t="str">
        <v>Morocco</v>
      </c>
      <c r="I481" s="481" t="str">
        <v>Australia</v>
      </c>
      <c r="J481" s="481" t="str">
        <v>Germany</v>
      </c>
      <c r="K481" s="481" t="str">
        <v>Netherlands</v>
      </c>
      <c r="L481" s="481" t="str">
        <v>Egypt</v>
      </c>
      <c r="M481" s="481" t="str">
        <v>Cabo Verde</v>
      </c>
      <c r="N481" s="481" t="str">
        <v>France</v>
      </c>
      <c r="O481" s="481" t="str">
        <v>Algeria</v>
      </c>
      <c r="P481" s="481" t="str">
        <v>Portugal</v>
      </c>
      <c r="Q481" s="490" t="str">
        <v>Croatia</v>
      </c>
    </row>
    <row r="482" spans="1:17" x14ac:dyDescent="0.2">
      <c r="A482" s="489">
        <v>479</v>
      </c>
      <c r="B482" s="481" t="str">
        <v>Netherlands</v>
      </c>
      <c r="C482" s="481" t="str">
        <v>Spain</v>
      </c>
      <c r="D482" s="481" t="str">
        <v>Brazil</v>
      </c>
      <c r="E482" s="481" t="str">
        <v>Australia</v>
      </c>
      <c r="F482" s="481" t="str">
        <v>Korea Republic</v>
      </c>
      <c r="G482" s="481" t="str">
        <v>Bosnia-Herzegovina</v>
      </c>
      <c r="H482" s="481" t="str">
        <v>Brazil</v>
      </c>
      <c r="I482" s="481" t="str">
        <v>USA</v>
      </c>
      <c r="J482" s="481" t="str">
        <v>Germany</v>
      </c>
      <c r="K482" s="481" t="str">
        <v>Japan</v>
      </c>
      <c r="L482" s="481" t="str">
        <v>Belgium</v>
      </c>
      <c r="M482" s="481" t="str">
        <v>Spain</v>
      </c>
      <c r="N482" s="481" t="str">
        <v>Norway</v>
      </c>
      <c r="O482" s="481" t="str">
        <v>Algeria</v>
      </c>
      <c r="P482" s="481" t="str">
        <v>Portugal</v>
      </c>
      <c r="Q482" s="490" t="str">
        <v>Panama</v>
      </c>
    </row>
    <row r="483" spans="1:17" x14ac:dyDescent="0.2">
      <c r="A483" s="489">
        <v>480</v>
      </c>
      <c r="B483" s="481" t="str">
        <v>England</v>
      </c>
      <c r="C483" s="481" t="str">
        <v>Portugal</v>
      </c>
      <c r="D483" s="481" t="str">
        <v>Belgium</v>
      </c>
      <c r="E483" s="481" t="str">
        <v>Uruguay</v>
      </c>
      <c r="F483" s="481" t="str">
        <v>Mexico</v>
      </c>
      <c r="G483" s="481" t="str">
        <v>Canada</v>
      </c>
      <c r="H483" s="481" t="str">
        <v>Brazil</v>
      </c>
      <c r="I483" s="481" t="str">
        <v>USA</v>
      </c>
      <c r="J483" s="481" t="str">
        <v>Cote d'Ivorie</v>
      </c>
      <c r="K483" s="481" t="str">
        <v>Japan</v>
      </c>
      <c r="L483" s="481" t="str">
        <v>Belgium</v>
      </c>
      <c r="M483" s="481" t="str">
        <v>Spain</v>
      </c>
      <c r="N483" s="481" t="str">
        <v>France</v>
      </c>
      <c r="O483" s="481" t="str">
        <v>Argentina</v>
      </c>
      <c r="P483" s="481" t="str">
        <v>Portugal</v>
      </c>
      <c r="Q483" s="490" t="str">
        <v>England</v>
      </c>
    </row>
    <row r="484" spans="1:17" x14ac:dyDescent="0.2">
      <c r="A484" s="489">
        <v>481</v>
      </c>
      <c r="B484" s="481" t="str">
        <v>Netherlands</v>
      </c>
      <c r="C484" s="481" t="str">
        <v>Japan</v>
      </c>
      <c r="D484" s="481" t="str">
        <v>France</v>
      </c>
      <c r="E484" s="481" t="str">
        <v>Netherlands</v>
      </c>
      <c r="F484" s="481" t="str">
        <v>South Africa</v>
      </c>
      <c r="G484" s="481" t="str">
        <v>Switzerland</v>
      </c>
      <c r="H484" s="481" t="str">
        <v>Morocco</v>
      </c>
      <c r="I484" s="481" t="str">
        <v>Australia</v>
      </c>
      <c r="J484" s="481" t="str">
        <v>Ecuador</v>
      </c>
      <c r="K484" s="481" t="str">
        <v>Netherlands</v>
      </c>
      <c r="L484" s="481" t="str">
        <v>IR Iran</v>
      </c>
      <c r="M484" s="481" t="str">
        <v>Uruguay</v>
      </c>
      <c r="N484" s="481" t="str">
        <v>France</v>
      </c>
      <c r="O484" s="481" t="str">
        <v>Algeria</v>
      </c>
      <c r="P484" s="481" t="str">
        <v>Portugal</v>
      </c>
      <c r="Q484" s="490" t="str">
        <v>England</v>
      </c>
    </row>
    <row r="485" spans="1:17" x14ac:dyDescent="0.2">
      <c r="A485" s="489">
        <v>482</v>
      </c>
      <c r="B485" s="481" t="str">
        <v>France</v>
      </c>
      <c r="C485" s="481" t="str">
        <v>Netherlands</v>
      </c>
      <c r="D485" s="481" t="str">
        <v>Switzerland</v>
      </c>
      <c r="E485" s="481" t="str">
        <v>England</v>
      </c>
      <c r="F485" s="481" t="str">
        <v>Mexico</v>
      </c>
      <c r="G485" s="481" t="str">
        <v>Switzerland</v>
      </c>
      <c r="H485" s="481" t="str">
        <v>Brazil</v>
      </c>
      <c r="I485" s="481" t="str">
        <v>Turkiye</v>
      </c>
      <c r="J485" s="481" t="str">
        <v>Germany</v>
      </c>
      <c r="K485" s="481" t="str">
        <v>Japan</v>
      </c>
      <c r="L485" s="481" t="str">
        <v>Egypt</v>
      </c>
      <c r="M485" s="481" t="str">
        <v>Spain</v>
      </c>
      <c r="N485" s="481" t="str">
        <v>France</v>
      </c>
      <c r="O485" s="481" t="str">
        <v>Argentina</v>
      </c>
      <c r="P485" s="481" t="str">
        <v>Colombia</v>
      </c>
      <c r="Q485" s="490" t="str">
        <v>England</v>
      </c>
    </row>
    <row r="486" spans="1:17" x14ac:dyDescent="0.2">
      <c r="A486" s="489">
        <v>483</v>
      </c>
      <c r="B486" s="481" t="str">
        <v>Argentina</v>
      </c>
      <c r="C486" s="481" t="str">
        <v>Portugal</v>
      </c>
      <c r="D486" s="481" t="str">
        <v>Spain</v>
      </c>
      <c r="E486" s="481" t="str">
        <v>Egypt</v>
      </c>
      <c r="F486" s="481" t="str">
        <v>Mexico</v>
      </c>
      <c r="G486" s="481" t="str">
        <v>Qatar</v>
      </c>
      <c r="H486" s="481" t="str">
        <v>Morocco</v>
      </c>
      <c r="I486" s="481" t="str">
        <v>Australia</v>
      </c>
      <c r="J486" s="481" t="str">
        <v>Germany</v>
      </c>
      <c r="K486" s="481" t="str">
        <v>Japan</v>
      </c>
      <c r="L486" s="481" t="str">
        <v>IR Iran</v>
      </c>
      <c r="M486" s="481" t="str">
        <v>Uruguay</v>
      </c>
      <c r="N486" s="481" t="str">
        <v>France</v>
      </c>
      <c r="O486" s="481" t="str">
        <v>Argentina</v>
      </c>
      <c r="P486" s="481" t="str">
        <v>Portugal</v>
      </c>
      <c r="Q486" s="490" t="str">
        <v>England</v>
      </c>
    </row>
    <row r="487" spans="1:17" x14ac:dyDescent="0.2">
      <c r="A487" s="489">
        <v>484</v>
      </c>
      <c r="B487" s="481" t="str">
        <v>Portugal</v>
      </c>
      <c r="C487" s="481" t="str">
        <v>Switzerland</v>
      </c>
      <c r="D487" s="481" t="str">
        <v>Argentina</v>
      </c>
      <c r="E487" s="481" t="str">
        <v>Netherlands</v>
      </c>
      <c r="F487" s="481" t="str">
        <v>Mexico</v>
      </c>
      <c r="G487" s="481" t="str">
        <v>Qatar</v>
      </c>
      <c r="H487" s="481" t="str">
        <v>Morocco</v>
      </c>
      <c r="I487" s="481" t="str">
        <v>USA</v>
      </c>
      <c r="J487" s="481" t="str">
        <v>Cote d'Ivorie</v>
      </c>
      <c r="K487" s="481" t="str">
        <v>Japan</v>
      </c>
      <c r="L487" s="481" t="str">
        <v>IR Iran</v>
      </c>
      <c r="M487" s="481" t="str">
        <v>Spain</v>
      </c>
      <c r="N487" s="481" t="str">
        <v>France</v>
      </c>
      <c r="O487" s="481" t="str">
        <v>Jordan</v>
      </c>
      <c r="P487" s="481" t="str">
        <v>Portugal</v>
      </c>
      <c r="Q487" s="490" t="str">
        <v>England</v>
      </c>
    </row>
    <row r="488" spans="1:17" x14ac:dyDescent="0.2">
      <c r="A488" s="489">
        <v>485</v>
      </c>
      <c r="B488" s="481" t="str">
        <v>France</v>
      </c>
      <c r="C488" s="481" t="str">
        <v>Germany</v>
      </c>
      <c r="D488" s="481" t="str">
        <v>Portugal</v>
      </c>
      <c r="E488" s="481" t="str">
        <v>Mexico</v>
      </c>
      <c r="F488" s="481" t="str">
        <v>Korea Republic</v>
      </c>
      <c r="G488" s="481" t="str">
        <v>Qatar</v>
      </c>
      <c r="H488" s="481" t="str">
        <v>Brazil</v>
      </c>
      <c r="I488" s="481" t="str">
        <v>USA</v>
      </c>
      <c r="J488" s="481" t="str">
        <v>Germany</v>
      </c>
      <c r="K488" s="481" t="str">
        <v>Netherlands</v>
      </c>
      <c r="L488" s="481" t="str">
        <v>Belgium</v>
      </c>
      <c r="M488" s="481" t="str">
        <v>Spain</v>
      </c>
      <c r="N488" s="481" t="str">
        <v>Senegal</v>
      </c>
      <c r="O488" s="481" t="str">
        <v>Austria</v>
      </c>
      <c r="P488" s="481" t="str">
        <v>Colombia</v>
      </c>
      <c r="Q488" s="490" t="str">
        <v>Croatia</v>
      </c>
    </row>
    <row r="489" spans="1:17" x14ac:dyDescent="0.2">
      <c r="A489" s="489">
        <v>486</v>
      </c>
      <c r="B489" s="481" t="str">
        <v>Netherlands</v>
      </c>
      <c r="C489" s="481" t="str">
        <v>Argentina</v>
      </c>
      <c r="D489" s="481" t="str">
        <v>Belgium</v>
      </c>
      <c r="E489" s="481" t="str">
        <v>Uruguay</v>
      </c>
      <c r="F489" s="481" t="str">
        <v>Korea Republic</v>
      </c>
      <c r="G489" s="481" t="str">
        <v>Switzerland</v>
      </c>
      <c r="H489" s="481" t="str">
        <v>Morocco</v>
      </c>
      <c r="I489" s="481" t="str">
        <v>USA</v>
      </c>
      <c r="J489" s="481" t="str">
        <v>Ecuador</v>
      </c>
      <c r="K489" s="481" t="str">
        <v>Netherlands</v>
      </c>
      <c r="L489" s="481" t="str">
        <v>Belgium</v>
      </c>
      <c r="M489" s="481" t="str">
        <v>Spain</v>
      </c>
      <c r="N489" s="481" t="str">
        <v>Norway</v>
      </c>
      <c r="O489" s="481" t="str">
        <v>Argentina</v>
      </c>
      <c r="P489" s="481" t="str">
        <v>Colombia</v>
      </c>
      <c r="Q489" s="490" t="str">
        <v>England</v>
      </c>
    </row>
    <row r="490" spans="1:17" x14ac:dyDescent="0.2">
      <c r="A490" s="489">
        <v>487</v>
      </c>
      <c r="B490" s="481" t="str">
        <v>Germany</v>
      </c>
      <c r="C490" s="481" t="str">
        <v>England</v>
      </c>
      <c r="D490" s="481" t="str">
        <v>Germany</v>
      </c>
      <c r="E490" s="481" t="str">
        <v>Spain</v>
      </c>
      <c r="F490" s="481" t="str">
        <v>Mexico</v>
      </c>
      <c r="G490" s="481" t="str">
        <v>Canada</v>
      </c>
      <c r="H490" s="481" t="str">
        <v>Morocco</v>
      </c>
      <c r="I490" s="481" t="str">
        <v>USA</v>
      </c>
      <c r="J490" s="481" t="str">
        <v>Germany</v>
      </c>
      <c r="K490" s="481" t="str">
        <v>Sweden</v>
      </c>
      <c r="L490" s="481" t="str">
        <v>Belgium</v>
      </c>
      <c r="M490" s="481" t="str">
        <v>Spain</v>
      </c>
      <c r="N490" s="481" t="str">
        <v>France</v>
      </c>
      <c r="O490" s="481" t="str">
        <v>Argentina</v>
      </c>
      <c r="P490" s="481" t="str">
        <v>Colombia</v>
      </c>
      <c r="Q490" s="490" t="str">
        <v>England</v>
      </c>
    </row>
    <row r="491" spans="1:17" x14ac:dyDescent="0.2">
      <c r="A491" s="489">
        <v>488</v>
      </c>
      <c r="B491" s="481" t="str">
        <v>England</v>
      </c>
      <c r="C491" s="481" t="str">
        <v>Mexico</v>
      </c>
      <c r="D491" s="481" t="str">
        <v>Spain</v>
      </c>
      <c r="E491" s="481" t="str">
        <v>Germany</v>
      </c>
      <c r="F491" s="481" t="str">
        <v>Mexico</v>
      </c>
      <c r="G491" s="481" t="str">
        <v>Canada</v>
      </c>
      <c r="H491" s="481" t="str">
        <v>Brazil</v>
      </c>
      <c r="I491" s="481" t="str">
        <v>USA</v>
      </c>
      <c r="J491" s="481" t="str">
        <v>Germany</v>
      </c>
      <c r="K491" s="481" t="str">
        <v>Netherlands</v>
      </c>
      <c r="L491" s="481" t="str">
        <v>IR Iran</v>
      </c>
      <c r="M491" s="481" t="str">
        <v>Spain</v>
      </c>
      <c r="N491" s="481" t="str">
        <v>France</v>
      </c>
      <c r="O491" s="481" t="str">
        <v>Argentina</v>
      </c>
      <c r="P491" s="481" t="str">
        <v>Colombia</v>
      </c>
      <c r="Q491" s="490" t="str">
        <v>England</v>
      </c>
    </row>
    <row r="492" spans="1:17" x14ac:dyDescent="0.2">
      <c r="A492" s="489">
        <v>489</v>
      </c>
      <c r="B492" s="481" t="str">
        <v>Spain</v>
      </c>
      <c r="C492" s="481" t="str">
        <v>Senegal</v>
      </c>
      <c r="D492" s="481" t="str">
        <v>Egypt</v>
      </c>
      <c r="E492" s="481" t="str">
        <v>Egypt</v>
      </c>
      <c r="F492" s="481" t="str">
        <v>Mexico</v>
      </c>
      <c r="G492" s="481" t="str">
        <v>Switzerland</v>
      </c>
      <c r="H492" s="481" t="str">
        <v>Morocco</v>
      </c>
      <c r="I492" s="481" t="str">
        <v>Turkiye</v>
      </c>
      <c r="J492" s="481" t="str">
        <v>Cote d'Ivorie</v>
      </c>
      <c r="K492" s="481" t="str">
        <v>Japan</v>
      </c>
      <c r="L492" s="481" t="str">
        <v>Belgium</v>
      </c>
      <c r="M492" s="481" t="str">
        <v>Spain</v>
      </c>
      <c r="N492" s="481" t="str">
        <v>Iraq</v>
      </c>
      <c r="O492" s="481" t="str">
        <v>Argentina</v>
      </c>
      <c r="P492" s="481" t="str">
        <v>Colombia</v>
      </c>
      <c r="Q492" s="490" t="str">
        <v>England</v>
      </c>
    </row>
    <row r="493" spans="1:17" x14ac:dyDescent="0.2">
      <c r="A493" s="489">
        <v>490</v>
      </c>
      <c r="B493" s="481" t="str">
        <v>Spain</v>
      </c>
      <c r="C493" s="481" t="str">
        <v>Spain</v>
      </c>
      <c r="D493" s="481" t="str">
        <v>Argentina</v>
      </c>
      <c r="E493" s="481" t="str">
        <v>Australia</v>
      </c>
      <c r="F493" s="481" t="str">
        <v>Mexico</v>
      </c>
      <c r="G493" s="481" t="str">
        <v>Switzerland</v>
      </c>
      <c r="H493" s="481" t="str">
        <v>Brazil</v>
      </c>
      <c r="I493" s="481" t="str">
        <v>Turkiye</v>
      </c>
      <c r="J493" s="481" t="str">
        <v>Germany</v>
      </c>
      <c r="K493" s="481" t="str">
        <v>Netherlands</v>
      </c>
      <c r="L493" s="481" t="str">
        <v>Belgium</v>
      </c>
      <c r="M493" s="481" t="str">
        <v>Spain</v>
      </c>
      <c r="N493" s="481" t="str">
        <v>France</v>
      </c>
      <c r="O493" s="481" t="str">
        <v>Argentina</v>
      </c>
      <c r="P493" s="481" t="str">
        <v>Portugal</v>
      </c>
      <c r="Q493" s="490" t="str">
        <v>England</v>
      </c>
    </row>
    <row r="494" spans="1:17" x14ac:dyDescent="0.2">
      <c r="A494" s="489">
        <v>491</v>
      </c>
      <c r="B494" s="481" t="str">
        <v>USA</v>
      </c>
      <c r="C494" s="481" t="str">
        <v>Brazil</v>
      </c>
      <c r="D494" s="481" t="str">
        <v>Morocco</v>
      </c>
      <c r="E494" s="481" t="str">
        <v>Brazil</v>
      </c>
      <c r="F494" s="481" t="str">
        <v>Mexico</v>
      </c>
      <c r="G494" s="481" t="str">
        <v>Switzerland</v>
      </c>
      <c r="H494" s="481" t="str">
        <v>Brazil</v>
      </c>
      <c r="I494" s="481" t="str">
        <v>Australia</v>
      </c>
      <c r="J494" s="481" t="str">
        <v>Germany</v>
      </c>
      <c r="K494" s="481" t="str">
        <v>Netherlands</v>
      </c>
      <c r="L494" s="481" t="str">
        <v>Belgium</v>
      </c>
      <c r="M494" s="481" t="str">
        <v>Spain</v>
      </c>
      <c r="N494" s="481" t="str">
        <v>Senegal</v>
      </c>
      <c r="O494" s="481" t="str">
        <v>Argentina</v>
      </c>
      <c r="P494" s="481" t="str">
        <v>Portugal</v>
      </c>
      <c r="Q494" s="490" t="str">
        <v>England</v>
      </c>
    </row>
    <row r="495" spans="1:17" x14ac:dyDescent="0.2">
      <c r="A495" s="489">
        <v>492</v>
      </c>
      <c r="B495" s="481" t="str">
        <v>Brazil</v>
      </c>
      <c r="C495" s="481" t="str">
        <v>Paraguay</v>
      </c>
      <c r="D495" s="481" t="str">
        <v>Belgium</v>
      </c>
      <c r="E495" s="481" t="str">
        <v>Canada</v>
      </c>
      <c r="F495" s="481" t="str">
        <v>Korea Republic</v>
      </c>
      <c r="G495" s="481" t="str">
        <v>Switzerland</v>
      </c>
      <c r="H495" s="481" t="str">
        <v>Brazil</v>
      </c>
      <c r="I495" s="481" t="str">
        <v>USA</v>
      </c>
      <c r="J495" s="481" t="str">
        <v>Ecuador</v>
      </c>
      <c r="K495" s="481" t="str">
        <v>Sweden</v>
      </c>
      <c r="L495" s="481" t="str">
        <v>Egypt</v>
      </c>
      <c r="M495" s="481" t="str">
        <v>Uruguay</v>
      </c>
      <c r="N495" s="481" t="str">
        <v>Norway</v>
      </c>
      <c r="O495" s="481" t="str">
        <v>Argentina</v>
      </c>
      <c r="P495" s="481" t="str">
        <v>Portugal</v>
      </c>
      <c r="Q495" s="490" t="str">
        <v>Panama</v>
      </c>
    </row>
    <row r="496" spans="1:17" x14ac:dyDescent="0.2">
      <c r="A496" s="489">
        <v>493</v>
      </c>
      <c r="B496" s="481" t="str">
        <v>France</v>
      </c>
      <c r="C496" s="481" t="str">
        <v>Portugal</v>
      </c>
      <c r="D496" s="481" t="str">
        <v>Brazil</v>
      </c>
      <c r="E496" s="481" t="str">
        <v>Spain</v>
      </c>
      <c r="F496" s="481" t="str">
        <v>Mexico</v>
      </c>
      <c r="G496" s="481" t="str">
        <v>Qatar</v>
      </c>
      <c r="H496" s="481" t="str">
        <v>Brazil</v>
      </c>
      <c r="I496" s="481" t="str">
        <v>USA</v>
      </c>
      <c r="J496" s="481" t="str">
        <v>Germany</v>
      </c>
      <c r="K496" s="481" t="str">
        <v>Sweden</v>
      </c>
      <c r="L496" s="481" t="str">
        <v>Belgium</v>
      </c>
      <c r="M496" s="481" t="str">
        <v>Spain</v>
      </c>
      <c r="N496" s="481" t="str">
        <v>Norway</v>
      </c>
      <c r="O496" s="481" t="str">
        <v>Argentina</v>
      </c>
      <c r="P496" s="481" t="str">
        <v>Colombia</v>
      </c>
      <c r="Q496" s="490" t="str">
        <v>England</v>
      </c>
    </row>
    <row r="497" spans="1:17" x14ac:dyDescent="0.2">
      <c r="A497" s="489">
        <v>494</v>
      </c>
      <c r="B497" s="481" t="str">
        <v>Argentina</v>
      </c>
      <c r="C497" s="481" t="str">
        <v>Uruguay</v>
      </c>
      <c r="D497" s="481" t="str">
        <v>Brazil</v>
      </c>
      <c r="E497" s="481" t="str">
        <v>Korea Republic</v>
      </c>
      <c r="F497" s="481" t="str">
        <v>Mexico</v>
      </c>
      <c r="G497" s="481" t="str">
        <v>Qatar</v>
      </c>
      <c r="H497" s="481" t="str">
        <v>Morocco</v>
      </c>
      <c r="I497" s="481" t="str">
        <v>Australia</v>
      </c>
      <c r="J497" s="481" t="str">
        <v>Germany</v>
      </c>
      <c r="K497" s="481" t="str">
        <v>Sweden</v>
      </c>
      <c r="L497" s="481" t="str">
        <v>Egypt</v>
      </c>
      <c r="M497" s="481" t="str">
        <v>Spain</v>
      </c>
      <c r="N497" s="481" t="str">
        <v>France</v>
      </c>
      <c r="O497" s="481" t="str">
        <v>Argentina</v>
      </c>
      <c r="P497" s="481" t="str">
        <v>Colombia</v>
      </c>
      <c r="Q497" s="490" t="str">
        <v>England</v>
      </c>
    </row>
    <row r="498" spans="1:17" x14ac:dyDescent="0.2">
      <c r="A498" s="489">
        <v>495</v>
      </c>
      <c r="B498" s="481" t="str">
        <v>France</v>
      </c>
      <c r="C498" s="481" t="str">
        <v>France</v>
      </c>
      <c r="D498" s="481" t="str">
        <v>France</v>
      </c>
      <c r="E498" s="481" t="str">
        <v>England</v>
      </c>
      <c r="F498" s="481" t="str">
        <v>Mexico</v>
      </c>
      <c r="G498" s="481" t="str">
        <v>Canada</v>
      </c>
      <c r="H498" s="481" t="str">
        <v>Morocco</v>
      </c>
      <c r="I498" s="481" t="str">
        <v>USA</v>
      </c>
      <c r="J498" s="481" t="str">
        <v>Germany</v>
      </c>
      <c r="K498" s="481" t="str">
        <v>Netherlands</v>
      </c>
      <c r="L498" s="481" t="str">
        <v>Belgium</v>
      </c>
      <c r="M498" s="481" t="str">
        <v>Uruguay</v>
      </c>
      <c r="N498" s="481" t="str">
        <v>France</v>
      </c>
      <c r="O498" s="481" t="str">
        <v>Jordan</v>
      </c>
      <c r="P498" s="481" t="str">
        <v>Portugal</v>
      </c>
      <c r="Q498" s="490" t="str">
        <v>England</v>
      </c>
    </row>
    <row r="499" spans="1:17" x14ac:dyDescent="0.2">
      <c r="A499" s="489">
        <v>496</v>
      </c>
      <c r="B499" s="481" t="str">
        <v>Portugal</v>
      </c>
      <c r="C499" s="481" t="str">
        <v>France</v>
      </c>
      <c r="D499" s="481" t="str">
        <v>Mexico</v>
      </c>
      <c r="E499" s="481" t="str">
        <v>Morocco</v>
      </c>
      <c r="F499" s="481" t="str">
        <v>Korea Republic</v>
      </c>
      <c r="G499" s="481" t="str">
        <v>Bosnia-Herzegovina</v>
      </c>
      <c r="H499" s="481" t="str">
        <v>Brazil</v>
      </c>
      <c r="I499" s="481" t="str">
        <v>USA</v>
      </c>
      <c r="J499" s="481" t="str">
        <v>Germany</v>
      </c>
      <c r="K499" s="481" t="str">
        <v>Netherlands</v>
      </c>
      <c r="L499" s="481" t="str">
        <v>Egypt</v>
      </c>
      <c r="M499" s="481" t="str">
        <v>Uruguay</v>
      </c>
      <c r="N499" s="481" t="str">
        <v>Senegal</v>
      </c>
      <c r="O499" s="481" t="str">
        <v>Argentina</v>
      </c>
      <c r="P499" s="481" t="str">
        <v>Portugal</v>
      </c>
      <c r="Q499" s="490" t="str">
        <v>England</v>
      </c>
    </row>
    <row r="500" spans="1:17" x14ac:dyDescent="0.2">
      <c r="A500" s="489">
        <v>497</v>
      </c>
      <c r="B500" s="481" t="str">
        <v>Colombia</v>
      </c>
      <c r="C500" s="481" t="str">
        <v>Argentina</v>
      </c>
      <c r="D500" s="481" t="str">
        <v>Brazil</v>
      </c>
      <c r="E500" s="481" t="str">
        <v>Spain</v>
      </c>
      <c r="F500" s="481" t="str">
        <v>Mexico</v>
      </c>
      <c r="G500" s="481" t="str">
        <v>Qatar</v>
      </c>
      <c r="H500" s="481" t="str">
        <v>Brazil</v>
      </c>
      <c r="I500" s="481" t="str">
        <v>Australia</v>
      </c>
      <c r="J500" s="481" t="str">
        <v>Germany</v>
      </c>
      <c r="K500" s="481" t="str">
        <v>Sweden</v>
      </c>
      <c r="L500" s="481" t="str">
        <v>Belgium</v>
      </c>
      <c r="M500" s="481" t="str">
        <v>Spain</v>
      </c>
      <c r="N500" s="481" t="str">
        <v>France</v>
      </c>
      <c r="O500" s="481" t="str">
        <v>Argentina</v>
      </c>
      <c r="P500" s="481" t="str">
        <v>Portugal</v>
      </c>
      <c r="Q500" s="490" t="str">
        <v>England</v>
      </c>
    </row>
    <row r="501" spans="1:17" x14ac:dyDescent="0.2">
      <c r="A501" s="489">
        <v>498</v>
      </c>
      <c r="B501" s="481" t="str">
        <v>Spain</v>
      </c>
      <c r="C501" s="481" t="str">
        <v>Germany</v>
      </c>
      <c r="D501" s="481" t="str">
        <v>Netherlands</v>
      </c>
      <c r="E501" s="481" t="str">
        <v>Germany</v>
      </c>
      <c r="F501" s="481" t="str">
        <v>Korea Republic</v>
      </c>
      <c r="G501" s="481" t="str">
        <v>Switzerland</v>
      </c>
      <c r="H501" s="481" t="str">
        <v>Brazil</v>
      </c>
      <c r="I501" s="481" t="str">
        <v>USA</v>
      </c>
      <c r="J501" s="481" t="str">
        <v>Germany</v>
      </c>
      <c r="K501" s="481" t="str">
        <v>Japan</v>
      </c>
      <c r="L501" s="481" t="str">
        <v>Belgium</v>
      </c>
      <c r="M501" s="481" t="str">
        <v>Spain</v>
      </c>
      <c r="N501" s="481" t="str">
        <v>Senegal</v>
      </c>
      <c r="O501" s="481" t="str">
        <v>Austria</v>
      </c>
      <c r="P501" s="481" t="str">
        <v>Portugal</v>
      </c>
      <c r="Q501" s="490" t="str">
        <v>England</v>
      </c>
    </row>
    <row r="502" spans="1:17" x14ac:dyDescent="0.2">
      <c r="A502" s="489">
        <v>499</v>
      </c>
      <c r="B502" s="481" t="str">
        <v>France</v>
      </c>
      <c r="C502" s="481" t="str">
        <v>Spain</v>
      </c>
      <c r="D502" s="481" t="str">
        <v>Spain</v>
      </c>
      <c r="E502" s="481" t="str">
        <v>Sweden</v>
      </c>
      <c r="F502" s="481" t="str">
        <v>Mexico</v>
      </c>
      <c r="G502" s="481" t="str">
        <v>Switzerland</v>
      </c>
      <c r="H502" s="481" t="str">
        <v>Brazil</v>
      </c>
      <c r="I502" s="481" t="str">
        <v>USA</v>
      </c>
      <c r="J502" s="481" t="str">
        <v>Germany</v>
      </c>
      <c r="K502" s="481" t="str">
        <v>Sweden</v>
      </c>
      <c r="L502" s="481" t="str">
        <v>Belgium</v>
      </c>
      <c r="M502" s="481" t="str">
        <v>Uruguay</v>
      </c>
      <c r="N502" s="481" t="str">
        <v>France</v>
      </c>
      <c r="O502" s="481" t="str">
        <v>Algeria</v>
      </c>
      <c r="P502" s="481" t="str">
        <v>Colombia</v>
      </c>
      <c r="Q502" s="490" t="str">
        <v>England</v>
      </c>
    </row>
    <row r="503" spans="1:17" x14ac:dyDescent="0.2">
      <c r="A503" s="489">
        <v>500</v>
      </c>
      <c r="B503" s="481" t="str">
        <v>Spain</v>
      </c>
      <c r="C503" s="481" t="str">
        <v>Argentina</v>
      </c>
      <c r="D503" s="481" t="str">
        <v>Argentina</v>
      </c>
      <c r="E503" s="481" t="str">
        <v>Morocco</v>
      </c>
      <c r="F503" s="481" t="str">
        <v>Korea Republic</v>
      </c>
      <c r="G503" s="481" t="str">
        <v>Switzerland</v>
      </c>
      <c r="H503" s="481" t="str">
        <v>Brazil</v>
      </c>
      <c r="I503" s="481" t="str">
        <v>USA</v>
      </c>
      <c r="J503" s="481" t="str">
        <v>Germany</v>
      </c>
      <c r="K503" s="481" t="str">
        <v>Sweden</v>
      </c>
      <c r="L503" s="481" t="str">
        <v>Belgium</v>
      </c>
      <c r="M503" s="481" t="str">
        <v>Spain</v>
      </c>
      <c r="N503" s="481" t="str">
        <v>France</v>
      </c>
      <c r="O503" s="481" t="str">
        <v>Argentina</v>
      </c>
      <c r="P503" s="481" t="str">
        <v>Portugal</v>
      </c>
      <c r="Q503" s="490" t="str">
        <v>Croatia</v>
      </c>
    </row>
    <row r="504" spans="1:17" x14ac:dyDescent="0.2">
      <c r="A504" s="489">
        <v>501</v>
      </c>
      <c r="B504" s="481" t="str">
        <v>Argentina</v>
      </c>
      <c r="C504" s="481" t="str">
        <v>Argentina</v>
      </c>
      <c r="D504" s="481" t="str">
        <v>Portugal</v>
      </c>
      <c r="E504" s="481" t="str">
        <v>Norway</v>
      </c>
      <c r="F504" s="481" t="str">
        <v>Korea Republic</v>
      </c>
      <c r="G504" s="481" t="str">
        <v>Canada</v>
      </c>
      <c r="H504" s="481" t="str">
        <v>Brazil</v>
      </c>
      <c r="I504" s="481" t="str">
        <v>USA</v>
      </c>
      <c r="J504" s="481" t="str">
        <v>Ecuador</v>
      </c>
      <c r="K504" s="481" t="str">
        <v>Japan</v>
      </c>
      <c r="L504" s="481" t="str">
        <v>Belgium</v>
      </c>
      <c r="M504" s="481" t="str">
        <v>Uruguay</v>
      </c>
      <c r="N504" s="481" t="str">
        <v>France</v>
      </c>
      <c r="O504" s="481" t="str">
        <v>Argentina</v>
      </c>
      <c r="P504" s="481" t="str">
        <v>Colombia</v>
      </c>
      <c r="Q504" s="490" t="str">
        <v>Panama</v>
      </c>
    </row>
    <row r="505" spans="1:17" x14ac:dyDescent="0.2">
      <c r="A505" s="489">
        <v>502</v>
      </c>
      <c r="B505" s="481" t="str">
        <v>Mexico</v>
      </c>
      <c r="C505" s="481" t="str">
        <v>Germany</v>
      </c>
      <c r="D505" s="481" t="str">
        <v>Spain</v>
      </c>
      <c r="E505" s="481" t="str">
        <v>Portugal</v>
      </c>
      <c r="F505" s="481" t="str">
        <v>Korea Republic</v>
      </c>
      <c r="G505" s="481" t="str">
        <v>Qatar</v>
      </c>
      <c r="H505" s="481" t="str">
        <v>Morocco</v>
      </c>
      <c r="I505" s="481" t="str">
        <v>USA</v>
      </c>
      <c r="J505" s="481" t="str">
        <v>Germany</v>
      </c>
      <c r="K505" s="481" t="str">
        <v>Japan</v>
      </c>
      <c r="L505" s="481" t="str">
        <v>Belgium</v>
      </c>
      <c r="M505" s="481" t="str">
        <v>Saudi Arabia</v>
      </c>
      <c r="N505" s="481" t="str">
        <v>France</v>
      </c>
      <c r="O505" s="481" t="str">
        <v>Austria</v>
      </c>
      <c r="P505" s="481" t="str">
        <v>Colombia</v>
      </c>
      <c r="Q505" s="490" t="str">
        <v>England</v>
      </c>
    </row>
    <row r="506" spans="1:17" x14ac:dyDescent="0.2">
      <c r="A506" s="489">
        <v>503</v>
      </c>
      <c r="B506" s="481" t="str">
        <v>Spain</v>
      </c>
      <c r="C506" s="481" t="str">
        <v>Mexico</v>
      </c>
      <c r="D506" s="481" t="str">
        <v>Spain</v>
      </c>
      <c r="E506" s="481" t="str">
        <v>Brazil</v>
      </c>
      <c r="F506" s="481" t="str">
        <v>Mexico</v>
      </c>
      <c r="G506" s="481" t="str">
        <v>Canada</v>
      </c>
      <c r="H506" s="481" t="str">
        <v>Brazil</v>
      </c>
      <c r="I506" s="481" t="str">
        <v>Australia</v>
      </c>
      <c r="J506" s="481" t="str">
        <v>Germany</v>
      </c>
      <c r="K506" s="481" t="str">
        <v>Sweden</v>
      </c>
      <c r="L506" s="481" t="str">
        <v>Egypt</v>
      </c>
      <c r="M506" s="481" t="str">
        <v>Spain</v>
      </c>
      <c r="N506" s="481" t="str">
        <v>Senegal</v>
      </c>
      <c r="O506" s="481" t="str">
        <v>Argentina</v>
      </c>
      <c r="P506" s="481" t="str">
        <v>Colombia</v>
      </c>
      <c r="Q506" s="490" t="str">
        <v>Croatia</v>
      </c>
    </row>
    <row r="507" spans="1:17" x14ac:dyDescent="0.2">
      <c r="A507" s="489">
        <v>504</v>
      </c>
      <c r="B507" s="481" t="str">
        <v>Portugal</v>
      </c>
      <c r="C507" s="481" t="str">
        <v>Germany</v>
      </c>
      <c r="D507" s="481" t="str">
        <v>France</v>
      </c>
      <c r="E507" s="481" t="str">
        <v>England</v>
      </c>
      <c r="F507" s="481" t="str">
        <v>Mexico</v>
      </c>
      <c r="G507" s="481" t="str">
        <v>Switzerland</v>
      </c>
      <c r="H507" s="481" t="str">
        <v>Morocco</v>
      </c>
      <c r="I507" s="481" t="str">
        <v>USA</v>
      </c>
      <c r="J507" s="481" t="str">
        <v>Ecuador</v>
      </c>
      <c r="K507" s="481" t="str">
        <v>Japan</v>
      </c>
      <c r="L507" s="481" t="str">
        <v>IR Iran</v>
      </c>
      <c r="M507" s="481" t="str">
        <v>Spain</v>
      </c>
      <c r="N507" s="481" t="str">
        <v>France</v>
      </c>
      <c r="O507" s="481" t="str">
        <v>Austria</v>
      </c>
      <c r="P507" s="481" t="str">
        <v>Uzbekistan</v>
      </c>
      <c r="Q507" s="490" t="str">
        <v>Croatia</v>
      </c>
    </row>
    <row r="508" spans="1:17" x14ac:dyDescent="0.2">
      <c r="A508" s="489">
        <v>505</v>
      </c>
      <c r="B508" s="481" t="str">
        <v>France</v>
      </c>
      <c r="C508" s="481" t="str">
        <v>Canada</v>
      </c>
      <c r="D508" s="481" t="str">
        <v>Spain</v>
      </c>
      <c r="E508" s="481" t="str">
        <v>Morocco</v>
      </c>
      <c r="F508" s="481" t="str">
        <v>Korea Republic</v>
      </c>
      <c r="G508" s="481" t="str">
        <v>Canada</v>
      </c>
      <c r="H508" s="481" t="str">
        <v>Brazil</v>
      </c>
      <c r="I508" s="481" t="str">
        <v>USA</v>
      </c>
      <c r="J508" s="481" t="str">
        <v>Germany</v>
      </c>
      <c r="K508" s="481" t="str">
        <v>Netherlands</v>
      </c>
      <c r="L508" s="481" t="str">
        <v>IR Iran</v>
      </c>
      <c r="M508" s="481" t="str">
        <v>Spain</v>
      </c>
      <c r="N508" s="481" t="str">
        <v>France</v>
      </c>
      <c r="O508" s="481" t="str">
        <v>Austria</v>
      </c>
      <c r="P508" s="481" t="str">
        <v>Portugal</v>
      </c>
      <c r="Q508" s="490" t="str">
        <v>England</v>
      </c>
    </row>
    <row r="509" spans="1:17" x14ac:dyDescent="0.2">
      <c r="A509" s="489">
        <v>506</v>
      </c>
      <c r="B509" s="481" t="str">
        <v>Portugal</v>
      </c>
      <c r="C509" s="481" t="str">
        <v>Morocco</v>
      </c>
      <c r="D509" s="481" t="str">
        <v>Argentina</v>
      </c>
      <c r="E509" s="481" t="str">
        <v>Germany</v>
      </c>
      <c r="F509" s="481" t="str">
        <v>Mexico</v>
      </c>
      <c r="G509" s="481" t="str">
        <v>Bosnia-Herzegovina</v>
      </c>
      <c r="H509" s="481" t="str">
        <v>Scotland</v>
      </c>
      <c r="I509" s="481" t="str">
        <v>Australia</v>
      </c>
      <c r="J509" s="481" t="str">
        <v>Cote d'Ivorie</v>
      </c>
      <c r="K509" s="481" t="str">
        <v>Netherlands</v>
      </c>
      <c r="L509" s="481" t="str">
        <v>IR Iran</v>
      </c>
      <c r="M509" s="481" t="str">
        <v>Spain</v>
      </c>
      <c r="N509" s="481" t="str">
        <v>France</v>
      </c>
      <c r="O509" s="481" t="str">
        <v>Argentina</v>
      </c>
      <c r="P509" s="481" t="str">
        <v>Colombia</v>
      </c>
      <c r="Q509" s="490" t="str">
        <v>Croatia</v>
      </c>
    </row>
    <row r="510" spans="1:17" x14ac:dyDescent="0.2">
      <c r="A510" s="489">
        <v>507</v>
      </c>
      <c r="B510" s="481" t="str">
        <v>Portugal</v>
      </c>
      <c r="C510" s="481" t="str">
        <v>England</v>
      </c>
      <c r="D510" s="481" t="str">
        <v>Germany</v>
      </c>
      <c r="E510" s="481" t="str">
        <v>Brazil</v>
      </c>
      <c r="F510" s="481" t="str">
        <v>Korea Republic</v>
      </c>
      <c r="G510" s="481" t="str">
        <v>Qatar</v>
      </c>
      <c r="H510" s="481" t="str">
        <v>Brazil</v>
      </c>
      <c r="I510" s="481" t="str">
        <v>USA</v>
      </c>
      <c r="J510" s="481" t="str">
        <v>Germany</v>
      </c>
      <c r="K510" s="481" t="str">
        <v>Sweden</v>
      </c>
      <c r="L510" s="481" t="str">
        <v>IR Iran</v>
      </c>
      <c r="M510" s="481" t="str">
        <v>Spain</v>
      </c>
      <c r="N510" s="481" t="str">
        <v>Senegal</v>
      </c>
      <c r="O510" s="481" t="str">
        <v>Algeria</v>
      </c>
      <c r="P510" s="481" t="str">
        <v>Colombia</v>
      </c>
      <c r="Q510" s="490" t="str">
        <v>Panama</v>
      </c>
    </row>
    <row r="511" spans="1:17" x14ac:dyDescent="0.2">
      <c r="A511" s="489">
        <v>508</v>
      </c>
      <c r="B511" s="481" t="str">
        <v>Belgium</v>
      </c>
      <c r="C511" s="481" t="str">
        <v>Netherlands</v>
      </c>
      <c r="D511" s="481" t="str">
        <v>Netherlands</v>
      </c>
      <c r="E511" s="481" t="str">
        <v>Mexico</v>
      </c>
      <c r="F511" s="481" t="str">
        <v>Mexico</v>
      </c>
      <c r="G511" s="481" t="str">
        <v>Canada</v>
      </c>
      <c r="H511" s="481" t="str">
        <v>Morocco</v>
      </c>
      <c r="I511" s="481" t="str">
        <v>USA</v>
      </c>
      <c r="J511" s="481" t="str">
        <v>Germany</v>
      </c>
      <c r="K511" s="481" t="str">
        <v>Japan</v>
      </c>
      <c r="L511" s="481" t="str">
        <v>IR Iran</v>
      </c>
      <c r="M511" s="481" t="str">
        <v>Spain</v>
      </c>
      <c r="N511" s="481" t="str">
        <v>Norway</v>
      </c>
      <c r="O511" s="481" t="str">
        <v>Algeria</v>
      </c>
      <c r="P511" s="481" t="str">
        <v>Colombia</v>
      </c>
      <c r="Q511" s="490" t="str">
        <v>England</v>
      </c>
    </row>
    <row r="512" spans="1:17" x14ac:dyDescent="0.2">
      <c r="A512" s="489">
        <v>509</v>
      </c>
      <c r="B512" s="481" t="str">
        <v>Spain</v>
      </c>
      <c r="C512" s="481" t="str">
        <v>Panama</v>
      </c>
      <c r="D512" s="481" t="str">
        <v>Spain</v>
      </c>
      <c r="E512" s="481" t="str">
        <v>Germany</v>
      </c>
      <c r="F512" s="481" t="str">
        <v>Mexico</v>
      </c>
      <c r="G512" s="481" t="str">
        <v>Canada</v>
      </c>
      <c r="H512" s="481" t="str">
        <v>Morocco</v>
      </c>
      <c r="I512" s="481" t="str">
        <v>USA</v>
      </c>
      <c r="J512" s="481" t="str">
        <v>Germany</v>
      </c>
      <c r="K512" s="481" t="str">
        <v>Netherlands</v>
      </c>
      <c r="L512" s="481" t="str">
        <v>Belgium</v>
      </c>
      <c r="M512" s="481" t="str">
        <v>Saudi Arabia</v>
      </c>
      <c r="N512" s="481" t="str">
        <v>Norway</v>
      </c>
      <c r="O512" s="481" t="str">
        <v>Austria</v>
      </c>
      <c r="P512" s="481" t="str">
        <v>Portugal</v>
      </c>
      <c r="Q512" s="490" t="str">
        <v>England</v>
      </c>
    </row>
    <row r="513" spans="1:17" x14ac:dyDescent="0.2">
      <c r="A513" s="489">
        <v>510</v>
      </c>
      <c r="B513" s="481" t="str">
        <v>Portugal</v>
      </c>
      <c r="C513" s="481" t="str">
        <v>Japan</v>
      </c>
      <c r="D513" s="481" t="str">
        <v>Germany</v>
      </c>
      <c r="E513" s="481" t="str">
        <v>Algeria</v>
      </c>
      <c r="F513" s="481" t="str">
        <v>Mexico</v>
      </c>
      <c r="G513" s="481" t="str">
        <v>Switzerland</v>
      </c>
      <c r="H513" s="481" t="str">
        <v>Brazil</v>
      </c>
      <c r="I513" s="481" t="str">
        <v>Australia</v>
      </c>
      <c r="J513" s="481" t="str">
        <v>Germany</v>
      </c>
      <c r="K513" s="481" t="str">
        <v>Netherlands</v>
      </c>
      <c r="L513" s="481" t="str">
        <v>Belgium</v>
      </c>
      <c r="M513" s="481" t="str">
        <v>Uruguay</v>
      </c>
      <c r="N513" s="481" t="str">
        <v>France</v>
      </c>
      <c r="O513" s="481" t="str">
        <v>Algeria</v>
      </c>
      <c r="P513" s="481" t="str">
        <v>Portugal</v>
      </c>
      <c r="Q513" s="490" t="str">
        <v>England</v>
      </c>
    </row>
    <row r="514" spans="1:17" x14ac:dyDescent="0.2">
      <c r="A514" s="489">
        <v>511</v>
      </c>
      <c r="B514" s="481" t="str">
        <v>England</v>
      </c>
      <c r="C514" s="481" t="str">
        <v>Spain</v>
      </c>
      <c r="D514" s="481" t="str">
        <v>Uruguay</v>
      </c>
      <c r="E514" s="481" t="str">
        <v>Austria</v>
      </c>
      <c r="F514" s="481" t="str">
        <v>Mexico</v>
      </c>
      <c r="G514" s="481" t="str">
        <v>Switzerland</v>
      </c>
      <c r="H514" s="481" t="str">
        <v>Brazil</v>
      </c>
      <c r="I514" s="481" t="str">
        <v>Australia</v>
      </c>
      <c r="J514" s="481" t="str">
        <v>Germany</v>
      </c>
      <c r="K514" s="481" t="str">
        <v>Japan</v>
      </c>
      <c r="L514" s="481" t="str">
        <v>IR Iran</v>
      </c>
      <c r="M514" s="481" t="str">
        <v>Spain</v>
      </c>
      <c r="N514" s="481" t="str">
        <v>Norway</v>
      </c>
      <c r="O514" s="481" t="str">
        <v>Argentina</v>
      </c>
      <c r="P514" s="481" t="str">
        <v>Colombia</v>
      </c>
      <c r="Q514" s="490" t="str">
        <v>Croatia</v>
      </c>
    </row>
    <row r="515" spans="1:17" x14ac:dyDescent="0.2">
      <c r="A515" s="489">
        <v>512</v>
      </c>
      <c r="B515" s="481" t="str">
        <v>England</v>
      </c>
      <c r="C515" s="481" t="str">
        <v>Morocco</v>
      </c>
      <c r="D515" s="481" t="str">
        <v>Brazil</v>
      </c>
      <c r="E515" s="481" t="str">
        <v>Mexico</v>
      </c>
      <c r="F515" s="481" t="str">
        <v>Mexico</v>
      </c>
      <c r="G515" s="481" t="str">
        <v>Switzerland</v>
      </c>
      <c r="H515" s="481" t="str">
        <v>Morocco</v>
      </c>
      <c r="I515" s="481" t="str">
        <v>USA</v>
      </c>
      <c r="J515" s="481" t="str">
        <v>Germany</v>
      </c>
      <c r="K515" s="481" t="str">
        <v>Netherlands</v>
      </c>
      <c r="L515" s="481" t="str">
        <v>Belgium</v>
      </c>
      <c r="M515" s="481" t="str">
        <v>Spain</v>
      </c>
      <c r="N515" s="481" t="str">
        <v>Norway</v>
      </c>
      <c r="O515" s="481" t="str">
        <v>Argentina</v>
      </c>
      <c r="P515" s="481" t="str">
        <v>Portugal</v>
      </c>
      <c r="Q515" s="490" t="str">
        <v>England</v>
      </c>
    </row>
    <row r="516" spans="1:17" x14ac:dyDescent="0.2">
      <c r="A516" s="489">
        <v>513</v>
      </c>
      <c r="B516" s="481" t="str">
        <v>Spain</v>
      </c>
      <c r="C516" s="481" t="str">
        <v>Spain</v>
      </c>
      <c r="D516" s="481" t="str">
        <v>Portugal</v>
      </c>
      <c r="E516" s="481" t="str">
        <v>Portugal</v>
      </c>
      <c r="F516" s="481" t="str">
        <v>Mexico</v>
      </c>
      <c r="G516" s="481" t="str">
        <v>Qatar</v>
      </c>
      <c r="H516" s="481" t="str">
        <v>Morocco</v>
      </c>
      <c r="I516" s="481" t="str">
        <v>USA</v>
      </c>
      <c r="J516" s="481" t="str">
        <v>Germany</v>
      </c>
      <c r="K516" s="481" t="str">
        <v>Japan</v>
      </c>
      <c r="L516" s="481" t="str">
        <v>Belgium</v>
      </c>
      <c r="M516" s="481" t="str">
        <v>Spain</v>
      </c>
      <c r="N516" s="481" t="str">
        <v>France</v>
      </c>
      <c r="O516" s="481" t="str">
        <v>Argentina</v>
      </c>
      <c r="P516" s="481" t="str">
        <v>Colombia</v>
      </c>
      <c r="Q516" s="490" t="str">
        <v>Croatia</v>
      </c>
    </row>
    <row r="517" spans="1:17" x14ac:dyDescent="0.2">
      <c r="A517" s="489">
        <v>514</v>
      </c>
      <c r="B517" s="481" t="str">
        <v>Colombia</v>
      </c>
      <c r="C517" s="481" t="str">
        <v>Japan</v>
      </c>
      <c r="D517" s="481" t="str">
        <v>Germany</v>
      </c>
      <c r="E517" s="481" t="str">
        <v>Portugal</v>
      </c>
      <c r="F517" s="481" t="str">
        <v>Korea Republic</v>
      </c>
      <c r="G517" s="481" t="str">
        <v>Bosnia-Herzegovina</v>
      </c>
      <c r="H517" s="481" t="str">
        <v>Morocco</v>
      </c>
      <c r="I517" s="481" t="str">
        <v>USA</v>
      </c>
      <c r="J517" s="481" t="str">
        <v>Germany</v>
      </c>
      <c r="K517" s="481" t="str">
        <v>Sweden</v>
      </c>
      <c r="L517" s="481" t="str">
        <v>Belgium</v>
      </c>
      <c r="M517" s="481" t="str">
        <v>Spain</v>
      </c>
      <c r="N517" s="481" t="str">
        <v>France</v>
      </c>
      <c r="O517" s="481" t="str">
        <v>Argentina</v>
      </c>
      <c r="P517" s="481" t="str">
        <v>Portugal</v>
      </c>
      <c r="Q517" s="490" t="str">
        <v>Croatia</v>
      </c>
    </row>
    <row r="518" spans="1:17" x14ac:dyDescent="0.2">
      <c r="A518" s="489">
        <v>515</v>
      </c>
      <c r="B518" s="481" t="str">
        <v>USA</v>
      </c>
      <c r="C518" s="481" t="str">
        <v>USA</v>
      </c>
      <c r="D518" s="481" t="str">
        <v>Argentina</v>
      </c>
      <c r="E518" s="481" t="str">
        <v>Brazil</v>
      </c>
      <c r="F518" s="481" t="str">
        <v>Korea Republic</v>
      </c>
      <c r="G518" s="481" t="str">
        <v>Bosnia-Herzegovina</v>
      </c>
      <c r="H518" s="481" t="str">
        <v>Morocco</v>
      </c>
      <c r="I518" s="481" t="str">
        <v>USA</v>
      </c>
      <c r="J518" s="481" t="str">
        <v>Ecuador</v>
      </c>
      <c r="K518" s="481" t="str">
        <v>Japan</v>
      </c>
      <c r="L518" s="481" t="str">
        <v>Belgium</v>
      </c>
      <c r="M518" s="481" t="str">
        <v>Spain</v>
      </c>
      <c r="N518" s="481" t="str">
        <v>France</v>
      </c>
      <c r="O518" s="481" t="str">
        <v>Argentina</v>
      </c>
      <c r="P518" s="481" t="str">
        <v>Colombia</v>
      </c>
      <c r="Q518" s="490" t="str">
        <v>Croatia</v>
      </c>
    </row>
    <row r="519" spans="1:17" x14ac:dyDescent="0.2">
      <c r="A519" s="489">
        <v>516</v>
      </c>
      <c r="B519" s="481" t="str">
        <v>Argentina</v>
      </c>
      <c r="C519" s="481" t="str">
        <v>Uruguay</v>
      </c>
      <c r="D519" s="481" t="str">
        <v>Croatia</v>
      </c>
      <c r="E519" s="481" t="str">
        <v>Canada</v>
      </c>
      <c r="F519" s="481" t="str">
        <v>Korea Republic</v>
      </c>
      <c r="G519" s="481" t="str">
        <v>Switzerland</v>
      </c>
      <c r="H519" s="481" t="str">
        <v>Brazil</v>
      </c>
      <c r="I519" s="481" t="str">
        <v>Australia</v>
      </c>
      <c r="J519" s="481" t="str">
        <v>Germany</v>
      </c>
      <c r="K519" s="481" t="str">
        <v>Netherlands</v>
      </c>
      <c r="L519" s="481" t="str">
        <v>Belgium</v>
      </c>
      <c r="M519" s="481" t="str">
        <v>Spain</v>
      </c>
      <c r="N519" s="481" t="str">
        <v>Norway</v>
      </c>
      <c r="O519" s="481" t="str">
        <v>Algeria</v>
      </c>
      <c r="P519" s="481" t="str">
        <v>Colombia</v>
      </c>
      <c r="Q519" s="490" t="str">
        <v>Croatia</v>
      </c>
    </row>
    <row r="520" spans="1:17" x14ac:dyDescent="0.2">
      <c r="A520" s="489">
        <v>517</v>
      </c>
      <c r="B520" s="481" t="str">
        <v>Argentina</v>
      </c>
      <c r="C520" s="481" t="str">
        <v>Uruguay</v>
      </c>
      <c r="D520" s="481" t="str">
        <v>Egypt</v>
      </c>
      <c r="E520" s="481" t="str">
        <v>Argentina</v>
      </c>
      <c r="F520" s="481" t="str">
        <v>Mexico</v>
      </c>
      <c r="G520" s="481" t="str">
        <v>Switzerland</v>
      </c>
      <c r="H520" s="481" t="str">
        <v>Brazil</v>
      </c>
      <c r="I520" s="481" t="str">
        <v>USA</v>
      </c>
      <c r="J520" s="481" t="str">
        <v>Ecuador</v>
      </c>
      <c r="K520" s="481" t="str">
        <v>Sweden</v>
      </c>
      <c r="L520" s="481" t="str">
        <v>Belgium</v>
      </c>
      <c r="M520" s="481" t="str">
        <v>Uruguay</v>
      </c>
      <c r="N520" s="481" t="str">
        <v>France</v>
      </c>
      <c r="O520" s="481" t="str">
        <v>Argentina</v>
      </c>
      <c r="P520" s="481" t="str">
        <v>Portugal</v>
      </c>
      <c r="Q520" s="490" t="str">
        <v>Panama</v>
      </c>
    </row>
    <row r="521" spans="1:17" x14ac:dyDescent="0.2">
      <c r="A521" s="489">
        <v>518</v>
      </c>
      <c r="B521" s="481" t="str">
        <v>Portugal</v>
      </c>
      <c r="C521" s="481" t="str">
        <v>Korea Republic</v>
      </c>
      <c r="D521" s="481" t="str">
        <v>Belgium</v>
      </c>
      <c r="E521" s="481" t="str">
        <v>Brazil</v>
      </c>
      <c r="F521" s="481" t="str">
        <v>Mexico</v>
      </c>
      <c r="G521" s="481" t="str">
        <v>Switzerland</v>
      </c>
      <c r="H521" s="481" t="str">
        <v>Morocco</v>
      </c>
      <c r="I521" s="481" t="str">
        <v>Paraguay</v>
      </c>
      <c r="J521" s="481" t="str">
        <v>Cote d'Ivorie</v>
      </c>
      <c r="K521" s="481" t="str">
        <v>Sweden</v>
      </c>
      <c r="L521" s="481" t="str">
        <v>Belgium</v>
      </c>
      <c r="M521" s="481" t="str">
        <v>Spain</v>
      </c>
      <c r="N521" s="481" t="str">
        <v>France</v>
      </c>
      <c r="O521" s="481" t="str">
        <v>Argentina</v>
      </c>
      <c r="P521" s="481" t="str">
        <v>Portugal</v>
      </c>
      <c r="Q521" s="490" t="str">
        <v>England</v>
      </c>
    </row>
    <row r="522" spans="1:17" x14ac:dyDescent="0.2">
      <c r="A522" s="489">
        <v>519</v>
      </c>
      <c r="B522" s="481" t="str">
        <v>Argentina</v>
      </c>
      <c r="C522" s="481" t="str">
        <v>Brazil</v>
      </c>
      <c r="D522" s="481" t="str">
        <v>France</v>
      </c>
      <c r="E522" s="481" t="str">
        <v>Sweden</v>
      </c>
      <c r="F522" s="481" t="str">
        <v>Mexico</v>
      </c>
      <c r="G522" s="481" t="str">
        <v>Canada</v>
      </c>
      <c r="H522" s="481" t="str">
        <v>Scotland</v>
      </c>
      <c r="I522" s="481" t="str">
        <v>USA</v>
      </c>
      <c r="J522" s="481" t="str">
        <v>Germany</v>
      </c>
      <c r="K522" s="481" t="str">
        <v>Japan</v>
      </c>
      <c r="L522" s="481" t="str">
        <v>Belgium</v>
      </c>
      <c r="M522" s="481" t="str">
        <v>Uruguay</v>
      </c>
      <c r="N522" s="481" t="str">
        <v>France</v>
      </c>
      <c r="O522" s="481" t="str">
        <v>Algeria</v>
      </c>
      <c r="P522" s="481" t="str">
        <v>Portugal</v>
      </c>
      <c r="Q522" s="490" t="str">
        <v>England</v>
      </c>
    </row>
    <row r="523" spans="1:17" x14ac:dyDescent="0.2">
      <c r="A523" s="489">
        <v>520</v>
      </c>
      <c r="B523" s="481" t="str">
        <v>Brazil</v>
      </c>
      <c r="C523" s="481" t="str">
        <v>Belgium</v>
      </c>
      <c r="D523" s="481" t="str">
        <v>Croatia</v>
      </c>
      <c r="E523" s="481" t="str">
        <v>England</v>
      </c>
      <c r="F523" s="481" t="str">
        <v>Mexico</v>
      </c>
      <c r="G523" s="481" t="str">
        <v>Canada</v>
      </c>
      <c r="H523" s="481" t="str">
        <v>Morocco</v>
      </c>
      <c r="I523" s="481" t="str">
        <v>USA</v>
      </c>
      <c r="J523" s="481" t="str">
        <v>Cote d'Ivorie</v>
      </c>
      <c r="K523" s="481" t="str">
        <v>Sweden</v>
      </c>
      <c r="L523" s="481" t="str">
        <v>IR Iran</v>
      </c>
      <c r="M523" s="481" t="str">
        <v>Uruguay</v>
      </c>
      <c r="N523" s="481" t="str">
        <v>France</v>
      </c>
      <c r="O523" s="481" t="str">
        <v>Argentina</v>
      </c>
      <c r="P523" s="481" t="str">
        <v>Portugal</v>
      </c>
      <c r="Q523" s="490" t="str">
        <v>England</v>
      </c>
    </row>
    <row r="524" spans="1:17" x14ac:dyDescent="0.2">
      <c r="A524" s="489">
        <v>521</v>
      </c>
      <c r="B524" s="481" t="str">
        <v>France</v>
      </c>
      <c r="C524" s="481" t="str">
        <v>Argentina</v>
      </c>
      <c r="D524" s="481" t="str">
        <v>Uruguay</v>
      </c>
      <c r="E524" s="481" t="str">
        <v>England</v>
      </c>
      <c r="F524" s="481" t="str">
        <v>Korea Republic</v>
      </c>
      <c r="G524" s="481" t="str">
        <v>Switzerland</v>
      </c>
      <c r="H524" s="481" t="str">
        <v>Brazil</v>
      </c>
      <c r="I524" s="481" t="str">
        <v>USA</v>
      </c>
      <c r="J524" s="481" t="str">
        <v>Germany</v>
      </c>
      <c r="K524" s="481" t="str">
        <v>Netherlands</v>
      </c>
      <c r="L524" s="481" t="str">
        <v>Belgium</v>
      </c>
      <c r="M524" s="481" t="str">
        <v>Spain</v>
      </c>
      <c r="N524" s="481" t="str">
        <v>France</v>
      </c>
      <c r="O524" s="481" t="str">
        <v>Algeria</v>
      </c>
      <c r="P524" s="481" t="str">
        <v>Portugal</v>
      </c>
      <c r="Q524" s="490" t="str">
        <v>England</v>
      </c>
    </row>
    <row r="525" spans="1:17" x14ac:dyDescent="0.2">
      <c r="A525" s="489">
        <v>522</v>
      </c>
      <c r="B525" s="481" t="str">
        <v>Argentina</v>
      </c>
      <c r="C525" s="481" t="str">
        <v>Spain</v>
      </c>
      <c r="D525" s="481" t="str">
        <v>Belgium</v>
      </c>
      <c r="E525" s="481" t="str">
        <v>Japan</v>
      </c>
      <c r="F525" s="481" t="str">
        <v>Mexico</v>
      </c>
      <c r="G525" s="481" t="str">
        <v>Switzerland</v>
      </c>
      <c r="H525" s="481" t="str">
        <v>Brazil</v>
      </c>
      <c r="I525" s="481" t="str">
        <v>Australia</v>
      </c>
      <c r="J525" s="481" t="str">
        <v>Germany</v>
      </c>
      <c r="K525" s="481" t="str">
        <v>Netherlands</v>
      </c>
      <c r="L525" s="481" t="str">
        <v>IR Iran</v>
      </c>
      <c r="M525" s="481" t="str">
        <v>Spain</v>
      </c>
      <c r="N525" s="481" t="str">
        <v>France</v>
      </c>
      <c r="O525" s="481" t="str">
        <v>Argentina</v>
      </c>
      <c r="P525" s="481" t="str">
        <v>Colombia</v>
      </c>
      <c r="Q525" s="490" t="str">
        <v>England</v>
      </c>
    </row>
    <row r="526" spans="1:17" x14ac:dyDescent="0.2">
      <c r="A526" s="489">
        <v>523</v>
      </c>
      <c r="B526" s="481" t="str">
        <v>France</v>
      </c>
      <c r="C526" s="481" t="str">
        <v>Portugal</v>
      </c>
      <c r="D526" s="481" t="str">
        <v>Argentina</v>
      </c>
      <c r="E526" s="481" t="str">
        <v>Spain</v>
      </c>
      <c r="F526" s="481" t="str">
        <v>Korea Republic</v>
      </c>
      <c r="G526" s="481" t="str">
        <v>Switzerland</v>
      </c>
      <c r="H526" s="481" t="str">
        <v>Morocco</v>
      </c>
      <c r="I526" s="481" t="str">
        <v>USA</v>
      </c>
      <c r="J526" s="481" t="str">
        <v>Germany</v>
      </c>
      <c r="K526" s="481" t="str">
        <v>Sweden</v>
      </c>
      <c r="L526" s="481" t="str">
        <v>Egypt</v>
      </c>
      <c r="M526" s="481" t="str">
        <v>Spain</v>
      </c>
      <c r="N526" s="481" t="str">
        <v>France</v>
      </c>
      <c r="O526" s="481" t="str">
        <v>Argentina</v>
      </c>
      <c r="P526" s="481" t="str">
        <v>Colombia</v>
      </c>
      <c r="Q526" s="490" t="str">
        <v>England</v>
      </c>
    </row>
    <row r="527" spans="1:17" x14ac:dyDescent="0.2">
      <c r="A527" s="489">
        <v>524</v>
      </c>
      <c r="B527" s="481" t="str">
        <v>Belgium</v>
      </c>
      <c r="C527" s="481" t="str">
        <v>Brazil</v>
      </c>
      <c r="D527" s="481" t="str">
        <v>Colombia</v>
      </c>
      <c r="E527" s="481" t="str">
        <v>Norway</v>
      </c>
      <c r="F527" s="481" t="str">
        <v>Mexico</v>
      </c>
      <c r="G527" s="481" t="str">
        <v>Qatar</v>
      </c>
      <c r="H527" s="481" t="str">
        <v>Brazil</v>
      </c>
      <c r="I527" s="481" t="str">
        <v>Australia</v>
      </c>
      <c r="J527" s="481" t="str">
        <v>Germany</v>
      </c>
      <c r="K527" s="481" t="str">
        <v>Netherlands</v>
      </c>
      <c r="L527" s="481" t="str">
        <v>Belgium</v>
      </c>
      <c r="M527" s="481" t="str">
        <v>Spain</v>
      </c>
      <c r="N527" s="481" t="str">
        <v>France</v>
      </c>
      <c r="O527" s="481" t="str">
        <v>Argentina</v>
      </c>
      <c r="P527" s="481" t="str">
        <v>Portugal</v>
      </c>
      <c r="Q527" s="490" t="str">
        <v>England</v>
      </c>
    </row>
    <row r="528" spans="1:17" x14ac:dyDescent="0.2">
      <c r="A528" s="489">
        <v>525</v>
      </c>
      <c r="B528" s="481" t="str">
        <v>Argentina</v>
      </c>
      <c r="C528" s="481" t="str">
        <v>Australia</v>
      </c>
      <c r="D528" s="481" t="str">
        <v>Mexico</v>
      </c>
      <c r="E528" s="481" t="str">
        <v>Germany</v>
      </c>
      <c r="F528" s="481" t="str">
        <v>Korea Republic</v>
      </c>
      <c r="G528" s="481" t="str">
        <v>Qatar</v>
      </c>
      <c r="H528" s="481" t="str">
        <v>Morocco</v>
      </c>
      <c r="I528" s="481" t="str">
        <v>USA</v>
      </c>
      <c r="J528" s="481" t="str">
        <v>Germany</v>
      </c>
      <c r="K528" s="481" t="str">
        <v>Japan</v>
      </c>
      <c r="L528" s="481" t="str">
        <v>Egypt</v>
      </c>
      <c r="M528" s="481" t="str">
        <v>Saudi Arabia</v>
      </c>
      <c r="N528" s="481" t="str">
        <v>Norway</v>
      </c>
      <c r="O528" s="481" t="str">
        <v>Algeria</v>
      </c>
      <c r="P528" s="481" t="str">
        <v>Uzbekistan</v>
      </c>
      <c r="Q528" s="490" t="str">
        <v>Croatia</v>
      </c>
    </row>
    <row r="529" spans="1:17" x14ac:dyDescent="0.2">
      <c r="A529" s="489">
        <v>526</v>
      </c>
      <c r="B529" s="481" t="str">
        <v>Portugal</v>
      </c>
      <c r="C529" s="481" t="str">
        <v>Turkiye</v>
      </c>
      <c r="D529" s="481" t="str">
        <v>Uruguay</v>
      </c>
      <c r="E529" s="481" t="str">
        <v>USA</v>
      </c>
      <c r="F529" s="481" t="str">
        <v>Korea Republic</v>
      </c>
      <c r="G529" s="481" t="str">
        <v>Switzerland</v>
      </c>
      <c r="H529" s="481" t="str">
        <v>Brazil</v>
      </c>
      <c r="I529" s="481" t="str">
        <v>USA</v>
      </c>
      <c r="J529" s="481" t="str">
        <v>Germany</v>
      </c>
      <c r="K529" s="481" t="str">
        <v>Netherlands</v>
      </c>
      <c r="L529" s="481" t="str">
        <v>Belgium</v>
      </c>
      <c r="M529" s="481" t="str">
        <v>Uruguay</v>
      </c>
      <c r="N529" s="481" t="str">
        <v>France</v>
      </c>
      <c r="O529" s="481" t="str">
        <v>Austria</v>
      </c>
      <c r="P529" s="481" t="str">
        <v>Colombia</v>
      </c>
      <c r="Q529" s="490" t="str">
        <v>England</v>
      </c>
    </row>
    <row r="530" spans="1:17" x14ac:dyDescent="0.2">
      <c r="A530" s="489">
        <v>527</v>
      </c>
      <c r="B530" s="481" t="str">
        <v>Portugal</v>
      </c>
      <c r="C530" s="481" t="str">
        <v>Argentina</v>
      </c>
      <c r="D530" s="481" t="str">
        <v>USA</v>
      </c>
      <c r="E530" s="481" t="str">
        <v>Ecuador</v>
      </c>
      <c r="F530" s="481" t="str">
        <v>Korea Republic</v>
      </c>
      <c r="G530" s="481" t="str">
        <v>Switzerland</v>
      </c>
      <c r="H530" s="481" t="str">
        <v>Morocco</v>
      </c>
      <c r="I530" s="481" t="str">
        <v>Australia</v>
      </c>
      <c r="J530" s="481" t="str">
        <v>Cote d'Ivorie</v>
      </c>
      <c r="K530" s="481" t="str">
        <v>Japan</v>
      </c>
      <c r="L530" s="481" t="str">
        <v>IR Iran</v>
      </c>
      <c r="M530" s="481" t="str">
        <v>Uruguay</v>
      </c>
      <c r="N530" s="481" t="str">
        <v>Norway</v>
      </c>
      <c r="O530" s="481" t="str">
        <v>Austria</v>
      </c>
      <c r="P530" s="481" t="str">
        <v>Portugal</v>
      </c>
      <c r="Q530" s="490" t="str">
        <v>Croatia</v>
      </c>
    </row>
    <row r="531" spans="1:17" x14ac:dyDescent="0.2">
      <c r="A531" s="489">
        <v>528</v>
      </c>
      <c r="B531" s="481" t="str">
        <v>Portugal</v>
      </c>
      <c r="C531" s="481" t="str">
        <v>Morocco</v>
      </c>
      <c r="D531" s="481" t="str">
        <v>Portugal</v>
      </c>
      <c r="E531" s="481" t="str">
        <v>Norway</v>
      </c>
      <c r="F531" s="481" t="str">
        <v>Mexico</v>
      </c>
      <c r="G531" s="481" t="str">
        <v>Bosnia-Herzegovina</v>
      </c>
      <c r="H531" s="481" t="str">
        <v>Morocco</v>
      </c>
      <c r="I531" s="481" t="str">
        <v>USA</v>
      </c>
      <c r="J531" s="481" t="str">
        <v>Germany</v>
      </c>
      <c r="K531" s="481" t="str">
        <v>Japan</v>
      </c>
      <c r="L531" s="481" t="str">
        <v>Belgium</v>
      </c>
      <c r="M531" s="481" t="str">
        <v>Saudi Arabia</v>
      </c>
      <c r="N531" s="481" t="str">
        <v>France</v>
      </c>
      <c r="O531" s="481" t="str">
        <v>Argentina</v>
      </c>
      <c r="P531" s="481" t="str">
        <v>Colombia</v>
      </c>
      <c r="Q531" s="490" t="str">
        <v>England</v>
      </c>
    </row>
    <row r="532" spans="1:17" x14ac:dyDescent="0.2">
      <c r="A532" s="489">
        <v>529</v>
      </c>
      <c r="B532" s="481" t="str">
        <v>Portugal</v>
      </c>
      <c r="C532" s="481" t="str">
        <v>Spain</v>
      </c>
      <c r="D532" s="481" t="str">
        <v>Sweden</v>
      </c>
      <c r="E532" s="481" t="str">
        <v>Germany</v>
      </c>
      <c r="F532" s="481" t="str">
        <v>Mexico</v>
      </c>
      <c r="G532" s="481" t="str">
        <v>Qatar</v>
      </c>
      <c r="H532" s="481" t="str">
        <v>Brazil</v>
      </c>
      <c r="I532" s="481" t="str">
        <v>Australia</v>
      </c>
      <c r="J532" s="481" t="str">
        <v>Germany</v>
      </c>
      <c r="K532" s="481" t="str">
        <v>Japan</v>
      </c>
      <c r="L532" s="481" t="str">
        <v>Egypt</v>
      </c>
      <c r="M532" s="481" t="str">
        <v>Uruguay</v>
      </c>
      <c r="N532" s="481" t="str">
        <v>France</v>
      </c>
      <c r="O532" s="481" t="str">
        <v>Argentina</v>
      </c>
      <c r="P532" s="481" t="str">
        <v>Portugal</v>
      </c>
      <c r="Q532" s="490" t="str">
        <v>England</v>
      </c>
    </row>
    <row r="533" spans="1:17" x14ac:dyDescent="0.2">
      <c r="A533" s="489">
        <v>530</v>
      </c>
      <c r="B533" s="481" t="str">
        <v>Argentina</v>
      </c>
      <c r="C533" s="481" t="str">
        <v>England</v>
      </c>
      <c r="D533" s="481" t="str">
        <v>Mexico</v>
      </c>
      <c r="E533" s="481" t="str">
        <v>Japan</v>
      </c>
      <c r="F533" s="481" t="str">
        <v>Mexico</v>
      </c>
      <c r="G533" s="481" t="str">
        <v>Canada</v>
      </c>
      <c r="H533" s="481" t="str">
        <v>Brazil</v>
      </c>
      <c r="I533" s="481" t="str">
        <v>Australia</v>
      </c>
      <c r="J533" s="481" t="str">
        <v>Germany</v>
      </c>
      <c r="K533" s="481" t="str">
        <v>Netherlands</v>
      </c>
      <c r="L533" s="481" t="str">
        <v>Belgium</v>
      </c>
      <c r="M533" s="481" t="str">
        <v>Spain</v>
      </c>
      <c r="N533" s="481" t="str">
        <v>Iraq</v>
      </c>
      <c r="O533" s="481" t="str">
        <v>Argentina</v>
      </c>
      <c r="P533" s="481" t="str">
        <v>Portugal</v>
      </c>
      <c r="Q533" s="490" t="str">
        <v>England</v>
      </c>
    </row>
    <row r="534" spans="1:17" x14ac:dyDescent="0.2">
      <c r="A534" s="489">
        <v>531</v>
      </c>
      <c r="B534" s="481" t="str">
        <v>Germany</v>
      </c>
      <c r="C534" s="481" t="str">
        <v>England</v>
      </c>
      <c r="D534" s="481" t="str">
        <v>Germany</v>
      </c>
      <c r="E534" s="481" t="str">
        <v>Morocco</v>
      </c>
      <c r="F534" s="481" t="str">
        <v>Korea Republic</v>
      </c>
      <c r="G534" s="481" t="str">
        <v>Switzerland</v>
      </c>
      <c r="H534" s="481" t="str">
        <v>Morocco</v>
      </c>
      <c r="I534" s="481" t="str">
        <v>USA</v>
      </c>
      <c r="J534" s="481" t="str">
        <v>Germany</v>
      </c>
      <c r="K534" s="481" t="str">
        <v>Japan</v>
      </c>
      <c r="L534" s="481" t="str">
        <v>Belgium</v>
      </c>
      <c r="M534" s="481" t="str">
        <v>Saudi Arabia</v>
      </c>
      <c r="N534" s="481" t="str">
        <v>France</v>
      </c>
      <c r="O534" s="481" t="str">
        <v>Argentina</v>
      </c>
      <c r="P534" s="481" t="str">
        <v>Uzbekistan</v>
      </c>
      <c r="Q534" s="490" t="str">
        <v>England</v>
      </c>
    </row>
    <row r="535" spans="1:17" x14ac:dyDescent="0.2">
      <c r="A535" s="489">
        <v>532</v>
      </c>
      <c r="B535" s="481" t="str">
        <v>Japan</v>
      </c>
      <c r="C535" s="481" t="str">
        <v>Colombia</v>
      </c>
      <c r="D535" s="481" t="str">
        <v>Uruguay</v>
      </c>
      <c r="E535" s="481" t="str">
        <v>Argentina</v>
      </c>
      <c r="F535" s="481" t="str">
        <v>Mexico</v>
      </c>
      <c r="G535" s="481" t="str">
        <v>Switzerland</v>
      </c>
      <c r="H535" s="481" t="str">
        <v>Morocco</v>
      </c>
      <c r="I535" s="481" t="str">
        <v>USA</v>
      </c>
      <c r="J535" s="481" t="str">
        <v>Germany</v>
      </c>
      <c r="K535" s="481" t="str">
        <v>Japan</v>
      </c>
      <c r="L535" s="481" t="str">
        <v>Belgium</v>
      </c>
      <c r="M535" s="481" t="str">
        <v>Spain</v>
      </c>
      <c r="N535" s="481" t="str">
        <v>France</v>
      </c>
      <c r="O535" s="481" t="str">
        <v>Argentina</v>
      </c>
      <c r="P535" s="481" t="str">
        <v>Portugal</v>
      </c>
      <c r="Q535" s="490" t="str">
        <v>England</v>
      </c>
    </row>
    <row r="536" spans="1:17" x14ac:dyDescent="0.2">
      <c r="A536" s="489">
        <v>533</v>
      </c>
      <c r="B536" s="481" t="str">
        <v>Argentina</v>
      </c>
      <c r="C536" s="481" t="str">
        <v>Belgium</v>
      </c>
      <c r="D536" s="481" t="str">
        <v>Netherlands</v>
      </c>
      <c r="E536" s="481" t="str">
        <v>Argentina</v>
      </c>
      <c r="F536" s="481" t="str">
        <v>Korea Republic</v>
      </c>
      <c r="G536" s="481" t="str">
        <v>Canada</v>
      </c>
      <c r="H536" s="481" t="str">
        <v>Morocco</v>
      </c>
      <c r="I536" s="481" t="str">
        <v>USA</v>
      </c>
      <c r="J536" s="481" t="str">
        <v>Germany</v>
      </c>
      <c r="K536" s="481" t="str">
        <v>Japan</v>
      </c>
      <c r="L536" s="481" t="str">
        <v>Belgium</v>
      </c>
      <c r="M536" s="481" t="str">
        <v>Spain</v>
      </c>
      <c r="N536" s="481" t="str">
        <v>France</v>
      </c>
      <c r="O536" s="481" t="str">
        <v>Argentina</v>
      </c>
      <c r="P536" s="481" t="str">
        <v>Colombia</v>
      </c>
      <c r="Q536" s="490" t="str">
        <v>England</v>
      </c>
    </row>
    <row r="537" spans="1:17" x14ac:dyDescent="0.2">
      <c r="A537" s="489">
        <v>534</v>
      </c>
      <c r="B537" s="481" t="str">
        <v>Belgium</v>
      </c>
      <c r="C537" s="481" t="str">
        <v>Brazil</v>
      </c>
      <c r="D537" s="481" t="str">
        <v>Japan</v>
      </c>
      <c r="E537" s="481" t="str">
        <v>Turkiye</v>
      </c>
      <c r="F537" s="481" t="str">
        <v>Korea Republic</v>
      </c>
      <c r="G537" s="481" t="str">
        <v>Canada</v>
      </c>
      <c r="H537" s="481" t="str">
        <v>Brazil</v>
      </c>
      <c r="I537" s="481" t="str">
        <v>USA</v>
      </c>
      <c r="J537" s="481" t="str">
        <v>Germany</v>
      </c>
      <c r="K537" s="481" t="str">
        <v>Netherlands</v>
      </c>
      <c r="L537" s="481" t="str">
        <v>Egypt</v>
      </c>
      <c r="M537" s="481" t="str">
        <v>Spain</v>
      </c>
      <c r="N537" s="481" t="str">
        <v>France</v>
      </c>
      <c r="O537" s="481" t="str">
        <v>Algeria</v>
      </c>
      <c r="P537" s="481" t="str">
        <v>Portugal</v>
      </c>
      <c r="Q537" s="490" t="str">
        <v>England</v>
      </c>
    </row>
    <row r="538" spans="1:17" x14ac:dyDescent="0.2">
      <c r="A538" s="489">
        <v>535</v>
      </c>
      <c r="B538" s="481" t="str">
        <v>France</v>
      </c>
      <c r="C538" s="481" t="str">
        <v>Germany</v>
      </c>
      <c r="D538" s="481" t="str">
        <v>Spain</v>
      </c>
      <c r="E538" s="481" t="str">
        <v>Senegal</v>
      </c>
      <c r="F538" s="481" t="str">
        <v>Mexico</v>
      </c>
      <c r="G538" s="481" t="str">
        <v>Switzerland</v>
      </c>
      <c r="H538" s="481" t="str">
        <v>Morocco</v>
      </c>
      <c r="I538" s="481" t="str">
        <v>USA</v>
      </c>
      <c r="J538" s="481" t="str">
        <v>Germany</v>
      </c>
      <c r="K538" s="481" t="str">
        <v>Sweden</v>
      </c>
      <c r="L538" s="481" t="str">
        <v>Belgium</v>
      </c>
      <c r="M538" s="481" t="str">
        <v>Spain</v>
      </c>
      <c r="N538" s="481" t="str">
        <v>France</v>
      </c>
      <c r="O538" s="481" t="str">
        <v>Argentina</v>
      </c>
      <c r="P538" s="481" t="str">
        <v>Portugal</v>
      </c>
      <c r="Q538" s="490" t="str">
        <v>Croatia</v>
      </c>
    </row>
    <row r="539" spans="1:17" x14ac:dyDescent="0.2">
      <c r="A539" s="489">
        <v>536</v>
      </c>
      <c r="B539" s="481" t="str">
        <v>Brazil</v>
      </c>
      <c r="C539" s="481" t="str">
        <v>Croatia</v>
      </c>
      <c r="D539" s="481" t="str">
        <v>Argentina</v>
      </c>
      <c r="E539" s="481" t="str">
        <v>Uruguay</v>
      </c>
      <c r="F539" s="481" t="str">
        <v>Mexico</v>
      </c>
      <c r="G539" s="481" t="str">
        <v>Qatar</v>
      </c>
      <c r="H539" s="481" t="str">
        <v>Brazil</v>
      </c>
      <c r="I539" s="481" t="str">
        <v>USA</v>
      </c>
      <c r="J539" s="481" t="str">
        <v>Germany</v>
      </c>
      <c r="K539" s="481" t="str">
        <v>Sweden</v>
      </c>
      <c r="L539" s="481" t="str">
        <v>Belgium</v>
      </c>
      <c r="M539" s="481" t="str">
        <v>Spain</v>
      </c>
      <c r="N539" s="481" t="str">
        <v>Norway</v>
      </c>
      <c r="O539" s="481" t="str">
        <v>Argentina</v>
      </c>
      <c r="P539" s="481" t="str">
        <v>Portugal</v>
      </c>
      <c r="Q539" s="490" t="str">
        <v>Croatia</v>
      </c>
    </row>
    <row r="540" spans="1:17" x14ac:dyDescent="0.2">
      <c r="A540" s="489">
        <v>537</v>
      </c>
      <c r="B540" s="481" t="str">
        <v>England</v>
      </c>
      <c r="C540" s="481" t="str">
        <v>Spain</v>
      </c>
      <c r="D540" s="481" t="str">
        <v>England</v>
      </c>
      <c r="E540" s="481" t="str">
        <v>Senegal</v>
      </c>
      <c r="F540" s="481" t="str">
        <v>Mexico</v>
      </c>
      <c r="G540" s="481" t="str">
        <v>Qatar</v>
      </c>
      <c r="H540" s="481" t="str">
        <v>Morocco</v>
      </c>
      <c r="I540" s="481" t="str">
        <v>USA</v>
      </c>
      <c r="J540" s="481" t="str">
        <v>Germany</v>
      </c>
      <c r="K540" s="481" t="str">
        <v>Netherlands</v>
      </c>
      <c r="L540" s="481" t="str">
        <v>IR Iran</v>
      </c>
      <c r="M540" s="481" t="str">
        <v>Spain</v>
      </c>
      <c r="N540" s="481" t="str">
        <v>Senegal</v>
      </c>
      <c r="O540" s="481" t="str">
        <v>Argentina</v>
      </c>
      <c r="P540" s="481" t="str">
        <v>Portugal</v>
      </c>
      <c r="Q540" s="490" t="str">
        <v>England</v>
      </c>
    </row>
    <row r="541" spans="1:17" x14ac:dyDescent="0.2">
      <c r="A541" s="489">
        <v>538</v>
      </c>
      <c r="B541" s="481" t="str">
        <v>Portugal</v>
      </c>
      <c r="C541" s="481" t="str">
        <v>Mexico</v>
      </c>
      <c r="D541" s="481" t="str">
        <v>Mexico</v>
      </c>
      <c r="E541" s="481" t="str">
        <v>Egypt</v>
      </c>
      <c r="F541" s="481" t="str">
        <v>Mexico</v>
      </c>
      <c r="G541" s="481" t="str">
        <v>Canada</v>
      </c>
      <c r="H541" s="481" t="str">
        <v>Morocco</v>
      </c>
      <c r="I541" s="481" t="str">
        <v>USA</v>
      </c>
      <c r="J541" s="481" t="str">
        <v>Cote d'Ivorie</v>
      </c>
      <c r="K541" s="481" t="str">
        <v>Netherlands</v>
      </c>
      <c r="L541" s="481" t="str">
        <v>Egypt</v>
      </c>
      <c r="M541" s="481" t="str">
        <v>Spain</v>
      </c>
      <c r="N541" s="481" t="str">
        <v>France</v>
      </c>
      <c r="O541" s="481" t="str">
        <v>Argentina</v>
      </c>
      <c r="P541" s="481" t="str">
        <v>Portugal</v>
      </c>
      <c r="Q541" s="490" t="str">
        <v>Croatia</v>
      </c>
    </row>
    <row r="542" spans="1:17" x14ac:dyDescent="0.2">
      <c r="A542" s="489">
        <v>539</v>
      </c>
      <c r="B542" s="481" t="str">
        <v>Portugal</v>
      </c>
      <c r="C542" s="481" t="str">
        <v>USA</v>
      </c>
      <c r="D542" s="481" t="str">
        <v>Ecuador</v>
      </c>
      <c r="E542" s="481" t="str">
        <v>Australia</v>
      </c>
      <c r="F542" s="481" t="str">
        <v>Korea Republic</v>
      </c>
      <c r="G542" s="481" t="str">
        <v>Canada</v>
      </c>
      <c r="H542" s="481" t="str">
        <v>Morocco</v>
      </c>
      <c r="I542" s="481" t="str">
        <v>Australia</v>
      </c>
      <c r="J542" s="481" t="str">
        <v>Germany</v>
      </c>
      <c r="K542" s="481" t="str">
        <v>Japan</v>
      </c>
      <c r="L542" s="481" t="str">
        <v>Belgium</v>
      </c>
      <c r="M542" s="481" t="str">
        <v>Spain</v>
      </c>
      <c r="N542" s="481" t="str">
        <v>Senegal</v>
      </c>
      <c r="O542" s="481" t="str">
        <v>Argentina</v>
      </c>
      <c r="P542" s="481" t="str">
        <v>Portugal</v>
      </c>
      <c r="Q542" s="490" t="str">
        <v>England</v>
      </c>
    </row>
    <row r="543" spans="1:17" x14ac:dyDescent="0.2">
      <c r="A543" s="489">
        <v>540</v>
      </c>
      <c r="B543" s="481" t="str">
        <v>England</v>
      </c>
      <c r="C543" s="481" t="str">
        <v>England</v>
      </c>
      <c r="D543" s="481" t="str">
        <v>Morocco</v>
      </c>
      <c r="E543" s="481" t="str">
        <v>Uruguay</v>
      </c>
      <c r="F543" s="481" t="str">
        <v>Mexico</v>
      </c>
      <c r="G543" s="481" t="str">
        <v>Switzerland</v>
      </c>
      <c r="H543" s="481" t="str">
        <v>Morocco</v>
      </c>
      <c r="I543" s="481" t="str">
        <v>Australia</v>
      </c>
      <c r="J543" s="481" t="str">
        <v>Ecuador</v>
      </c>
      <c r="K543" s="481" t="str">
        <v>Sweden</v>
      </c>
      <c r="L543" s="481" t="str">
        <v>Belgium</v>
      </c>
      <c r="M543" s="481" t="str">
        <v>Spain</v>
      </c>
      <c r="N543" s="481" t="str">
        <v>Senegal</v>
      </c>
      <c r="O543" s="481" t="str">
        <v>Austria</v>
      </c>
      <c r="P543" s="481" t="str">
        <v>Colombia</v>
      </c>
      <c r="Q543" s="490" t="str">
        <v>England</v>
      </c>
    </row>
    <row r="544" spans="1:17" x14ac:dyDescent="0.2">
      <c r="A544" s="489">
        <v>541</v>
      </c>
      <c r="B544" s="481" t="str">
        <v>Spain</v>
      </c>
      <c r="C544" s="481" t="str">
        <v>Brazil</v>
      </c>
      <c r="D544" s="481" t="str">
        <v>Netherlands</v>
      </c>
      <c r="E544" s="481" t="str">
        <v>France</v>
      </c>
      <c r="F544" s="481" t="str">
        <v>Mexico</v>
      </c>
      <c r="G544" s="481" t="str">
        <v>Qatar</v>
      </c>
      <c r="H544" s="481" t="str">
        <v>Brazil</v>
      </c>
      <c r="I544" s="481" t="str">
        <v>Australia</v>
      </c>
      <c r="J544" s="481" t="str">
        <v>Germany</v>
      </c>
      <c r="K544" s="481" t="str">
        <v>Japan</v>
      </c>
      <c r="L544" s="481" t="str">
        <v>Egypt</v>
      </c>
      <c r="M544" s="481" t="str">
        <v>Spain</v>
      </c>
      <c r="N544" s="481" t="str">
        <v>France</v>
      </c>
      <c r="O544" s="481" t="str">
        <v>Algeria</v>
      </c>
      <c r="P544" s="481" t="str">
        <v>Portugal</v>
      </c>
      <c r="Q544" s="490" t="str">
        <v>England</v>
      </c>
    </row>
    <row r="545" spans="1:17" x14ac:dyDescent="0.2">
      <c r="A545" s="489">
        <v>542</v>
      </c>
      <c r="B545" s="481" t="str">
        <v>Portugal</v>
      </c>
      <c r="C545" s="481" t="str">
        <v>Netherlands</v>
      </c>
      <c r="D545" s="481" t="str">
        <v>Netherlands</v>
      </c>
      <c r="E545" s="481" t="str">
        <v>Colombia</v>
      </c>
      <c r="F545" s="481" t="str">
        <v>Mexico</v>
      </c>
      <c r="G545" s="481" t="str">
        <v>Canada</v>
      </c>
      <c r="H545" s="481" t="str">
        <v>Brazil</v>
      </c>
      <c r="I545" s="481" t="str">
        <v>USA</v>
      </c>
      <c r="J545" s="481" t="str">
        <v>Germany</v>
      </c>
      <c r="K545" s="481" t="str">
        <v>Japan</v>
      </c>
      <c r="L545" s="481" t="str">
        <v>Belgium</v>
      </c>
      <c r="M545" s="481" t="str">
        <v>Spain</v>
      </c>
      <c r="N545" s="481" t="str">
        <v>France</v>
      </c>
      <c r="O545" s="481" t="str">
        <v>Argentina</v>
      </c>
      <c r="P545" s="481" t="str">
        <v>Portugal</v>
      </c>
      <c r="Q545" s="490" t="str">
        <v>England</v>
      </c>
    </row>
    <row r="546" spans="1:17" x14ac:dyDescent="0.2">
      <c r="A546" s="489">
        <v>543</v>
      </c>
      <c r="B546" s="481" t="str">
        <v>France</v>
      </c>
      <c r="C546" s="481" t="str">
        <v>Brazil</v>
      </c>
      <c r="D546" s="481" t="str">
        <v>Morocco</v>
      </c>
      <c r="E546" s="481" t="str">
        <v>Canada</v>
      </c>
      <c r="F546" s="481" t="str">
        <v>Korea Republic</v>
      </c>
      <c r="G546" s="481" t="str">
        <v>Canada</v>
      </c>
      <c r="H546" s="481" t="str">
        <v>Brazil</v>
      </c>
      <c r="I546" s="481" t="str">
        <v>USA</v>
      </c>
      <c r="J546" s="481" t="str">
        <v>Ecuador</v>
      </c>
      <c r="K546" s="481" t="str">
        <v>Japan</v>
      </c>
      <c r="L546" s="481" t="str">
        <v>Egypt</v>
      </c>
      <c r="M546" s="481" t="str">
        <v>Spain</v>
      </c>
      <c r="N546" s="481" t="str">
        <v>France</v>
      </c>
      <c r="O546" s="481" t="str">
        <v>Argentina</v>
      </c>
      <c r="P546" s="481" t="str">
        <v>Portugal</v>
      </c>
      <c r="Q546" s="490" t="str">
        <v>Croatia</v>
      </c>
    </row>
    <row r="547" spans="1:17" x14ac:dyDescent="0.2">
      <c r="A547" s="489">
        <v>544</v>
      </c>
      <c r="B547" s="481" t="str">
        <v>Brazil</v>
      </c>
      <c r="C547" s="481" t="str">
        <v>England</v>
      </c>
      <c r="D547" s="481" t="str">
        <v>Spain</v>
      </c>
      <c r="E547" s="481" t="str">
        <v>Argentina</v>
      </c>
      <c r="F547" s="481" t="str">
        <v>Mexico</v>
      </c>
      <c r="G547" s="481" t="str">
        <v>Switzerland</v>
      </c>
      <c r="H547" s="481" t="str">
        <v>Morocco</v>
      </c>
      <c r="I547" s="481" t="str">
        <v>USA</v>
      </c>
      <c r="J547" s="481" t="str">
        <v>Germany</v>
      </c>
      <c r="K547" s="481" t="str">
        <v>Netherlands</v>
      </c>
      <c r="L547" s="481" t="str">
        <v>IR Iran</v>
      </c>
      <c r="M547" s="481" t="str">
        <v>Uruguay</v>
      </c>
      <c r="N547" s="481" t="str">
        <v>Norway</v>
      </c>
      <c r="O547" s="481" t="str">
        <v>Argentina</v>
      </c>
      <c r="P547" s="481" t="str">
        <v>Colombia</v>
      </c>
      <c r="Q547" s="490" t="str">
        <v>Croatia</v>
      </c>
    </row>
    <row r="548" spans="1:17" x14ac:dyDescent="0.2">
      <c r="A548" s="489">
        <v>545</v>
      </c>
      <c r="B548" s="481" t="str">
        <v>Portugal</v>
      </c>
      <c r="C548" s="481" t="str">
        <v>Brazil</v>
      </c>
      <c r="D548" s="481" t="str">
        <v>Portugal</v>
      </c>
      <c r="E548" s="481" t="str">
        <v>USA</v>
      </c>
      <c r="F548" s="481" t="str">
        <v>Mexico</v>
      </c>
      <c r="G548" s="481" t="str">
        <v>Qatar</v>
      </c>
      <c r="H548" s="481" t="str">
        <v>Morocco</v>
      </c>
      <c r="I548" s="481" t="str">
        <v>USA</v>
      </c>
      <c r="J548" s="481" t="str">
        <v>Germany</v>
      </c>
      <c r="K548" s="481" t="str">
        <v>Sweden</v>
      </c>
      <c r="L548" s="481" t="str">
        <v>Egypt</v>
      </c>
      <c r="M548" s="481" t="str">
        <v>Spain</v>
      </c>
      <c r="N548" s="481" t="str">
        <v>France</v>
      </c>
      <c r="O548" s="481" t="str">
        <v>Austria</v>
      </c>
      <c r="P548" s="481" t="str">
        <v>Colombia</v>
      </c>
      <c r="Q548" s="490" t="str">
        <v>Panama</v>
      </c>
    </row>
    <row r="549" spans="1:17" x14ac:dyDescent="0.2">
      <c r="A549" s="489">
        <v>546</v>
      </c>
      <c r="B549" s="481" t="str">
        <v>Spain</v>
      </c>
      <c r="C549" s="481" t="str">
        <v>USA</v>
      </c>
      <c r="D549" s="481" t="str">
        <v>Germany</v>
      </c>
      <c r="E549" s="481" t="str">
        <v>Canada</v>
      </c>
      <c r="F549" s="481" t="str">
        <v>Mexico</v>
      </c>
      <c r="G549" s="481" t="str">
        <v>Switzerland</v>
      </c>
      <c r="H549" s="481" t="str">
        <v>Morocco</v>
      </c>
      <c r="I549" s="481" t="str">
        <v>USA</v>
      </c>
      <c r="J549" s="481" t="str">
        <v>Germany</v>
      </c>
      <c r="K549" s="481" t="str">
        <v>Japan</v>
      </c>
      <c r="L549" s="481" t="str">
        <v>Belgium</v>
      </c>
      <c r="M549" s="481" t="str">
        <v>Spain</v>
      </c>
      <c r="N549" s="481" t="str">
        <v>France</v>
      </c>
      <c r="O549" s="481" t="str">
        <v>Argentina</v>
      </c>
      <c r="P549" s="481" t="str">
        <v>Portugal</v>
      </c>
      <c r="Q549" s="490" t="str">
        <v>Croatia</v>
      </c>
    </row>
    <row r="550" spans="1:17" x14ac:dyDescent="0.2">
      <c r="A550" s="489">
        <v>547</v>
      </c>
      <c r="B550" s="481" t="str">
        <v>Colombia</v>
      </c>
      <c r="C550" s="481" t="str">
        <v>Belgium</v>
      </c>
      <c r="D550" s="481" t="str">
        <v>Mexico</v>
      </c>
      <c r="E550" s="481" t="str">
        <v>Morocco</v>
      </c>
      <c r="F550" s="481" t="str">
        <v>Mexico</v>
      </c>
      <c r="G550" s="481" t="str">
        <v>Bosnia-Herzegovina</v>
      </c>
      <c r="H550" s="481" t="str">
        <v>Morocco</v>
      </c>
      <c r="I550" s="481" t="str">
        <v>USA</v>
      </c>
      <c r="J550" s="481" t="str">
        <v>Ecuador</v>
      </c>
      <c r="K550" s="481" t="str">
        <v>Japan</v>
      </c>
      <c r="L550" s="481" t="str">
        <v>Belgium</v>
      </c>
      <c r="M550" s="481" t="str">
        <v>Spain</v>
      </c>
      <c r="N550" s="481" t="str">
        <v>France</v>
      </c>
      <c r="O550" s="481" t="str">
        <v>Argentina</v>
      </c>
      <c r="P550" s="481" t="str">
        <v>Portugal</v>
      </c>
      <c r="Q550" s="490" t="str">
        <v>England</v>
      </c>
    </row>
    <row r="551" spans="1:17" x14ac:dyDescent="0.2">
      <c r="A551" s="489">
        <v>548</v>
      </c>
      <c r="B551" s="481" t="str">
        <v>England</v>
      </c>
      <c r="C551" s="481" t="str">
        <v>Germany</v>
      </c>
      <c r="D551" s="481" t="str">
        <v>Portugal</v>
      </c>
      <c r="E551" s="481" t="str">
        <v>Egypt</v>
      </c>
      <c r="F551" s="481" t="str">
        <v>Mexico</v>
      </c>
      <c r="G551" s="481" t="str">
        <v>Canada</v>
      </c>
      <c r="H551" s="481" t="str">
        <v>Scotland</v>
      </c>
      <c r="I551" s="481" t="str">
        <v>Australia</v>
      </c>
      <c r="J551" s="481" t="str">
        <v>Germany</v>
      </c>
      <c r="K551" s="481" t="str">
        <v>Tunisia</v>
      </c>
      <c r="L551" s="481" t="str">
        <v>IR Iran</v>
      </c>
      <c r="M551" s="481" t="str">
        <v>Cabo Verde</v>
      </c>
      <c r="N551" s="481" t="str">
        <v>Senegal</v>
      </c>
      <c r="O551" s="481" t="str">
        <v>Austria</v>
      </c>
      <c r="P551" s="481" t="str">
        <v>Portugal</v>
      </c>
      <c r="Q551" s="490" t="str">
        <v>England</v>
      </c>
    </row>
    <row r="552" spans="1:17" x14ac:dyDescent="0.2">
      <c r="A552" s="489">
        <v>549</v>
      </c>
      <c r="B552" s="481" t="str">
        <v>Belgium</v>
      </c>
      <c r="C552" s="481" t="str">
        <v>Belgium</v>
      </c>
      <c r="D552" s="481" t="str">
        <v>Senegal</v>
      </c>
      <c r="E552" s="481" t="str">
        <v>Mexico</v>
      </c>
      <c r="F552" s="481" t="str">
        <v>Mexico</v>
      </c>
      <c r="G552" s="481" t="str">
        <v>Bosnia-Herzegovina</v>
      </c>
      <c r="H552" s="481" t="str">
        <v>Morocco</v>
      </c>
      <c r="I552" s="481" t="str">
        <v>USA</v>
      </c>
      <c r="J552" s="481" t="str">
        <v>Germany</v>
      </c>
      <c r="K552" s="481" t="str">
        <v>Netherlands</v>
      </c>
      <c r="L552" s="481" t="str">
        <v>IR Iran</v>
      </c>
      <c r="M552" s="481" t="str">
        <v>Spain</v>
      </c>
      <c r="N552" s="481" t="str">
        <v>France</v>
      </c>
      <c r="O552" s="481" t="str">
        <v>Argentina</v>
      </c>
      <c r="P552" s="481" t="str">
        <v>Portugal</v>
      </c>
      <c r="Q552" s="490" t="str">
        <v>England</v>
      </c>
    </row>
    <row r="553" spans="1:17" x14ac:dyDescent="0.2">
      <c r="A553" s="489">
        <v>550</v>
      </c>
      <c r="B553" s="481" t="str">
        <v>Portugal</v>
      </c>
      <c r="C553" s="481" t="str">
        <v>Spain</v>
      </c>
      <c r="D553" s="481" t="str">
        <v>France</v>
      </c>
      <c r="E553" s="481" t="str">
        <v>USA</v>
      </c>
      <c r="F553" s="481" t="str">
        <v>Mexico</v>
      </c>
      <c r="G553" s="481" t="str">
        <v>Switzerland</v>
      </c>
      <c r="H553" s="481" t="str">
        <v>Scotland</v>
      </c>
      <c r="I553" s="481" t="str">
        <v>USA</v>
      </c>
      <c r="J553" s="481" t="str">
        <v>Germany</v>
      </c>
      <c r="K553" s="481" t="str">
        <v>Sweden</v>
      </c>
      <c r="L553" s="481" t="str">
        <v>IR Iran</v>
      </c>
      <c r="M553" s="481" t="str">
        <v>Uruguay</v>
      </c>
      <c r="N553" s="481" t="str">
        <v>France</v>
      </c>
      <c r="O553" s="481" t="str">
        <v>Argentina</v>
      </c>
      <c r="P553" s="481" t="str">
        <v>Portugal</v>
      </c>
      <c r="Q553" s="490" t="str">
        <v>England</v>
      </c>
    </row>
    <row r="554" spans="1:17" x14ac:dyDescent="0.2">
      <c r="A554" s="489">
        <v>551</v>
      </c>
      <c r="B554" s="481" t="str">
        <v>England</v>
      </c>
      <c r="C554" s="481" t="str">
        <v>Netherlands</v>
      </c>
      <c r="D554" s="481" t="str">
        <v>Spain</v>
      </c>
      <c r="E554" s="481" t="str">
        <v>Iraq</v>
      </c>
      <c r="F554" s="481" t="str">
        <v>Korea Republic</v>
      </c>
      <c r="G554" s="481" t="str">
        <v>Canada</v>
      </c>
      <c r="H554" s="481" t="str">
        <v>Morocco</v>
      </c>
      <c r="I554" s="481" t="str">
        <v>USA</v>
      </c>
      <c r="J554" s="481" t="str">
        <v>Germany</v>
      </c>
      <c r="K554" s="481" t="str">
        <v>Tunisia</v>
      </c>
      <c r="L554" s="481" t="str">
        <v>Belgium</v>
      </c>
      <c r="M554" s="481" t="str">
        <v>Uruguay</v>
      </c>
      <c r="N554" s="481" t="str">
        <v>France</v>
      </c>
      <c r="O554" s="481" t="str">
        <v>Argentina</v>
      </c>
      <c r="P554" s="481" t="str">
        <v>Colombia</v>
      </c>
      <c r="Q554" s="490" t="str">
        <v>England</v>
      </c>
    </row>
    <row r="555" spans="1:17" x14ac:dyDescent="0.2">
      <c r="A555" s="489">
        <v>552</v>
      </c>
      <c r="B555" s="481" t="str">
        <v>Croatia</v>
      </c>
      <c r="C555" s="481" t="str">
        <v>Brazil</v>
      </c>
      <c r="D555" s="481" t="str">
        <v>Switzerland</v>
      </c>
      <c r="E555" s="481" t="str">
        <v>Scotland</v>
      </c>
      <c r="F555" s="481" t="str">
        <v>Mexico</v>
      </c>
      <c r="G555" s="481" t="str">
        <v>Switzerland</v>
      </c>
      <c r="H555" s="481" t="str">
        <v>Morocco</v>
      </c>
      <c r="I555" s="481" t="str">
        <v>USA</v>
      </c>
      <c r="J555" s="481" t="str">
        <v>Ecuador</v>
      </c>
      <c r="K555" s="481" t="str">
        <v>Netherlands</v>
      </c>
      <c r="L555" s="481" t="str">
        <v>Belgium</v>
      </c>
      <c r="M555" s="481" t="str">
        <v>Spain</v>
      </c>
      <c r="N555" s="481" t="str">
        <v>Senegal</v>
      </c>
      <c r="O555" s="481" t="str">
        <v>Argentina</v>
      </c>
      <c r="P555" s="481" t="str">
        <v>Colombia</v>
      </c>
      <c r="Q555" s="490" t="str">
        <v>England</v>
      </c>
    </row>
    <row r="556" spans="1:17" x14ac:dyDescent="0.2">
      <c r="A556" s="489">
        <v>553</v>
      </c>
      <c r="B556" s="481" t="str">
        <v>England</v>
      </c>
      <c r="C556" s="481" t="str">
        <v>Brazil</v>
      </c>
      <c r="D556" s="481" t="str">
        <v>Morocco</v>
      </c>
      <c r="E556" s="481" t="str">
        <v>Australia</v>
      </c>
      <c r="F556" s="481" t="str">
        <v>Mexico</v>
      </c>
      <c r="G556" s="481" t="str">
        <v>Switzerland</v>
      </c>
      <c r="H556" s="481" t="str">
        <v>Morocco</v>
      </c>
      <c r="I556" s="481" t="str">
        <v>Australia</v>
      </c>
      <c r="J556" s="481" t="str">
        <v>Germany</v>
      </c>
      <c r="K556" s="481" t="str">
        <v>Netherlands</v>
      </c>
      <c r="L556" s="481" t="str">
        <v>Egypt</v>
      </c>
      <c r="M556" s="481" t="str">
        <v>Spain</v>
      </c>
      <c r="N556" s="481" t="str">
        <v>France</v>
      </c>
      <c r="O556" s="481" t="str">
        <v>Austria</v>
      </c>
      <c r="P556" s="481" t="str">
        <v>Portugal</v>
      </c>
      <c r="Q556" s="490" t="str">
        <v>Croatia</v>
      </c>
    </row>
    <row r="557" spans="1:17" x14ac:dyDescent="0.2">
      <c r="A557" s="489">
        <v>554</v>
      </c>
      <c r="B557" s="481" t="str">
        <v>Argentina</v>
      </c>
      <c r="C557" s="481" t="str">
        <v>Australia</v>
      </c>
      <c r="D557" s="481" t="str">
        <v>Norway</v>
      </c>
      <c r="E557" s="481" t="str">
        <v>Uruguay</v>
      </c>
      <c r="F557" s="481" t="str">
        <v>Korea Republic</v>
      </c>
      <c r="G557" s="481" t="str">
        <v>Switzerland</v>
      </c>
      <c r="H557" s="481" t="str">
        <v>Morocco</v>
      </c>
      <c r="I557" s="481" t="str">
        <v>USA</v>
      </c>
      <c r="J557" s="481" t="str">
        <v>Germany</v>
      </c>
      <c r="K557" s="481" t="str">
        <v>Sweden</v>
      </c>
      <c r="L557" s="481" t="str">
        <v>Belgium</v>
      </c>
      <c r="M557" s="481" t="str">
        <v>Uruguay</v>
      </c>
      <c r="N557" s="481" t="str">
        <v>France</v>
      </c>
      <c r="O557" s="481" t="str">
        <v>Argentina</v>
      </c>
      <c r="P557" s="481" t="str">
        <v>Colombia</v>
      </c>
      <c r="Q557" s="490" t="str">
        <v>England</v>
      </c>
    </row>
    <row r="558" spans="1:17" x14ac:dyDescent="0.2">
      <c r="A558" s="489">
        <v>555</v>
      </c>
      <c r="B558" s="481" t="str">
        <v>Croatia</v>
      </c>
      <c r="C558" s="481" t="str">
        <v>Croatia</v>
      </c>
      <c r="D558" s="481" t="str">
        <v>Spain</v>
      </c>
      <c r="E558" s="481" t="str">
        <v>Australia</v>
      </c>
      <c r="F558" s="481" t="str">
        <v>Korea Republic</v>
      </c>
      <c r="G558" s="481" t="str">
        <v>Switzerland</v>
      </c>
      <c r="H558" s="481" t="str">
        <v>Scotland</v>
      </c>
      <c r="I558" s="481" t="str">
        <v>USA</v>
      </c>
      <c r="J558" s="481" t="str">
        <v>Ecuador</v>
      </c>
      <c r="K558" s="481" t="str">
        <v>Japan</v>
      </c>
      <c r="L558" s="481" t="str">
        <v>Belgium</v>
      </c>
      <c r="M558" s="481" t="str">
        <v>Saudi Arabia</v>
      </c>
      <c r="N558" s="481" t="str">
        <v>France</v>
      </c>
      <c r="O558" s="481" t="str">
        <v>Argentina</v>
      </c>
      <c r="P558" s="481" t="str">
        <v>Uzbekistan</v>
      </c>
      <c r="Q558" s="490" t="str">
        <v>England</v>
      </c>
    </row>
    <row r="559" spans="1:17" x14ac:dyDescent="0.2">
      <c r="A559" s="489">
        <v>556</v>
      </c>
      <c r="B559" s="481" t="str">
        <v>England</v>
      </c>
      <c r="C559" s="481" t="str">
        <v>Colombia</v>
      </c>
      <c r="D559" s="481" t="str">
        <v>Belgium</v>
      </c>
      <c r="E559" s="481" t="str">
        <v>Australia</v>
      </c>
      <c r="F559" s="481" t="str">
        <v>Mexico</v>
      </c>
      <c r="G559" s="481" t="str">
        <v>Switzerland</v>
      </c>
      <c r="H559" s="481" t="str">
        <v>Brazil</v>
      </c>
      <c r="I559" s="481" t="str">
        <v>Australia</v>
      </c>
      <c r="J559" s="481" t="str">
        <v>Germany</v>
      </c>
      <c r="K559" s="481" t="str">
        <v>Netherlands</v>
      </c>
      <c r="L559" s="481" t="str">
        <v>Belgium</v>
      </c>
      <c r="M559" s="481" t="str">
        <v>Spain</v>
      </c>
      <c r="N559" s="481" t="str">
        <v>France</v>
      </c>
      <c r="O559" s="481" t="str">
        <v>Austria</v>
      </c>
      <c r="P559" s="481" t="str">
        <v>Colombia</v>
      </c>
      <c r="Q559" s="490" t="str">
        <v>England</v>
      </c>
    </row>
    <row r="560" spans="1:17" x14ac:dyDescent="0.2">
      <c r="A560" s="489">
        <v>557</v>
      </c>
      <c r="B560" s="481" t="str">
        <v>Brazil</v>
      </c>
      <c r="C560" s="481" t="str">
        <v>Spain</v>
      </c>
      <c r="D560" s="481" t="str">
        <v>USA</v>
      </c>
      <c r="E560" s="481" t="str">
        <v>Uruguay</v>
      </c>
      <c r="F560" s="481" t="str">
        <v>Korea Republic</v>
      </c>
      <c r="G560" s="481" t="str">
        <v>Switzerland</v>
      </c>
      <c r="H560" s="481" t="str">
        <v>Brazil</v>
      </c>
      <c r="I560" s="481" t="str">
        <v>Paraguay</v>
      </c>
      <c r="J560" s="481" t="str">
        <v>Germany</v>
      </c>
      <c r="K560" s="481" t="str">
        <v>Japan</v>
      </c>
      <c r="L560" s="481" t="str">
        <v>Belgium</v>
      </c>
      <c r="M560" s="481" t="str">
        <v>Uruguay</v>
      </c>
      <c r="N560" s="481" t="str">
        <v>Norway</v>
      </c>
      <c r="O560" s="481" t="str">
        <v>Argentina</v>
      </c>
      <c r="P560" s="481" t="str">
        <v>Colombia</v>
      </c>
      <c r="Q560" s="490" t="str">
        <v>Ghana</v>
      </c>
    </row>
    <row r="561" spans="1:17" x14ac:dyDescent="0.2">
      <c r="A561" s="489">
        <v>558</v>
      </c>
      <c r="B561" s="481" t="str">
        <v>France</v>
      </c>
      <c r="C561" s="481" t="str">
        <v>Netherlands</v>
      </c>
      <c r="D561" s="481" t="str">
        <v>Senegal</v>
      </c>
      <c r="E561" s="481" t="str">
        <v>Belgium</v>
      </c>
      <c r="F561" s="481" t="str">
        <v>Mexico</v>
      </c>
      <c r="G561" s="481" t="str">
        <v>Switzerland</v>
      </c>
      <c r="H561" s="481" t="str">
        <v>Brazil</v>
      </c>
      <c r="I561" s="481" t="str">
        <v>Australia</v>
      </c>
      <c r="J561" s="481" t="str">
        <v>Ecuador</v>
      </c>
      <c r="K561" s="481" t="str">
        <v>Sweden</v>
      </c>
      <c r="L561" s="481" t="str">
        <v>Belgium</v>
      </c>
      <c r="M561" s="481" t="str">
        <v>Spain</v>
      </c>
      <c r="N561" s="481" t="str">
        <v>France</v>
      </c>
      <c r="O561" s="481" t="str">
        <v>Argentina</v>
      </c>
      <c r="P561" s="481" t="str">
        <v>Colombia</v>
      </c>
      <c r="Q561" s="490" t="str">
        <v>England</v>
      </c>
    </row>
    <row r="562" spans="1:17" x14ac:dyDescent="0.2">
      <c r="A562" s="489">
        <v>559</v>
      </c>
      <c r="B562" s="481" t="str">
        <v>England</v>
      </c>
      <c r="C562" s="481" t="str">
        <v>Germany</v>
      </c>
      <c r="D562" s="481" t="str">
        <v>Spain</v>
      </c>
      <c r="E562" s="481" t="str">
        <v>Senegal</v>
      </c>
      <c r="F562" s="481" t="str">
        <v>Korea Republic</v>
      </c>
      <c r="G562" s="481" t="str">
        <v>Bosnia-Herzegovina</v>
      </c>
      <c r="H562" s="481" t="str">
        <v>Brazil</v>
      </c>
      <c r="I562" s="481" t="str">
        <v>Australia</v>
      </c>
      <c r="J562" s="481" t="str">
        <v>Germany</v>
      </c>
      <c r="K562" s="481" t="str">
        <v>Japan</v>
      </c>
      <c r="L562" s="481" t="str">
        <v>IR Iran</v>
      </c>
      <c r="M562" s="481" t="str">
        <v>Spain</v>
      </c>
      <c r="N562" s="481" t="str">
        <v>France</v>
      </c>
      <c r="O562" s="481" t="str">
        <v>Argentina</v>
      </c>
      <c r="P562" s="481" t="str">
        <v>Portugal</v>
      </c>
      <c r="Q562" s="490" t="str">
        <v>England</v>
      </c>
    </row>
    <row r="563" spans="1:17" x14ac:dyDescent="0.2">
      <c r="A563" s="489">
        <v>560</v>
      </c>
      <c r="B563" s="481" t="str">
        <v>Mexico</v>
      </c>
      <c r="C563" s="481" t="str">
        <v>Spain</v>
      </c>
      <c r="D563" s="481" t="str">
        <v>Mexico</v>
      </c>
      <c r="E563" s="481" t="str">
        <v>Netherlands</v>
      </c>
      <c r="F563" s="481" t="str">
        <v>Czechia</v>
      </c>
      <c r="G563" s="481" t="str">
        <v>Switzerland</v>
      </c>
      <c r="H563" s="481" t="str">
        <v>Morocco</v>
      </c>
      <c r="I563" s="481" t="str">
        <v>Australia</v>
      </c>
      <c r="J563" s="481" t="str">
        <v>Germany</v>
      </c>
      <c r="K563" s="481" t="str">
        <v>Japan</v>
      </c>
      <c r="L563" s="481" t="str">
        <v>Belgium</v>
      </c>
      <c r="M563" s="481" t="str">
        <v>Uruguay</v>
      </c>
      <c r="N563" s="481" t="str">
        <v>Senegal</v>
      </c>
      <c r="O563" s="481" t="str">
        <v>Argentina</v>
      </c>
      <c r="P563" s="481" t="str">
        <v>Colombia</v>
      </c>
      <c r="Q563" s="490" t="str">
        <v>Croatia</v>
      </c>
    </row>
    <row r="564" spans="1:17" x14ac:dyDescent="0.2">
      <c r="A564" s="489">
        <v>561</v>
      </c>
      <c r="B564" s="481" t="str">
        <v>France</v>
      </c>
      <c r="C564" s="481" t="str">
        <v>England</v>
      </c>
      <c r="D564" s="481" t="str">
        <v>Colombia</v>
      </c>
      <c r="E564" s="481" t="str">
        <v>Austria</v>
      </c>
      <c r="F564" s="481" t="str">
        <v>Korea Republic</v>
      </c>
      <c r="G564" s="481" t="str">
        <v>Switzerland</v>
      </c>
      <c r="H564" s="481" t="str">
        <v>Brazil</v>
      </c>
      <c r="I564" s="481" t="str">
        <v>USA</v>
      </c>
      <c r="J564" s="481" t="str">
        <v>Ecuador</v>
      </c>
      <c r="K564" s="481" t="str">
        <v>Japan</v>
      </c>
      <c r="L564" s="481" t="str">
        <v>IR Iran</v>
      </c>
      <c r="M564" s="481" t="str">
        <v>Uruguay</v>
      </c>
      <c r="N564" s="481" t="str">
        <v>France</v>
      </c>
      <c r="O564" s="481" t="str">
        <v>Argentina</v>
      </c>
      <c r="P564" s="481" t="str">
        <v>Colombia</v>
      </c>
      <c r="Q564" s="490" t="str">
        <v>England</v>
      </c>
    </row>
    <row r="565" spans="1:17" x14ac:dyDescent="0.2">
      <c r="A565" s="489">
        <v>562</v>
      </c>
      <c r="B565" s="481" t="str">
        <v>England</v>
      </c>
      <c r="C565" s="481" t="str">
        <v>Brazil</v>
      </c>
      <c r="D565" s="481" t="str">
        <v>Morocco</v>
      </c>
      <c r="E565" s="481" t="str">
        <v>Australia</v>
      </c>
      <c r="F565" s="481" t="str">
        <v>Korea Republic</v>
      </c>
      <c r="G565" s="481" t="str">
        <v>Switzerland</v>
      </c>
      <c r="H565" s="481" t="str">
        <v>Brazil</v>
      </c>
      <c r="I565" s="481" t="str">
        <v>Australia</v>
      </c>
      <c r="J565" s="481" t="str">
        <v>Germany</v>
      </c>
      <c r="K565" s="481" t="str">
        <v>Japan</v>
      </c>
      <c r="L565" s="481" t="str">
        <v>Egypt</v>
      </c>
      <c r="M565" s="481" t="str">
        <v>Uruguay</v>
      </c>
      <c r="N565" s="481" t="str">
        <v>France</v>
      </c>
      <c r="O565" s="481" t="str">
        <v>Argentina</v>
      </c>
      <c r="P565" s="481" t="str">
        <v>Portugal</v>
      </c>
      <c r="Q565" s="490" t="str">
        <v>England</v>
      </c>
    </row>
    <row r="566" spans="1:17" x14ac:dyDescent="0.2">
      <c r="A566" s="489">
        <v>563</v>
      </c>
      <c r="B566" s="481" t="str">
        <v>Argentina</v>
      </c>
      <c r="C566" s="481" t="str">
        <v>Argentina</v>
      </c>
      <c r="D566" s="481" t="str">
        <v>Netherlands</v>
      </c>
      <c r="E566" s="481" t="str">
        <v>Morocco</v>
      </c>
      <c r="F566" s="481" t="str">
        <v>Korea Republic</v>
      </c>
      <c r="G566" s="481" t="str">
        <v>Switzerland</v>
      </c>
      <c r="H566" s="481" t="str">
        <v>Brazil</v>
      </c>
      <c r="I566" s="481" t="str">
        <v>USA</v>
      </c>
      <c r="J566" s="481" t="str">
        <v>Germany</v>
      </c>
      <c r="K566" s="481" t="str">
        <v>Netherlands</v>
      </c>
      <c r="L566" s="481" t="str">
        <v>Egypt</v>
      </c>
      <c r="M566" s="481" t="str">
        <v>Spain</v>
      </c>
      <c r="N566" s="481" t="str">
        <v>France</v>
      </c>
      <c r="O566" s="481" t="str">
        <v>Algeria</v>
      </c>
      <c r="P566" s="481" t="str">
        <v>Colombia</v>
      </c>
      <c r="Q566" s="490" t="str">
        <v>Croatia</v>
      </c>
    </row>
    <row r="567" spans="1:17" x14ac:dyDescent="0.2">
      <c r="A567" s="489">
        <v>564</v>
      </c>
      <c r="B567" s="481" t="str">
        <v>Mexico</v>
      </c>
      <c r="C567" s="481" t="str">
        <v>Senegal</v>
      </c>
      <c r="D567" s="481" t="str">
        <v>Senegal</v>
      </c>
      <c r="E567" s="481" t="str">
        <v>France</v>
      </c>
      <c r="F567" s="481" t="str">
        <v>Mexico</v>
      </c>
      <c r="G567" s="481" t="str">
        <v>Switzerland</v>
      </c>
      <c r="H567" s="481" t="str">
        <v>Brazil</v>
      </c>
      <c r="I567" s="481" t="str">
        <v>Turkiye</v>
      </c>
      <c r="J567" s="481" t="str">
        <v>Germany</v>
      </c>
      <c r="K567" s="481" t="str">
        <v>Sweden</v>
      </c>
      <c r="L567" s="481" t="str">
        <v>Belgium</v>
      </c>
      <c r="M567" s="481" t="str">
        <v>Spain</v>
      </c>
      <c r="N567" s="481" t="str">
        <v>France</v>
      </c>
      <c r="O567" s="481" t="str">
        <v>Argentina</v>
      </c>
      <c r="P567" s="481" t="str">
        <v>Colombia</v>
      </c>
      <c r="Q567" s="490" t="str">
        <v>England</v>
      </c>
    </row>
    <row r="568" spans="1:17" x14ac:dyDescent="0.2">
      <c r="A568" s="489">
        <v>565</v>
      </c>
      <c r="B568" s="481" t="str">
        <v>France</v>
      </c>
      <c r="C568" s="481" t="str">
        <v>Germany</v>
      </c>
      <c r="D568" s="481" t="str">
        <v>Mexico</v>
      </c>
      <c r="E568" s="481" t="str">
        <v>Austria</v>
      </c>
      <c r="F568" s="481" t="str">
        <v>Korea Republic</v>
      </c>
      <c r="G568" s="481" t="str">
        <v>Switzerland</v>
      </c>
      <c r="H568" s="481" t="str">
        <v>Brazil</v>
      </c>
      <c r="I568" s="481" t="str">
        <v>USA</v>
      </c>
      <c r="J568" s="481" t="str">
        <v>Germany</v>
      </c>
      <c r="K568" s="481" t="str">
        <v>Netherlands</v>
      </c>
      <c r="L568" s="481" t="str">
        <v>Belgium</v>
      </c>
      <c r="M568" s="481" t="str">
        <v>Spain</v>
      </c>
      <c r="N568" s="481" t="str">
        <v>France</v>
      </c>
      <c r="O568" s="481" t="str">
        <v>Austria</v>
      </c>
      <c r="P568" s="481" t="str">
        <v>Colombia</v>
      </c>
      <c r="Q568" s="490" t="str">
        <v>Panama</v>
      </c>
    </row>
    <row r="569" spans="1:17" x14ac:dyDescent="0.2">
      <c r="A569" s="489">
        <v>566</v>
      </c>
      <c r="B569" s="481" t="str">
        <v>Spain</v>
      </c>
      <c r="C569" s="481" t="str">
        <v>Belgium</v>
      </c>
      <c r="D569" s="481" t="str">
        <v>Spain</v>
      </c>
      <c r="E569" s="481" t="str">
        <v>Senegal</v>
      </c>
      <c r="F569" s="481" t="str">
        <v>Korea Republic</v>
      </c>
      <c r="G569" s="481" t="str">
        <v>Switzerland</v>
      </c>
      <c r="H569" s="481" t="str">
        <v>Brazil</v>
      </c>
      <c r="I569" s="481" t="str">
        <v>USA</v>
      </c>
      <c r="J569" s="481" t="str">
        <v>Germany</v>
      </c>
      <c r="K569" s="481" t="str">
        <v>Sweden</v>
      </c>
      <c r="L569" s="481" t="str">
        <v>Belgium</v>
      </c>
      <c r="M569" s="481" t="str">
        <v>Spain</v>
      </c>
      <c r="N569" s="481" t="str">
        <v>France</v>
      </c>
      <c r="O569" s="481" t="str">
        <v>Argentina</v>
      </c>
      <c r="P569" s="481" t="str">
        <v>Portugal</v>
      </c>
      <c r="Q569" s="490" t="str">
        <v>Croatia</v>
      </c>
    </row>
    <row r="570" spans="1:17" x14ac:dyDescent="0.2">
      <c r="A570" s="489">
        <v>567</v>
      </c>
      <c r="B570" s="481" t="str">
        <v>USA</v>
      </c>
      <c r="C570" s="481" t="str">
        <v>France</v>
      </c>
      <c r="D570" s="481" t="str">
        <v>Morocco</v>
      </c>
      <c r="E570" s="481" t="str">
        <v>England</v>
      </c>
      <c r="F570" s="481" t="str">
        <v>Mexico</v>
      </c>
      <c r="G570" s="481" t="str">
        <v>Switzerland</v>
      </c>
      <c r="H570" s="481" t="str">
        <v>Brazil</v>
      </c>
      <c r="I570" s="481" t="str">
        <v>Australia</v>
      </c>
      <c r="J570" s="481" t="str">
        <v>Germany</v>
      </c>
      <c r="K570" s="481" t="str">
        <v>Tunisia</v>
      </c>
      <c r="L570" s="481" t="str">
        <v>Belgium</v>
      </c>
      <c r="M570" s="481" t="str">
        <v>Spain</v>
      </c>
      <c r="N570" s="481" t="str">
        <v>France</v>
      </c>
      <c r="O570" s="481" t="str">
        <v>Argentina</v>
      </c>
      <c r="P570" s="481" t="str">
        <v>Portugal</v>
      </c>
      <c r="Q570" s="490" t="str">
        <v>Croatia</v>
      </c>
    </row>
    <row r="571" spans="1:17" x14ac:dyDescent="0.2">
      <c r="A571" s="489">
        <v>568</v>
      </c>
      <c r="B571" s="481" t="str">
        <v>Netherlands</v>
      </c>
      <c r="C571" s="481" t="str">
        <v>Morocco</v>
      </c>
      <c r="D571" s="481" t="str">
        <v>Colombia</v>
      </c>
      <c r="E571" s="481" t="str">
        <v>Netherlands</v>
      </c>
      <c r="F571" s="481" t="str">
        <v>Korea Republic</v>
      </c>
      <c r="G571" s="481" t="str">
        <v>Bosnia-Herzegovina</v>
      </c>
      <c r="H571" s="481" t="str">
        <v>Brazil</v>
      </c>
      <c r="I571" s="481" t="str">
        <v>Australia</v>
      </c>
      <c r="J571" s="481" t="str">
        <v>Germany</v>
      </c>
      <c r="K571" s="481" t="str">
        <v>Japan</v>
      </c>
      <c r="L571" s="481" t="str">
        <v>Belgium</v>
      </c>
      <c r="M571" s="481" t="str">
        <v>Spain</v>
      </c>
      <c r="N571" s="481" t="str">
        <v>Norway</v>
      </c>
      <c r="O571" s="481" t="str">
        <v>Argentina</v>
      </c>
      <c r="P571" s="481" t="str">
        <v>Colombia</v>
      </c>
      <c r="Q571" s="490" t="str">
        <v>England</v>
      </c>
    </row>
    <row r="572" spans="1:17" x14ac:dyDescent="0.2">
      <c r="A572" s="489">
        <v>569</v>
      </c>
      <c r="B572" s="481" t="str">
        <v>Portugal</v>
      </c>
      <c r="C572" s="481" t="str">
        <v>England</v>
      </c>
      <c r="D572" s="481" t="str">
        <v>Portugal</v>
      </c>
      <c r="E572" s="481" t="str">
        <v>Panama</v>
      </c>
      <c r="F572" s="481" t="str">
        <v>Korea Republic</v>
      </c>
      <c r="G572" s="481" t="str">
        <v>Qatar</v>
      </c>
      <c r="H572" s="481" t="str">
        <v>Morocco</v>
      </c>
      <c r="I572" s="481" t="str">
        <v>USA</v>
      </c>
      <c r="J572" s="481" t="str">
        <v>Germany</v>
      </c>
      <c r="K572" s="481" t="str">
        <v>Japan</v>
      </c>
      <c r="L572" s="481" t="str">
        <v>Egypt</v>
      </c>
      <c r="M572" s="481" t="str">
        <v>Spain</v>
      </c>
      <c r="N572" s="481" t="str">
        <v>France</v>
      </c>
      <c r="O572" s="481" t="str">
        <v>Argentina</v>
      </c>
      <c r="P572" s="481" t="str">
        <v>Portugal</v>
      </c>
      <c r="Q572" s="490" t="str">
        <v>England</v>
      </c>
    </row>
    <row r="573" spans="1:17" x14ac:dyDescent="0.2">
      <c r="A573" s="489">
        <v>570</v>
      </c>
      <c r="B573" s="481" t="str">
        <v>England</v>
      </c>
      <c r="C573" s="481" t="str">
        <v>Scotland</v>
      </c>
      <c r="D573" s="481" t="str">
        <v>Germany</v>
      </c>
      <c r="E573" s="481" t="str">
        <v>England</v>
      </c>
      <c r="F573" s="481" t="str">
        <v>Mexico</v>
      </c>
      <c r="G573" s="481" t="str">
        <v>Switzerland</v>
      </c>
      <c r="H573" s="481" t="str">
        <v>Morocco</v>
      </c>
      <c r="I573" s="481" t="str">
        <v>USA</v>
      </c>
      <c r="J573" s="481" t="str">
        <v>Cote d'Ivorie</v>
      </c>
      <c r="K573" s="481" t="str">
        <v>Sweden</v>
      </c>
      <c r="L573" s="481" t="str">
        <v>Belgium</v>
      </c>
      <c r="M573" s="481" t="str">
        <v>Spain</v>
      </c>
      <c r="N573" s="481" t="str">
        <v>Senegal</v>
      </c>
      <c r="O573" s="481" t="str">
        <v>Austria</v>
      </c>
      <c r="P573" s="481" t="str">
        <v>Colombia</v>
      </c>
      <c r="Q573" s="490" t="str">
        <v>England</v>
      </c>
    </row>
    <row r="574" spans="1:17" x14ac:dyDescent="0.2">
      <c r="A574" s="489">
        <v>571</v>
      </c>
      <c r="B574" s="481" t="str">
        <v>Argentina</v>
      </c>
      <c r="C574" s="481" t="str">
        <v>Germany</v>
      </c>
      <c r="D574" s="481" t="str">
        <v>Egypt</v>
      </c>
      <c r="E574" s="481" t="str">
        <v>Uruguay</v>
      </c>
      <c r="F574" s="481" t="str">
        <v>Mexico</v>
      </c>
      <c r="G574" s="481" t="str">
        <v>Canada</v>
      </c>
      <c r="H574" s="481" t="str">
        <v>Morocco</v>
      </c>
      <c r="I574" s="481" t="str">
        <v>USA</v>
      </c>
      <c r="J574" s="481" t="str">
        <v>Cote d'Ivorie</v>
      </c>
      <c r="K574" s="481" t="str">
        <v>Japan</v>
      </c>
      <c r="L574" s="481" t="str">
        <v>IR Iran</v>
      </c>
      <c r="M574" s="481" t="str">
        <v>Spain</v>
      </c>
      <c r="N574" s="481" t="str">
        <v>France</v>
      </c>
      <c r="O574" s="481" t="str">
        <v>Argentina</v>
      </c>
      <c r="P574" s="481" t="str">
        <v>Portugal</v>
      </c>
      <c r="Q574" s="490" t="str">
        <v>Croatia</v>
      </c>
    </row>
    <row r="575" spans="1:17" x14ac:dyDescent="0.2">
      <c r="A575" s="489">
        <v>572</v>
      </c>
      <c r="B575" s="481" t="str">
        <v>France</v>
      </c>
      <c r="C575" s="481" t="str">
        <v>Portugal</v>
      </c>
      <c r="D575" s="481" t="str">
        <v>Colombia</v>
      </c>
      <c r="E575" s="481" t="str">
        <v>Germany</v>
      </c>
      <c r="F575" s="481" t="str">
        <v>Korea Republic</v>
      </c>
      <c r="G575" s="481" t="str">
        <v>Switzerland</v>
      </c>
      <c r="H575" s="481" t="str">
        <v>Brazil</v>
      </c>
      <c r="I575" s="481" t="str">
        <v>USA</v>
      </c>
      <c r="J575" s="481" t="str">
        <v>Germany</v>
      </c>
      <c r="K575" s="481" t="str">
        <v>Netherlands</v>
      </c>
      <c r="L575" s="481" t="str">
        <v>Egypt</v>
      </c>
      <c r="M575" s="481" t="str">
        <v>Spain</v>
      </c>
      <c r="N575" s="481" t="str">
        <v>Norway</v>
      </c>
      <c r="O575" s="481" t="str">
        <v>Austria</v>
      </c>
      <c r="P575" s="481" t="str">
        <v>Colombia</v>
      </c>
      <c r="Q575" s="490" t="str">
        <v>England</v>
      </c>
    </row>
    <row r="576" spans="1:17" x14ac:dyDescent="0.2">
      <c r="A576" s="489">
        <v>573</v>
      </c>
      <c r="B576" s="481" t="str">
        <v>Argentina</v>
      </c>
      <c r="C576" s="481" t="str">
        <v>Spain</v>
      </c>
      <c r="D576" s="481" t="str">
        <v>Brazil</v>
      </c>
      <c r="E576" s="481" t="str">
        <v>Ecuador</v>
      </c>
      <c r="F576" s="481" t="str">
        <v>Mexico</v>
      </c>
      <c r="G576" s="481" t="str">
        <v>Qatar</v>
      </c>
      <c r="H576" s="481" t="str">
        <v>Brazil</v>
      </c>
      <c r="I576" s="481" t="str">
        <v>USA</v>
      </c>
      <c r="J576" s="481" t="str">
        <v>Germany</v>
      </c>
      <c r="K576" s="481" t="str">
        <v>Japan</v>
      </c>
      <c r="L576" s="481" t="str">
        <v>Belgium</v>
      </c>
      <c r="M576" s="481" t="str">
        <v>Spain</v>
      </c>
      <c r="N576" s="481" t="str">
        <v>France</v>
      </c>
      <c r="O576" s="481" t="str">
        <v>Argentina</v>
      </c>
      <c r="P576" s="481" t="str">
        <v>Colombia</v>
      </c>
      <c r="Q576" s="490" t="str">
        <v>England</v>
      </c>
    </row>
    <row r="577" spans="1:17" x14ac:dyDescent="0.2">
      <c r="A577" s="489">
        <v>574</v>
      </c>
      <c r="B577" s="481" t="str">
        <v>Spain</v>
      </c>
      <c r="C577" s="481" t="str">
        <v>Japan</v>
      </c>
      <c r="D577" s="481" t="str">
        <v>Germany</v>
      </c>
      <c r="E577" s="481" t="str">
        <v>USA</v>
      </c>
      <c r="F577" s="481" t="str">
        <v>Mexico</v>
      </c>
      <c r="G577" s="481" t="str">
        <v>Canada</v>
      </c>
      <c r="H577" s="481" t="str">
        <v>Brazil</v>
      </c>
      <c r="I577" s="481" t="str">
        <v>USA</v>
      </c>
      <c r="J577" s="481" t="str">
        <v>Germany</v>
      </c>
      <c r="K577" s="481" t="str">
        <v>Japan</v>
      </c>
      <c r="L577" s="481" t="str">
        <v>Egypt</v>
      </c>
      <c r="M577" s="481" t="str">
        <v>Spain</v>
      </c>
      <c r="N577" s="481" t="str">
        <v>France</v>
      </c>
      <c r="O577" s="481" t="str">
        <v>Argentina</v>
      </c>
      <c r="P577" s="481" t="str">
        <v>Portugal</v>
      </c>
      <c r="Q577" s="490" t="str">
        <v>England</v>
      </c>
    </row>
    <row r="578" spans="1:17" x14ac:dyDescent="0.2">
      <c r="A578" s="489">
        <v>575</v>
      </c>
      <c r="B578" s="481" t="str">
        <v>France</v>
      </c>
      <c r="C578" s="481" t="str">
        <v>Morocco</v>
      </c>
      <c r="D578" s="481" t="str">
        <v>Belgium</v>
      </c>
      <c r="E578" s="481" t="str">
        <v>Cote d'Ivorie</v>
      </c>
      <c r="F578" s="481" t="str">
        <v>Mexico</v>
      </c>
      <c r="G578" s="481" t="str">
        <v>Bosnia-Herzegovina</v>
      </c>
      <c r="H578" s="481" t="str">
        <v>Morocco</v>
      </c>
      <c r="I578" s="481" t="str">
        <v>Australia</v>
      </c>
      <c r="J578" s="481" t="str">
        <v>Germany</v>
      </c>
      <c r="K578" s="481" t="str">
        <v>Netherlands</v>
      </c>
      <c r="L578" s="481" t="str">
        <v>Belgium</v>
      </c>
      <c r="M578" s="481" t="str">
        <v>Spain</v>
      </c>
      <c r="N578" s="481" t="str">
        <v>France</v>
      </c>
      <c r="O578" s="481" t="str">
        <v>Algeria</v>
      </c>
      <c r="P578" s="481" t="str">
        <v>Portugal</v>
      </c>
      <c r="Q578" s="490" t="str">
        <v>Croatia</v>
      </c>
    </row>
    <row r="579" spans="1:17" x14ac:dyDescent="0.2">
      <c r="A579" s="489">
        <v>576</v>
      </c>
      <c r="B579" s="481" t="str">
        <v>England</v>
      </c>
      <c r="C579" s="481" t="str">
        <v>Spain</v>
      </c>
      <c r="D579" s="481" t="str">
        <v>Brazil</v>
      </c>
      <c r="E579" s="481" t="str">
        <v>Netherlands</v>
      </c>
      <c r="F579" s="481" t="str">
        <v>Czechia</v>
      </c>
      <c r="G579" s="481" t="str">
        <v>Qatar</v>
      </c>
      <c r="H579" s="481" t="str">
        <v>Morocco</v>
      </c>
      <c r="I579" s="481" t="str">
        <v>USA</v>
      </c>
      <c r="J579" s="481" t="str">
        <v>Germany</v>
      </c>
      <c r="K579" s="481" t="str">
        <v>Netherlands</v>
      </c>
      <c r="L579" s="481" t="str">
        <v>IR Iran</v>
      </c>
      <c r="M579" s="481" t="str">
        <v>Uruguay</v>
      </c>
      <c r="N579" s="481" t="str">
        <v>France</v>
      </c>
      <c r="O579" s="481" t="str">
        <v>Argentina</v>
      </c>
      <c r="P579" s="481" t="str">
        <v>Colombia</v>
      </c>
      <c r="Q579" s="490" t="str">
        <v>England</v>
      </c>
    </row>
    <row r="580" spans="1:17" x14ac:dyDescent="0.2">
      <c r="A580" s="489">
        <v>577</v>
      </c>
      <c r="B580" s="481" t="str">
        <v>Germany</v>
      </c>
      <c r="C580" s="481" t="str">
        <v>IR Iran</v>
      </c>
      <c r="D580" s="481" t="str">
        <v>Spain</v>
      </c>
      <c r="E580" s="481" t="str">
        <v>Egypt</v>
      </c>
      <c r="F580" s="481" t="str">
        <v>Mexico</v>
      </c>
      <c r="G580" s="481" t="str">
        <v>Switzerland</v>
      </c>
      <c r="H580" s="481" t="str">
        <v>Morocco</v>
      </c>
      <c r="I580" s="481" t="str">
        <v>USA</v>
      </c>
      <c r="J580" s="481" t="str">
        <v>Germany</v>
      </c>
      <c r="K580" s="481" t="str">
        <v>Netherlands</v>
      </c>
      <c r="L580" s="481" t="str">
        <v>Belgium</v>
      </c>
      <c r="M580" s="481" t="str">
        <v>Spain</v>
      </c>
      <c r="N580" s="481" t="str">
        <v>France</v>
      </c>
      <c r="O580" s="481" t="str">
        <v>Argentina</v>
      </c>
      <c r="P580" s="481" t="str">
        <v>Portugal</v>
      </c>
      <c r="Q580" s="490" t="str">
        <v>England</v>
      </c>
    </row>
    <row r="581" spans="1:17" x14ac:dyDescent="0.2">
      <c r="A581" s="489">
        <v>578</v>
      </c>
      <c r="B581" s="481" t="str">
        <v>France</v>
      </c>
      <c r="C581" s="481" t="str">
        <v>Argentina</v>
      </c>
      <c r="D581" s="481" t="str">
        <v>Netherlands</v>
      </c>
      <c r="E581" s="481" t="str">
        <v>Sweden</v>
      </c>
      <c r="F581" s="481" t="str">
        <v>Korea Republic</v>
      </c>
      <c r="G581" s="481" t="str">
        <v>Qatar</v>
      </c>
      <c r="H581" s="481" t="str">
        <v>Brazil</v>
      </c>
      <c r="I581" s="481" t="str">
        <v>Australia</v>
      </c>
      <c r="J581" s="481" t="str">
        <v>Germany</v>
      </c>
      <c r="K581" s="481" t="str">
        <v>Netherlands</v>
      </c>
      <c r="L581" s="481" t="str">
        <v>Belgium</v>
      </c>
      <c r="M581" s="481" t="str">
        <v>Spain</v>
      </c>
      <c r="N581" s="481" t="str">
        <v>Senegal</v>
      </c>
      <c r="O581" s="481" t="str">
        <v>Argentina</v>
      </c>
      <c r="P581" s="481" t="str">
        <v>Portugal</v>
      </c>
      <c r="Q581" s="490" t="str">
        <v>Panama</v>
      </c>
    </row>
    <row r="582" spans="1:17" x14ac:dyDescent="0.2">
      <c r="A582" s="489">
        <v>579</v>
      </c>
      <c r="B582" s="481" t="str">
        <v>Germany</v>
      </c>
      <c r="C582" s="481" t="str">
        <v>Portugal</v>
      </c>
      <c r="D582" s="481" t="str">
        <v>Germany</v>
      </c>
      <c r="E582" s="481" t="str">
        <v>Egypt</v>
      </c>
      <c r="F582" s="481" t="str">
        <v>Korea Republic</v>
      </c>
      <c r="G582" s="481" t="str">
        <v>Bosnia-Herzegovina</v>
      </c>
      <c r="H582" s="481" t="str">
        <v>Morocco</v>
      </c>
      <c r="I582" s="481" t="str">
        <v>USA</v>
      </c>
      <c r="J582" s="481" t="str">
        <v>Germany</v>
      </c>
      <c r="K582" s="481" t="str">
        <v>Netherlands</v>
      </c>
      <c r="L582" s="481" t="str">
        <v>Belgium</v>
      </c>
      <c r="M582" s="481" t="str">
        <v>Spain</v>
      </c>
      <c r="N582" s="481" t="str">
        <v>France</v>
      </c>
      <c r="O582" s="481" t="str">
        <v>Argentina</v>
      </c>
      <c r="P582" s="481" t="str">
        <v>Portugal</v>
      </c>
      <c r="Q582" s="490" t="str">
        <v>England</v>
      </c>
    </row>
    <row r="583" spans="1:17" x14ac:dyDescent="0.2">
      <c r="A583" s="489">
        <v>580</v>
      </c>
      <c r="B583" s="481" t="str">
        <v>Croatia</v>
      </c>
      <c r="C583" s="481" t="str">
        <v>Croatia</v>
      </c>
      <c r="D583" s="481" t="str">
        <v>Mexico</v>
      </c>
      <c r="E583" s="481" t="str">
        <v>Scotland</v>
      </c>
      <c r="F583" s="481" t="str">
        <v>Mexico</v>
      </c>
      <c r="G583" s="481" t="str">
        <v>Canada</v>
      </c>
      <c r="H583" s="481" t="str">
        <v>Brazil</v>
      </c>
      <c r="I583" s="481" t="str">
        <v>USA</v>
      </c>
      <c r="J583" s="481" t="str">
        <v>Germany</v>
      </c>
      <c r="K583" s="481" t="str">
        <v>Netherlands</v>
      </c>
      <c r="L583" s="481" t="str">
        <v>Egypt</v>
      </c>
      <c r="M583" s="481" t="str">
        <v>Uruguay</v>
      </c>
      <c r="N583" s="481" t="str">
        <v>France</v>
      </c>
      <c r="O583" s="481" t="str">
        <v>Algeria</v>
      </c>
      <c r="P583" s="481" t="str">
        <v>Congo DR</v>
      </c>
      <c r="Q583" s="490" t="str">
        <v>England</v>
      </c>
    </row>
    <row r="584" spans="1:17" x14ac:dyDescent="0.2">
      <c r="A584" s="489">
        <v>581</v>
      </c>
      <c r="B584" s="481" t="str">
        <v>Belgium</v>
      </c>
      <c r="C584" s="481" t="str">
        <v>Colombia</v>
      </c>
      <c r="D584" s="481" t="str">
        <v>Colombia</v>
      </c>
      <c r="E584" s="481" t="str">
        <v>Netherlands</v>
      </c>
      <c r="F584" s="481" t="str">
        <v>Korea Republic</v>
      </c>
      <c r="G584" s="481" t="str">
        <v>Switzerland</v>
      </c>
      <c r="H584" s="481" t="str">
        <v>Brazil</v>
      </c>
      <c r="I584" s="481" t="str">
        <v>Australia</v>
      </c>
      <c r="J584" s="481" t="str">
        <v>Germany</v>
      </c>
      <c r="K584" s="481" t="str">
        <v>Sweden</v>
      </c>
      <c r="L584" s="481" t="str">
        <v>Egypt</v>
      </c>
      <c r="M584" s="481" t="str">
        <v>Spain</v>
      </c>
      <c r="N584" s="481" t="str">
        <v>Norway</v>
      </c>
      <c r="O584" s="481" t="str">
        <v>Argentina</v>
      </c>
      <c r="P584" s="481" t="str">
        <v>Portugal</v>
      </c>
      <c r="Q584" s="490" t="str">
        <v>Panama</v>
      </c>
    </row>
    <row r="585" spans="1:17" x14ac:dyDescent="0.2">
      <c r="A585" s="489">
        <v>582</v>
      </c>
      <c r="B585" s="481" t="str">
        <v>Brazil</v>
      </c>
      <c r="C585" s="481" t="str">
        <v>Canada</v>
      </c>
      <c r="D585" s="481" t="str">
        <v>Mexico</v>
      </c>
      <c r="E585" s="481" t="str">
        <v>Morocco</v>
      </c>
      <c r="F585" s="481" t="str">
        <v>Mexico</v>
      </c>
      <c r="G585" s="481" t="str">
        <v>Canada</v>
      </c>
      <c r="H585" s="481" t="str">
        <v>Morocco</v>
      </c>
      <c r="I585" s="481" t="str">
        <v>USA</v>
      </c>
      <c r="J585" s="481" t="str">
        <v>Germany</v>
      </c>
      <c r="K585" s="481" t="str">
        <v>Netherlands</v>
      </c>
      <c r="L585" s="481" t="str">
        <v>Egypt</v>
      </c>
      <c r="M585" s="481" t="str">
        <v>Uruguay</v>
      </c>
      <c r="N585" s="481" t="str">
        <v>France</v>
      </c>
      <c r="O585" s="481" t="str">
        <v>Algeria</v>
      </c>
      <c r="P585" s="481" t="str">
        <v>Portugal</v>
      </c>
      <c r="Q585" s="490" t="str">
        <v>England</v>
      </c>
    </row>
    <row r="586" spans="1:17" x14ac:dyDescent="0.2">
      <c r="A586" s="489">
        <v>583</v>
      </c>
      <c r="B586" s="481" t="str">
        <v>Spain</v>
      </c>
      <c r="C586" s="481" t="str">
        <v>France</v>
      </c>
      <c r="D586" s="481" t="str">
        <v>Spain</v>
      </c>
      <c r="E586" s="481" t="str">
        <v>Mexico</v>
      </c>
      <c r="F586" s="481" t="str">
        <v>Mexico</v>
      </c>
      <c r="G586" s="481" t="str">
        <v>Canada</v>
      </c>
      <c r="H586" s="481" t="str">
        <v>Brazil</v>
      </c>
      <c r="I586" s="481" t="str">
        <v>USA</v>
      </c>
      <c r="J586" s="481" t="str">
        <v>Germany</v>
      </c>
      <c r="K586" s="481" t="str">
        <v>Japan</v>
      </c>
      <c r="L586" s="481" t="str">
        <v>Egypt</v>
      </c>
      <c r="M586" s="481" t="str">
        <v>Uruguay</v>
      </c>
      <c r="N586" s="481" t="str">
        <v>France</v>
      </c>
      <c r="O586" s="481" t="str">
        <v>Argentina</v>
      </c>
      <c r="P586" s="481" t="str">
        <v>Portugal</v>
      </c>
      <c r="Q586" s="490" t="str">
        <v>England</v>
      </c>
    </row>
    <row r="587" spans="1:17" x14ac:dyDescent="0.2">
      <c r="A587" s="489">
        <v>584</v>
      </c>
      <c r="B587" s="481" t="str">
        <v>Belgium</v>
      </c>
      <c r="C587" s="481" t="str">
        <v>France</v>
      </c>
      <c r="D587" s="481" t="str">
        <v>Spain</v>
      </c>
      <c r="E587" s="481" t="str">
        <v>Uruguay</v>
      </c>
      <c r="F587" s="481" t="str">
        <v>Mexico</v>
      </c>
      <c r="G587" s="481" t="str">
        <v>Bosnia-Herzegovina</v>
      </c>
      <c r="H587" s="481" t="str">
        <v>Morocco</v>
      </c>
      <c r="I587" s="481" t="str">
        <v>USA</v>
      </c>
      <c r="J587" s="481" t="str">
        <v>Germany</v>
      </c>
      <c r="K587" s="481" t="str">
        <v>Sweden</v>
      </c>
      <c r="L587" s="481" t="str">
        <v>Egypt</v>
      </c>
      <c r="M587" s="481" t="str">
        <v>Uruguay</v>
      </c>
      <c r="N587" s="481" t="str">
        <v>France</v>
      </c>
      <c r="O587" s="481" t="str">
        <v>Argentina</v>
      </c>
      <c r="P587" s="481" t="str">
        <v>Portugal</v>
      </c>
      <c r="Q587" s="490" t="str">
        <v>England</v>
      </c>
    </row>
    <row r="588" spans="1:17" x14ac:dyDescent="0.2">
      <c r="A588" s="489">
        <v>585</v>
      </c>
      <c r="B588" s="481" t="str">
        <v>France</v>
      </c>
      <c r="C588" s="481" t="str">
        <v>Argentina</v>
      </c>
      <c r="D588" s="481" t="str">
        <v>Egypt</v>
      </c>
      <c r="E588" s="481" t="str">
        <v>Australia</v>
      </c>
      <c r="F588" s="481" t="str">
        <v>Korea Republic</v>
      </c>
      <c r="G588" s="481" t="str">
        <v>Canada</v>
      </c>
      <c r="H588" s="481" t="str">
        <v>Brazil</v>
      </c>
      <c r="I588" s="481" t="str">
        <v>USA</v>
      </c>
      <c r="J588" s="481" t="str">
        <v>Cote d'Ivorie</v>
      </c>
      <c r="K588" s="481" t="str">
        <v>Japan</v>
      </c>
      <c r="L588" s="481" t="str">
        <v>Belgium</v>
      </c>
      <c r="M588" s="481" t="str">
        <v>Spain</v>
      </c>
      <c r="N588" s="481" t="str">
        <v>Norway</v>
      </c>
      <c r="O588" s="481" t="str">
        <v>Jordan</v>
      </c>
      <c r="P588" s="481" t="str">
        <v>Portugal</v>
      </c>
      <c r="Q588" s="490" t="str">
        <v>Croatia</v>
      </c>
    </row>
    <row r="589" spans="1:17" x14ac:dyDescent="0.2">
      <c r="A589" s="489">
        <v>586</v>
      </c>
      <c r="B589" s="481" t="str">
        <v>Netherlands</v>
      </c>
      <c r="C589" s="481" t="str">
        <v>Belgium</v>
      </c>
      <c r="D589" s="481" t="str">
        <v>Algeria</v>
      </c>
      <c r="E589" s="481" t="str">
        <v>France</v>
      </c>
      <c r="F589" s="481" t="str">
        <v>Korea Republic</v>
      </c>
      <c r="G589" s="481" t="str">
        <v>Switzerland</v>
      </c>
      <c r="H589" s="481" t="str">
        <v>Scotland</v>
      </c>
      <c r="I589" s="481" t="str">
        <v>Australia</v>
      </c>
      <c r="J589" s="481" t="str">
        <v>Germany</v>
      </c>
      <c r="K589" s="481" t="str">
        <v>Japan</v>
      </c>
      <c r="L589" s="481" t="str">
        <v>IR Iran</v>
      </c>
      <c r="M589" s="481" t="str">
        <v>Uruguay</v>
      </c>
      <c r="N589" s="481" t="str">
        <v>Senegal</v>
      </c>
      <c r="O589" s="481" t="str">
        <v>Argentina</v>
      </c>
      <c r="P589" s="481" t="str">
        <v>Portugal</v>
      </c>
      <c r="Q589" s="490" t="str">
        <v>Croatia</v>
      </c>
    </row>
    <row r="590" spans="1:17" x14ac:dyDescent="0.2">
      <c r="A590" s="489">
        <v>587</v>
      </c>
      <c r="B590" s="481" t="str">
        <v>Uruguay</v>
      </c>
      <c r="C590" s="481" t="str">
        <v>Portugal</v>
      </c>
      <c r="D590" s="481" t="str">
        <v>Spain</v>
      </c>
      <c r="E590" s="481" t="str">
        <v>Switzerland</v>
      </c>
      <c r="F590" s="481" t="str">
        <v>Mexico</v>
      </c>
      <c r="G590" s="481" t="str">
        <v>Switzerland</v>
      </c>
      <c r="H590" s="481" t="str">
        <v>Morocco</v>
      </c>
      <c r="I590" s="481" t="str">
        <v>Turkiye</v>
      </c>
      <c r="J590" s="481" t="str">
        <v>Germany</v>
      </c>
      <c r="K590" s="481" t="str">
        <v>Japan</v>
      </c>
      <c r="L590" s="481" t="str">
        <v>IR Iran</v>
      </c>
      <c r="M590" s="481" t="str">
        <v>Spain</v>
      </c>
      <c r="N590" s="481" t="str">
        <v>Norway</v>
      </c>
      <c r="O590" s="481" t="str">
        <v>Argentina</v>
      </c>
      <c r="P590" s="481" t="str">
        <v>Portugal</v>
      </c>
      <c r="Q590" s="490" t="str">
        <v>England</v>
      </c>
    </row>
    <row r="591" spans="1:17" x14ac:dyDescent="0.2">
      <c r="A591" s="489">
        <v>588</v>
      </c>
      <c r="B591" s="481" t="str">
        <v>Portugal</v>
      </c>
      <c r="C591" s="481" t="str">
        <v>Brazil</v>
      </c>
      <c r="D591" s="481" t="str">
        <v>Australia</v>
      </c>
      <c r="E591" s="481" t="str">
        <v>South Africa</v>
      </c>
      <c r="F591" s="481" t="str">
        <v>Korea Republic</v>
      </c>
      <c r="G591" s="481" t="str">
        <v>Bosnia-Herzegovina</v>
      </c>
      <c r="H591" s="481" t="str">
        <v>Morocco</v>
      </c>
      <c r="I591" s="481" t="str">
        <v>Australia</v>
      </c>
      <c r="J591" s="481" t="str">
        <v>Germany</v>
      </c>
      <c r="K591" s="481" t="str">
        <v>Japan</v>
      </c>
      <c r="L591" s="481" t="str">
        <v>Belgium</v>
      </c>
      <c r="M591" s="481" t="str">
        <v>Spain</v>
      </c>
      <c r="N591" s="481" t="str">
        <v>Norway</v>
      </c>
      <c r="O591" s="481" t="str">
        <v>Algeria</v>
      </c>
      <c r="P591" s="481" t="str">
        <v>Uzbekistan</v>
      </c>
      <c r="Q591" s="490" t="str">
        <v>England</v>
      </c>
    </row>
    <row r="592" spans="1:17" x14ac:dyDescent="0.2">
      <c r="A592" s="489">
        <v>589</v>
      </c>
      <c r="B592" s="481" t="str">
        <v>Colombia</v>
      </c>
      <c r="C592" s="481" t="str">
        <v>Switzerland</v>
      </c>
      <c r="D592" s="481" t="str">
        <v>Portugal</v>
      </c>
      <c r="E592" s="481" t="str">
        <v>USA</v>
      </c>
      <c r="F592" s="481" t="str">
        <v>Korea Republic</v>
      </c>
      <c r="G592" s="481" t="str">
        <v>Switzerland</v>
      </c>
      <c r="H592" s="481" t="str">
        <v>Brazil</v>
      </c>
      <c r="I592" s="481" t="str">
        <v>USA</v>
      </c>
      <c r="J592" s="481" t="str">
        <v>Germany</v>
      </c>
      <c r="K592" s="481" t="str">
        <v>Netherlands</v>
      </c>
      <c r="L592" s="481" t="str">
        <v>Egypt</v>
      </c>
      <c r="M592" s="481" t="str">
        <v>Spain</v>
      </c>
      <c r="N592" s="481" t="str">
        <v>Norway</v>
      </c>
      <c r="O592" s="481" t="str">
        <v>Argentina</v>
      </c>
      <c r="P592" s="481" t="str">
        <v>Colombia</v>
      </c>
      <c r="Q592" s="490" t="str">
        <v>England</v>
      </c>
    </row>
    <row r="593" spans="1:17" x14ac:dyDescent="0.2">
      <c r="A593" s="489">
        <v>590</v>
      </c>
      <c r="B593" s="481" t="str">
        <v>Brazil</v>
      </c>
      <c r="C593" s="481" t="str">
        <v>Senegal</v>
      </c>
      <c r="D593" s="481" t="str">
        <v>England</v>
      </c>
      <c r="E593" s="481" t="str">
        <v>Mexico</v>
      </c>
      <c r="F593" s="481" t="str">
        <v>Korea Republic</v>
      </c>
      <c r="G593" s="481" t="str">
        <v>Switzerland</v>
      </c>
      <c r="H593" s="481" t="str">
        <v>Scotland</v>
      </c>
      <c r="I593" s="481" t="str">
        <v>USA</v>
      </c>
      <c r="J593" s="481" t="str">
        <v>Germany</v>
      </c>
      <c r="K593" s="481" t="str">
        <v>Sweden</v>
      </c>
      <c r="L593" s="481" t="str">
        <v>Belgium</v>
      </c>
      <c r="M593" s="481" t="str">
        <v>Spain</v>
      </c>
      <c r="N593" s="481" t="str">
        <v>France</v>
      </c>
      <c r="O593" s="481" t="str">
        <v>Algeria</v>
      </c>
      <c r="P593" s="481" t="str">
        <v>Colombia</v>
      </c>
      <c r="Q593" s="490" t="str">
        <v>Panama</v>
      </c>
    </row>
    <row r="594" spans="1:17" x14ac:dyDescent="0.2">
      <c r="A594" s="489">
        <v>591</v>
      </c>
      <c r="B594" s="481" t="str">
        <v>Brazil</v>
      </c>
      <c r="C594" s="481" t="str">
        <v>England</v>
      </c>
      <c r="D594" s="481" t="str">
        <v>Spain</v>
      </c>
      <c r="E594" s="481" t="str">
        <v>Colombia</v>
      </c>
      <c r="F594" s="481" t="str">
        <v>Korea Republic</v>
      </c>
      <c r="G594" s="481" t="str">
        <v>Switzerland</v>
      </c>
      <c r="H594" s="481" t="str">
        <v>Morocco</v>
      </c>
      <c r="I594" s="481" t="str">
        <v>USA</v>
      </c>
      <c r="J594" s="481" t="str">
        <v>Cote d'Ivorie</v>
      </c>
      <c r="K594" s="481" t="str">
        <v>Japan</v>
      </c>
      <c r="L594" s="481" t="str">
        <v>IR Iran</v>
      </c>
      <c r="M594" s="481" t="str">
        <v>Spain</v>
      </c>
      <c r="N594" s="481" t="str">
        <v>France</v>
      </c>
      <c r="O594" s="481" t="str">
        <v>Algeria</v>
      </c>
      <c r="P594" s="481" t="str">
        <v>Portugal</v>
      </c>
      <c r="Q594" s="490" t="str">
        <v>England</v>
      </c>
    </row>
    <row r="595" spans="1:17" x14ac:dyDescent="0.2">
      <c r="A595" s="489">
        <v>592</v>
      </c>
      <c r="B595" s="481" t="str">
        <v>Spain</v>
      </c>
      <c r="C595" s="481" t="str">
        <v>Spain</v>
      </c>
      <c r="D595" s="481" t="str">
        <v>France</v>
      </c>
      <c r="E595" s="481" t="str">
        <v>Croatia</v>
      </c>
      <c r="F595" s="481" t="str">
        <v>Mexico</v>
      </c>
      <c r="G595" s="481" t="str">
        <v>Canada</v>
      </c>
      <c r="H595" s="481" t="str">
        <v>Morocco</v>
      </c>
      <c r="I595" s="481" t="str">
        <v>USA</v>
      </c>
      <c r="J595" s="481" t="str">
        <v>Germany</v>
      </c>
      <c r="K595" s="481" t="str">
        <v>Netherlands</v>
      </c>
      <c r="L595" s="481" t="str">
        <v>Egypt</v>
      </c>
      <c r="M595" s="481" t="str">
        <v>Uruguay</v>
      </c>
      <c r="N595" s="481" t="str">
        <v>France</v>
      </c>
      <c r="O595" s="481" t="str">
        <v>Argentina</v>
      </c>
      <c r="P595" s="481" t="str">
        <v>Portugal</v>
      </c>
      <c r="Q595" s="490" t="str">
        <v>Panama</v>
      </c>
    </row>
    <row r="596" spans="1:17" x14ac:dyDescent="0.2">
      <c r="A596" s="489">
        <v>593</v>
      </c>
      <c r="B596" s="481" t="str">
        <v>Spain</v>
      </c>
      <c r="C596" s="481" t="str">
        <v>Spain</v>
      </c>
      <c r="D596" s="481" t="str">
        <v>Germany</v>
      </c>
      <c r="E596" s="481" t="str">
        <v>Colombia</v>
      </c>
      <c r="F596" s="481" t="str">
        <v>Korea Republic</v>
      </c>
      <c r="G596" s="481" t="str">
        <v>Switzerland</v>
      </c>
      <c r="H596" s="481" t="str">
        <v>Brazil</v>
      </c>
      <c r="I596" s="481" t="str">
        <v>Turkiye</v>
      </c>
      <c r="J596" s="481" t="str">
        <v>Germany</v>
      </c>
      <c r="K596" s="481" t="str">
        <v>Netherlands</v>
      </c>
      <c r="L596" s="481" t="str">
        <v>Belgium</v>
      </c>
      <c r="M596" s="481" t="str">
        <v>Spain</v>
      </c>
      <c r="N596" s="481" t="str">
        <v>Senegal</v>
      </c>
      <c r="O596" s="481" t="str">
        <v>Algeria</v>
      </c>
      <c r="P596" s="481" t="str">
        <v>Congo DR</v>
      </c>
      <c r="Q596" s="490" t="str">
        <v>England</v>
      </c>
    </row>
    <row r="597" spans="1:17" x14ac:dyDescent="0.2">
      <c r="A597" s="489">
        <v>594</v>
      </c>
      <c r="B597" s="481" t="str">
        <v>Germany</v>
      </c>
      <c r="C597" s="481" t="str">
        <v>England</v>
      </c>
      <c r="D597" s="481" t="str">
        <v>France</v>
      </c>
      <c r="E597" s="481" t="str">
        <v>Croatia</v>
      </c>
      <c r="F597" s="481" t="str">
        <v>Korea Republic</v>
      </c>
      <c r="G597" s="481" t="str">
        <v>Qatar</v>
      </c>
      <c r="H597" s="481" t="str">
        <v>Brazil</v>
      </c>
      <c r="I597" s="481" t="str">
        <v>Australia</v>
      </c>
      <c r="J597" s="481" t="str">
        <v>Germany</v>
      </c>
      <c r="K597" s="481" t="str">
        <v>Netherlands</v>
      </c>
      <c r="L597" s="481" t="str">
        <v>Belgium</v>
      </c>
      <c r="M597" s="481" t="str">
        <v>Spain</v>
      </c>
      <c r="N597" s="481" t="str">
        <v>Senegal</v>
      </c>
      <c r="O597" s="481" t="str">
        <v>Argentina</v>
      </c>
      <c r="P597" s="481" t="str">
        <v>Portugal</v>
      </c>
      <c r="Q597" s="490" t="str">
        <v>Croatia</v>
      </c>
    </row>
    <row r="598" spans="1:17" x14ac:dyDescent="0.2">
      <c r="A598" s="489">
        <v>595</v>
      </c>
      <c r="B598" s="481" t="str">
        <v>Morocco</v>
      </c>
      <c r="C598" s="481" t="str">
        <v>England</v>
      </c>
      <c r="D598" s="481" t="str">
        <v>USA</v>
      </c>
      <c r="E598" s="481" t="str">
        <v>Argentina</v>
      </c>
      <c r="F598" s="481" t="str">
        <v>Korea Republic</v>
      </c>
      <c r="G598" s="481" t="str">
        <v>Canada</v>
      </c>
      <c r="H598" s="481" t="str">
        <v>Brazil</v>
      </c>
      <c r="I598" s="481" t="str">
        <v>USA</v>
      </c>
      <c r="J598" s="481" t="str">
        <v>Ecuador</v>
      </c>
      <c r="K598" s="481" t="str">
        <v>Netherlands</v>
      </c>
      <c r="L598" s="481" t="str">
        <v>Belgium</v>
      </c>
      <c r="M598" s="481" t="str">
        <v>Uruguay</v>
      </c>
      <c r="N598" s="481" t="str">
        <v>France</v>
      </c>
      <c r="O598" s="481" t="str">
        <v>Argentina</v>
      </c>
      <c r="P598" s="481" t="str">
        <v>Colombia</v>
      </c>
      <c r="Q598" s="490" t="str">
        <v>England</v>
      </c>
    </row>
    <row r="599" spans="1:17" x14ac:dyDescent="0.2">
      <c r="A599" s="489">
        <v>596</v>
      </c>
      <c r="B599" s="481" t="str">
        <v>Spain</v>
      </c>
      <c r="C599" s="481" t="str">
        <v>France</v>
      </c>
      <c r="D599" s="481" t="str">
        <v>France</v>
      </c>
      <c r="E599" s="481" t="str">
        <v>Argentina</v>
      </c>
      <c r="F599" s="481" t="str">
        <v>South Africa</v>
      </c>
      <c r="G599" s="481" t="str">
        <v>Qatar</v>
      </c>
      <c r="H599" s="481" t="str">
        <v>Morocco</v>
      </c>
      <c r="I599" s="481" t="str">
        <v>USA</v>
      </c>
      <c r="J599" s="481" t="str">
        <v>Germany</v>
      </c>
      <c r="K599" s="481" t="str">
        <v>Japan</v>
      </c>
      <c r="L599" s="481" t="str">
        <v>Egypt</v>
      </c>
      <c r="M599" s="481" t="str">
        <v>Saudi Arabia</v>
      </c>
      <c r="N599" s="481" t="str">
        <v>Norway</v>
      </c>
      <c r="O599" s="481" t="str">
        <v>Austria</v>
      </c>
      <c r="P599" s="481" t="str">
        <v>Portugal</v>
      </c>
      <c r="Q599" s="490" t="str">
        <v>England</v>
      </c>
    </row>
    <row r="600" spans="1:17" x14ac:dyDescent="0.2">
      <c r="A600" s="489">
        <v>597</v>
      </c>
      <c r="B600" s="481" t="str">
        <v>Brazil</v>
      </c>
      <c r="C600" s="481" t="str">
        <v>Argentina</v>
      </c>
      <c r="D600" s="481" t="str">
        <v>Turkiye</v>
      </c>
      <c r="E600" s="481" t="str">
        <v>Korea Republic</v>
      </c>
      <c r="F600" s="481" t="str">
        <v>Korea Republic</v>
      </c>
      <c r="G600" s="481" t="str">
        <v>Canada</v>
      </c>
      <c r="H600" s="481" t="str">
        <v>Morocco</v>
      </c>
      <c r="I600" s="481" t="str">
        <v>USA</v>
      </c>
      <c r="J600" s="481" t="str">
        <v>Germany</v>
      </c>
      <c r="K600" s="481" t="str">
        <v>Netherlands</v>
      </c>
      <c r="L600" s="481" t="str">
        <v>Egypt</v>
      </c>
      <c r="M600" s="481" t="str">
        <v>Spain</v>
      </c>
      <c r="N600" s="481" t="str">
        <v>France</v>
      </c>
      <c r="O600" s="481" t="str">
        <v>Argentina</v>
      </c>
      <c r="P600" s="481" t="str">
        <v>Colombia</v>
      </c>
      <c r="Q600" s="490" t="str">
        <v>England</v>
      </c>
    </row>
    <row r="601" spans="1:17" x14ac:dyDescent="0.2">
      <c r="A601" s="489">
        <v>598</v>
      </c>
      <c r="B601" s="481" t="str">
        <v>France</v>
      </c>
      <c r="C601" s="481" t="str">
        <v>Senegal</v>
      </c>
      <c r="D601" s="481" t="str">
        <v>Argentina</v>
      </c>
      <c r="E601" s="481" t="str">
        <v>Japan</v>
      </c>
      <c r="F601" s="481" t="str">
        <v>Mexico</v>
      </c>
      <c r="G601" s="481" t="str">
        <v>Switzerland</v>
      </c>
      <c r="H601" s="481" t="str">
        <v>Brazil</v>
      </c>
      <c r="I601" s="481" t="str">
        <v>Australia</v>
      </c>
      <c r="J601" s="481" t="str">
        <v>Ecuador</v>
      </c>
      <c r="K601" s="481" t="str">
        <v>Sweden</v>
      </c>
      <c r="L601" s="481" t="str">
        <v>Egypt</v>
      </c>
      <c r="M601" s="481" t="str">
        <v>Saudi Arabia</v>
      </c>
      <c r="N601" s="481" t="str">
        <v>France</v>
      </c>
      <c r="O601" s="481" t="str">
        <v>Argentina</v>
      </c>
      <c r="P601" s="481" t="str">
        <v>Colombia</v>
      </c>
      <c r="Q601" s="490" t="str">
        <v>England</v>
      </c>
    </row>
    <row r="602" spans="1:17" x14ac:dyDescent="0.2">
      <c r="A602" s="489">
        <v>599</v>
      </c>
      <c r="B602" s="481" t="str">
        <v>Spain</v>
      </c>
      <c r="C602" s="481" t="str">
        <v>Ecuador</v>
      </c>
      <c r="D602" s="481" t="str">
        <v>Argentina</v>
      </c>
      <c r="E602" s="481" t="str">
        <v>Germany</v>
      </c>
      <c r="F602" s="481" t="str">
        <v>Mexico</v>
      </c>
      <c r="G602" s="481" t="str">
        <v>Bosnia-Herzegovina</v>
      </c>
      <c r="H602" s="481" t="str">
        <v>Morocco</v>
      </c>
      <c r="I602" s="481" t="str">
        <v>USA</v>
      </c>
      <c r="J602" s="481" t="str">
        <v>Cote d'Ivorie</v>
      </c>
      <c r="K602" s="481" t="str">
        <v>Netherlands</v>
      </c>
      <c r="L602" s="481" t="str">
        <v>Belgium</v>
      </c>
      <c r="M602" s="481" t="str">
        <v>Spain</v>
      </c>
      <c r="N602" s="481" t="str">
        <v>France</v>
      </c>
      <c r="O602" s="481" t="str">
        <v>Argentina</v>
      </c>
      <c r="P602" s="481" t="str">
        <v>Colombia</v>
      </c>
      <c r="Q602" s="490" t="str">
        <v>Ghana</v>
      </c>
    </row>
    <row r="603" spans="1:17" x14ac:dyDescent="0.2">
      <c r="A603" s="489">
        <v>600</v>
      </c>
      <c r="B603" s="481" t="str">
        <v>Portugal</v>
      </c>
      <c r="C603" s="481" t="str">
        <v>USA</v>
      </c>
      <c r="D603" s="481" t="str">
        <v>Croatia</v>
      </c>
      <c r="E603" s="481" t="str">
        <v>Germany</v>
      </c>
      <c r="F603" s="481" t="str">
        <v>Mexico</v>
      </c>
      <c r="G603" s="481" t="str">
        <v>Switzerland</v>
      </c>
      <c r="H603" s="481" t="str">
        <v>Scotland</v>
      </c>
      <c r="I603" s="481" t="str">
        <v>Australia</v>
      </c>
      <c r="J603" s="481" t="str">
        <v>Ecuador</v>
      </c>
      <c r="K603" s="481" t="str">
        <v>Netherlands</v>
      </c>
      <c r="L603" s="481" t="str">
        <v>Belgium</v>
      </c>
      <c r="M603" s="481" t="str">
        <v>Uruguay</v>
      </c>
      <c r="N603" s="481" t="str">
        <v>France</v>
      </c>
      <c r="O603" s="481" t="str">
        <v>Argentina</v>
      </c>
      <c r="P603" s="481" t="str">
        <v>Portugal</v>
      </c>
      <c r="Q603" s="490" t="str">
        <v>England</v>
      </c>
    </row>
    <row r="604" spans="1:17" x14ac:dyDescent="0.2">
      <c r="A604" s="489">
        <v>601</v>
      </c>
      <c r="B604" s="481" t="str">
        <v>Portugal</v>
      </c>
      <c r="C604" s="481" t="str">
        <v>Colombia</v>
      </c>
      <c r="D604" s="481" t="str">
        <v>Colombia</v>
      </c>
      <c r="E604" s="481" t="str">
        <v>USA</v>
      </c>
      <c r="F604" s="481" t="str">
        <v>Mexico</v>
      </c>
      <c r="G604" s="481" t="str">
        <v>Qatar</v>
      </c>
      <c r="H604" s="481" t="str">
        <v>Morocco</v>
      </c>
      <c r="I604" s="481" t="str">
        <v>Turkiye</v>
      </c>
      <c r="J604" s="481" t="str">
        <v>Cote d'Ivorie</v>
      </c>
      <c r="K604" s="481" t="str">
        <v>Netherlands</v>
      </c>
      <c r="L604" s="481" t="str">
        <v>IR Iran</v>
      </c>
      <c r="M604" s="481" t="str">
        <v>Spain</v>
      </c>
      <c r="N604" s="481" t="str">
        <v>France</v>
      </c>
      <c r="O604" s="481" t="str">
        <v>Argentina</v>
      </c>
      <c r="P604" s="481" t="str">
        <v>Portugal</v>
      </c>
      <c r="Q604" s="490" t="str">
        <v>England</v>
      </c>
    </row>
    <row r="605" spans="1:17" x14ac:dyDescent="0.2">
      <c r="A605" s="489">
        <v>602</v>
      </c>
      <c r="B605" s="481" t="str">
        <v>Portugal</v>
      </c>
      <c r="C605" s="481" t="str">
        <v>Argentina</v>
      </c>
      <c r="D605" s="481" t="str">
        <v>France</v>
      </c>
      <c r="E605" s="481" t="str">
        <v>Croatia</v>
      </c>
      <c r="F605" s="481" t="str">
        <v>Mexico</v>
      </c>
      <c r="G605" s="481" t="str">
        <v>Switzerland</v>
      </c>
      <c r="H605" s="481" t="str">
        <v>Morocco</v>
      </c>
      <c r="I605" s="481" t="str">
        <v>USA</v>
      </c>
      <c r="J605" s="481" t="str">
        <v>Germany</v>
      </c>
      <c r="K605" s="481" t="str">
        <v>Netherlands</v>
      </c>
      <c r="L605" s="481" t="str">
        <v>Belgium</v>
      </c>
      <c r="M605" s="481" t="str">
        <v>Uruguay</v>
      </c>
      <c r="N605" s="481" t="str">
        <v>France</v>
      </c>
      <c r="O605" s="481" t="str">
        <v>Algeria</v>
      </c>
      <c r="P605" s="481" t="str">
        <v>Portugal</v>
      </c>
      <c r="Q605" s="490" t="str">
        <v>England</v>
      </c>
    </row>
    <row r="606" spans="1:17" x14ac:dyDescent="0.2">
      <c r="A606" s="489">
        <v>603</v>
      </c>
      <c r="B606" s="481" t="str">
        <v>Argentina</v>
      </c>
      <c r="C606" s="481" t="str">
        <v>Belgium</v>
      </c>
      <c r="D606" s="481" t="str">
        <v>Argentina</v>
      </c>
      <c r="E606" s="481" t="str">
        <v>Morocco</v>
      </c>
      <c r="F606" s="481" t="str">
        <v>Mexico</v>
      </c>
      <c r="G606" s="481" t="str">
        <v>Switzerland</v>
      </c>
      <c r="H606" s="481" t="str">
        <v>Brazil</v>
      </c>
      <c r="I606" s="481" t="str">
        <v>Australia</v>
      </c>
      <c r="J606" s="481" t="str">
        <v>Germany</v>
      </c>
      <c r="K606" s="481" t="str">
        <v>Netherlands</v>
      </c>
      <c r="L606" s="481" t="str">
        <v>IR Iran</v>
      </c>
      <c r="M606" s="481" t="str">
        <v>Spain</v>
      </c>
      <c r="N606" s="481" t="str">
        <v>France</v>
      </c>
      <c r="O606" s="481" t="str">
        <v>Algeria</v>
      </c>
      <c r="P606" s="481" t="str">
        <v>Portugal</v>
      </c>
      <c r="Q606" s="490" t="str">
        <v>England</v>
      </c>
    </row>
    <row r="607" spans="1:17" x14ac:dyDescent="0.2">
      <c r="A607" s="489">
        <v>604</v>
      </c>
      <c r="B607" s="481" t="str">
        <v>England</v>
      </c>
      <c r="C607" s="481" t="str">
        <v>Morocco</v>
      </c>
      <c r="D607" s="481" t="str">
        <v>Morocco</v>
      </c>
      <c r="E607" s="481" t="str">
        <v>Brazil</v>
      </c>
      <c r="F607" s="481" t="str">
        <v>Korea Republic</v>
      </c>
      <c r="G607" s="481" t="str">
        <v>Qatar</v>
      </c>
      <c r="H607" s="481" t="str">
        <v>Brazil</v>
      </c>
      <c r="I607" s="481" t="str">
        <v>USA</v>
      </c>
      <c r="J607" s="481" t="str">
        <v>Germany</v>
      </c>
      <c r="K607" s="481" t="str">
        <v>Japan</v>
      </c>
      <c r="L607" s="481" t="str">
        <v>Egypt</v>
      </c>
      <c r="M607" s="481" t="str">
        <v>Spain</v>
      </c>
      <c r="N607" s="481" t="str">
        <v>France</v>
      </c>
      <c r="O607" s="481" t="str">
        <v>Argentina</v>
      </c>
      <c r="P607" s="481" t="str">
        <v>Portugal</v>
      </c>
      <c r="Q607" s="490" t="str">
        <v>England</v>
      </c>
    </row>
    <row r="608" spans="1:17" x14ac:dyDescent="0.2">
      <c r="A608" s="489">
        <v>605</v>
      </c>
      <c r="B608" s="481" t="str">
        <v>France</v>
      </c>
      <c r="C608" s="481" t="str">
        <v>England</v>
      </c>
      <c r="D608" s="481" t="str">
        <v>England</v>
      </c>
      <c r="E608" s="481" t="str">
        <v>Croatia</v>
      </c>
      <c r="F608" s="481" t="str">
        <v>Korea Republic</v>
      </c>
      <c r="G608" s="481" t="str">
        <v>Switzerland</v>
      </c>
      <c r="H608" s="481" t="str">
        <v>Brazil</v>
      </c>
      <c r="I608" s="481" t="str">
        <v>Australia</v>
      </c>
      <c r="J608" s="481" t="str">
        <v>Germany</v>
      </c>
      <c r="K608" s="481" t="str">
        <v>Japan</v>
      </c>
      <c r="L608" s="481" t="str">
        <v>Belgium</v>
      </c>
      <c r="M608" s="481" t="str">
        <v>Uruguay</v>
      </c>
      <c r="N608" s="481" t="str">
        <v>France</v>
      </c>
      <c r="O608" s="481" t="str">
        <v>Argentina</v>
      </c>
      <c r="P608" s="481" t="str">
        <v>Colombia</v>
      </c>
      <c r="Q608" s="490" t="str">
        <v>Croatia</v>
      </c>
    </row>
    <row r="609" spans="1:17" x14ac:dyDescent="0.2">
      <c r="A609" s="489">
        <v>606</v>
      </c>
      <c r="B609" s="481" t="str">
        <v>USA</v>
      </c>
      <c r="C609" s="481" t="str">
        <v>Egypt</v>
      </c>
      <c r="D609" s="481" t="str">
        <v>Germany</v>
      </c>
      <c r="E609" s="481" t="str">
        <v>Mexico</v>
      </c>
      <c r="F609" s="481" t="str">
        <v>Czechia</v>
      </c>
      <c r="G609" s="481" t="str">
        <v>Canada</v>
      </c>
      <c r="H609" s="481" t="str">
        <v>Morocco</v>
      </c>
      <c r="I609" s="481" t="str">
        <v>Australia</v>
      </c>
      <c r="J609" s="481" t="str">
        <v>Germany</v>
      </c>
      <c r="K609" s="481" t="str">
        <v>Netherlands</v>
      </c>
      <c r="L609" s="481" t="str">
        <v>Belgium</v>
      </c>
      <c r="M609" s="481" t="str">
        <v>Uruguay</v>
      </c>
      <c r="N609" s="481" t="str">
        <v>France</v>
      </c>
      <c r="O609" s="481" t="str">
        <v>Argentina</v>
      </c>
      <c r="P609" s="481" t="str">
        <v>Portugal</v>
      </c>
      <c r="Q609" s="490" t="str">
        <v>England</v>
      </c>
    </row>
    <row r="610" spans="1:17" x14ac:dyDescent="0.2">
      <c r="A610" s="489">
        <v>607</v>
      </c>
      <c r="B610" s="481" t="str">
        <v>Netherlands</v>
      </c>
      <c r="C610" s="481" t="str">
        <v>Germany</v>
      </c>
      <c r="D610" s="481" t="str">
        <v>USA</v>
      </c>
      <c r="E610" s="481" t="str">
        <v>Portugal</v>
      </c>
      <c r="F610" s="481" t="str">
        <v>Korea Republic</v>
      </c>
      <c r="G610" s="481" t="str">
        <v>Switzerland</v>
      </c>
      <c r="H610" s="481" t="str">
        <v>Brazil</v>
      </c>
      <c r="I610" s="481" t="str">
        <v>USA</v>
      </c>
      <c r="J610" s="481" t="str">
        <v>Germany</v>
      </c>
      <c r="K610" s="481" t="str">
        <v>Netherlands</v>
      </c>
      <c r="L610" s="481" t="str">
        <v>Egypt</v>
      </c>
      <c r="M610" s="481" t="str">
        <v>Spain</v>
      </c>
      <c r="N610" s="481" t="str">
        <v>France</v>
      </c>
      <c r="O610" s="481" t="str">
        <v>Argentina</v>
      </c>
      <c r="P610" s="481" t="str">
        <v>Colombia</v>
      </c>
      <c r="Q610" s="490" t="str">
        <v>Croatia</v>
      </c>
    </row>
    <row r="611" spans="1:17" x14ac:dyDescent="0.2">
      <c r="A611" s="489">
        <v>608</v>
      </c>
      <c r="B611" s="481" t="str">
        <v>Spain</v>
      </c>
      <c r="C611" s="481" t="str">
        <v>England</v>
      </c>
      <c r="D611" s="481" t="str">
        <v>England</v>
      </c>
      <c r="E611" s="481" t="str">
        <v>Brazil</v>
      </c>
      <c r="F611" s="481" t="str">
        <v>Korea Republic</v>
      </c>
      <c r="G611" s="481" t="str">
        <v>Qatar</v>
      </c>
      <c r="H611" s="481" t="str">
        <v>Morocco</v>
      </c>
      <c r="I611" s="481" t="str">
        <v>Turkiye</v>
      </c>
      <c r="J611" s="481" t="str">
        <v>Germany</v>
      </c>
      <c r="K611" s="481" t="str">
        <v>Japan</v>
      </c>
      <c r="L611" s="481" t="str">
        <v>Belgium</v>
      </c>
      <c r="M611" s="481" t="str">
        <v>Spain</v>
      </c>
      <c r="N611" s="481" t="str">
        <v>France</v>
      </c>
      <c r="O611" s="481" t="str">
        <v>Algeria</v>
      </c>
      <c r="P611" s="481" t="str">
        <v>Colombia</v>
      </c>
      <c r="Q611" s="490" t="str">
        <v>Ghana</v>
      </c>
    </row>
    <row r="612" spans="1:17" x14ac:dyDescent="0.2">
      <c r="A612" s="489">
        <v>609</v>
      </c>
      <c r="B612" s="481" t="str">
        <v>Australia</v>
      </c>
      <c r="C612" s="481" t="str">
        <v>Portugal</v>
      </c>
      <c r="D612" s="481" t="str">
        <v>Mexico</v>
      </c>
      <c r="E612" s="481" t="str">
        <v>Norway</v>
      </c>
      <c r="F612" s="481" t="str">
        <v>Korea Republic</v>
      </c>
      <c r="G612" s="481" t="str">
        <v>Switzerland</v>
      </c>
      <c r="H612" s="481" t="str">
        <v>Scotland</v>
      </c>
      <c r="I612" s="481" t="str">
        <v>USA</v>
      </c>
      <c r="J612" s="481" t="str">
        <v>Germany</v>
      </c>
      <c r="K612" s="481" t="str">
        <v>Sweden</v>
      </c>
      <c r="L612" s="481" t="str">
        <v>Egypt</v>
      </c>
      <c r="M612" s="481" t="str">
        <v>Spain</v>
      </c>
      <c r="N612" s="481" t="str">
        <v>France</v>
      </c>
      <c r="O612" s="481" t="str">
        <v>Algeria</v>
      </c>
      <c r="P612" s="481" t="str">
        <v>Portugal</v>
      </c>
      <c r="Q612" s="490" t="str">
        <v>England</v>
      </c>
    </row>
    <row r="613" spans="1:17" x14ac:dyDescent="0.2">
      <c r="A613" s="489">
        <v>610</v>
      </c>
      <c r="B613" s="481" t="str">
        <v>England</v>
      </c>
      <c r="C613" s="481" t="str">
        <v>Korea Republic</v>
      </c>
      <c r="D613" s="481" t="str">
        <v>Belgium</v>
      </c>
      <c r="E613" s="481" t="str">
        <v>Belgium</v>
      </c>
      <c r="F613" s="481" t="str">
        <v>Korea Republic</v>
      </c>
      <c r="G613" s="481" t="str">
        <v>Switzerland</v>
      </c>
      <c r="H613" s="481" t="str">
        <v>Brazil</v>
      </c>
      <c r="I613" s="481" t="str">
        <v>USA</v>
      </c>
      <c r="J613" s="481" t="str">
        <v>Germany</v>
      </c>
      <c r="K613" s="481" t="str">
        <v>Netherlands</v>
      </c>
      <c r="L613" s="481" t="str">
        <v>IR Iran</v>
      </c>
      <c r="M613" s="481" t="str">
        <v>Spain</v>
      </c>
      <c r="N613" s="481" t="str">
        <v>Senegal</v>
      </c>
      <c r="O613" s="481" t="str">
        <v>Algeria</v>
      </c>
      <c r="P613" s="481" t="str">
        <v>Colombia</v>
      </c>
      <c r="Q613" s="490" t="str">
        <v>England</v>
      </c>
    </row>
    <row r="614" spans="1:17" x14ac:dyDescent="0.2">
      <c r="A614" s="489">
        <v>611</v>
      </c>
      <c r="B614" s="481" t="str">
        <v>Morocco</v>
      </c>
      <c r="C614" s="481" t="str">
        <v>Germany</v>
      </c>
      <c r="D614" s="481" t="str">
        <v>Belgium</v>
      </c>
      <c r="E614" s="481" t="str">
        <v>Colombia</v>
      </c>
      <c r="F614" s="481" t="str">
        <v>Czechia</v>
      </c>
      <c r="G614" s="481" t="str">
        <v>Canada</v>
      </c>
      <c r="H614" s="481" t="str">
        <v>Morocco</v>
      </c>
      <c r="I614" s="481" t="str">
        <v>USA</v>
      </c>
      <c r="J614" s="481" t="str">
        <v>Germany</v>
      </c>
      <c r="K614" s="481" t="str">
        <v>Japan</v>
      </c>
      <c r="L614" s="481" t="str">
        <v>Belgium</v>
      </c>
      <c r="M614" s="481" t="str">
        <v>Uruguay</v>
      </c>
      <c r="N614" s="481" t="str">
        <v>Norway</v>
      </c>
      <c r="O614" s="481" t="str">
        <v>Argentina</v>
      </c>
      <c r="P614" s="481" t="str">
        <v>Portugal</v>
      </c>
      <c r="Q614" s="490" t="str">
        <v>England</v>
      </c>
    </row>
    <row r="615" spans="1:17" x14ac:dyDescent="0.2">
      <c r="A615" s="489">
        <v>612</v>
      </c>
      <c r="B615" s="481" t="str">
        <v>France</v>
      </c>
      <c r="C615" s="481" t="str">
        <v>Colombia</v>
      </c>
      <c r="D615" s="481" t="str">
        <v>Netherlands</v>
      </c>
      <c r="E615" s="481" t="str">
        <v>IR Iran</v>
      </c>
      <c r="F615" s="481" t="str">
        <v>Mexico</v>
      </c>
      <c r="G615" s="481" t="str">
        <v>Switzerland</v>
      </c>
      <c r="H615" s="481" t="str">
        <v>Morocco</v>
      </c>
      <c r="I615" s="481" t="str">
        <v>Australia</v>
      </c>
      <c r="J615" s="481" t="str">
        <v>Ecuador</v>
      </c>
      <c r="K615" s="481" t="str">
        <v>Sweden</v>
      </c>
      <c r="L615" s="481" t="str">
        <v>Belgium</v>
      </c>
      <c r="M615" s="481" t="str">
        <v>Spain</v>
      </c>
      <c r="N615" s="481" t="str">
        <v>Senegal</v>
      </c>
      <c r="O615" s="481" t="str">
        <v>Argentina</v>
      </c>
      <c r="P615" s="481" t="str">
        <v>Portugal</v>
      </c>
      <c r="Q615" s="490" t="str">
        <v>Croatia</v>
      </c>
    </row>
    <row r="616" spans="1:17" x14ac:dyDescent="0.2">
      <c r="A616" s="489">
        <v>613</v>
      </c>
      <c r="B616" s="481" t="str">
        <v>Portugal</v>
      </c>
      <c r="C616" s="481" t="str">
        <v>Portugal</v>
      </c>
      <c r="D616" s="481" t="str">
        <v>Germany</v>
      </c>
      <c r="E616" s="481" t="str">
        <v>Brazil</v>
      </c>
      <c r="F616" s="481" t="str">
        <v>Mexico</v>
      </c>
      <c r="G616" s="481" t="str">
        <v>Qatar</v>
      </c>
      <c r="H616" s="481" t="str">
        <v>Morocco</v>
      </c>
      <c r="I616" s="481" t="str">
        <v>USA</v>
      </c>
      <c r="J616" s="481" t="str">
        <v>Ecuador</v>
      </c>
      <c r="K616" s="481" t="str">
        <v>Netherlands</v>
      </c>
      <c r="L616" s="481" t="str">
        <v>Belgium</v>
      </c>
      <c r="M616" s="481" t="str">
        <v>Uruguay</v>
      </c>
      <c r="N616" s="481" t="str">
        <v>Norway</v>
      </c>
      <c r="O616" s="481" t="str">
        <v>Argentina</v>
      </c>
      <c r="P616" s="481" t="str">
        <v>Congo DR</v>
      </c>
      <c r="Q616" s="490" t="str">
        <v>England</v>
      </c>
    </row>
    <row r="617" spans="1:17" x14ac:dyDescent="0.2">
      <c r="A617" s="489">
        <v>614</v>
      </c>
      <c r="B617" s="481" t="str">
        <v>Netherlands</v>
      </c>
      <c r="C617" s="481" t="str">
        <v>France</v>
      </c>
      <c r="D617" s="481" t="str">
        <v>Spain</v>
      </c>
      <c r="E617" s="481" t="str">
        <v>Panama</v>
      </c>
      <c r="F617" s="481" t="str">
        <v>Mexico</v>
      </c>
      <c r="G617" s="481" t="str">
        <v>Switzerland</v>
      </c>
      <c r="H617" s="481" t="str">
        <v>Brazil</v>
      </c>
      <c r="I617" s="481" t="str">
        <v>USA</v>
      </c>
      <c r="J617" s="481" t="str">
        <v>Germany</v>
      </c>
      <c r="K617" s="481" t="str">
        <v>Netherlands</v>
      </c>
      <c r="L617" s="481" t="str">
        <v>Egypt</v>
      </c>
      <c r="M617" s="481" t="str">
        <v>Spain</v>
      </c>
      <c r="N617" s="481" t="str">
        <v>France</v>
      </c>
      <c r="O617" s="481" t="str">
        <v>Argentina</v>
      </c>
      <c r="P617" s="481" t="str">
        <v>Portugal</v>
      </c>
      <c r="Q617" s="490" t="str">
        <v>Croatia</v>
      </c>
    </row>
    <row r="618" spans="1:17" x14ac:dyDescent="0.2">
      <c r="A618" s="489">
        <v>615</v>
      </c>
      <c r="B618" s="481" t="str">
        <v>Netherlands</v>
      </c>
      <c r="C618" s="481" t="str">
        <v>Tunisia</v>
      </c>
      <c r="D618" s="481" t="str">
        <v>Portugal</v>
      </c>
      <c r="E618" s="481" t="str">
        <v>Portugal</v>
      </c>
      <c r="F618" s="481" t="str">
        <v>Mexico</v>
      </c>
      <c r="G618" s="481" t="str">
        <v>Canada</v>
      </c>
      <c r="H618" s="481" t="str">
        <v>Morocco</v>
      </c>
      <c r="I618" s="481" t="str">
        <v>Australia</v>
      </c>
      <c r="J618" s="481" t="str">
        <v>Germany</v>
      </c>
      <c r="K618" s="481" t="str">
        <v>Japan</v>
      </c>
      <c r="L618" s="481" t="str">
        <v>Belgium</v>
      </c>
      <c r="M618" s="481" t="str">
        <v>Spain</v>
      </c>
      <c r="N618" s="481" t="str">
        <v>France</v>
      </c>
      <c r="O618" s="481" t="str">
        <v>Austria</v>
      </c>
      <c r="P618" s="481" t="str">
        <v>Colombia</v>
      </c>
      <c r="Q618" s="490" t="str">
        <v>England</v>
      </c>
    </row>
    <row r="619" spans="1:17" x14ac:dyDescent="0.2">
      <c r="A619" s="489">
        <v>616</v>
      </c>
      <c r="B619" s="481" t="str">
        <v>Germany</v>
      </c>
      <c r="C619" s="481" t="str">
        <v>Colombia</v>
      </c>
      <c r="D619" s="481" t="str">
        <v>Korea Republic</v>
      </c>
      <c r="E619" s="481" t="str">
        <v>USA</v>
      </c>
      <c r="F619" s="481" t="str">
        <v>Mexico</v>
      </c>
      <c r="G619" s="481" t="str">
        <v>Qatar</v>
      </c>
      <c r="H619" s="481" t="str">
        <v>Morocco</v>
      </c>
      <c r="I619" s="481" t="str">
        <v>USA</v>
      </c>
      <c r="J619" s="481" t="str">
        <v>Germany</v>
      </c>
      <c r="K619" s="481" t="str">
        <v>Netherlands</v>
      </c>
      <c r="L619" s="481" t="str">
        <v>IR Iran</v>
      </c>
      <c r="M619" s="481" t="str">
        <v>Cabo Verde</v>
      </c>
      <c r="N619" s="481" t="str">
        <v>France</v>
      </c>
      <c r="O619" s="481" t="str">
        <v>Argentina</v>
      </c>
      <c r="P619" s="481" t="str">
        <v>Portugal</v>
      </c>
      <c r="Q619" s="490" t="str">
        <v>England</v>
      </c>
    </row>
    <row r="620" spans="1:17" x14ac:dyDescent="0.2">
      <c r="A620" s="489">
        <v>617</v>
      </c>
      <c r="B620" s="481" t="str">
        <v>Belgium</v>
      </c>
      <c r="C620" s="481" t="str">
        <v>Belgium</v>
      </c>
      <c r="D620" s="481" t="str">
        <v>Argentina</v>
      </c>
      <c r="E620" s="481" t="str">
        <v>Switzerland</v>
      </c>
      <c r="F620" s="481" t="str">
        <v>Czechia</v>
      </c>
      <c r="G620" s="481" t="str">
        <v>Switzerland</v>
      </c>
      <c r="H620" s="481" t="str">
        <v>Brazil</v>
      </c>
      <c r="I620" s="481" t="str">
        <v>Paraguay</v>
      </c>
      <c r="J620" s="481" t="str">
        <v>Cote d'Ivorie</v>
      </c>
      <c r="K620" s="481" t="str">
        <v>Netherlands</v>
      </c>
      <c r="L620" s="481" t="str">
        <v>Belgium</v>
      </c>
      <c r="M620" s="481" t="str">
        <v>Uruguay</v>
      </c>
      <c r="N620" s="481" t="str">
        <v>France</v>
      </c>
      <c r="O620" s="481" t="str">
        <v>Argentina</v>
      </c>
      <c r="P620" s="481" t="str">
        <v>Portugal</v>
      </c>
      <c r="Q620" s="490" t="str">
        <v>Croatia</v>
      </c>
    </row>
    <row r="621" spans="1:17" x14ac:dyDescent="0.2">
      <c r="A621" s="489">
        <v>618</v>
      </c>
      <c r="B621" s="481" t="str">
        <v>England</v>
      </c>
      <c r="C621" s="481" t="str">
        <v>Portugal</v>
      </c>
      <c r="D621" s="481" t="str">
        <v>Belgium</v>
      </c>
      <c r="E621" s="481" t="str">
        <v>Argentina</v>
      </c>
      <c r="F621" s="481" t="str">
        <v>Korea Republic</v>
      </c>
      <c r="G621" s="481" t="str">
        <v>Bosnia-Herzegovina</v>
      </c>
      <c r="H621" s="481" t="str">
        <v>Brazil</v>
      </c>
      <c r="I621" s="481" t="str">
        <v>USA</v>
      </c>
      <c r="J621" s="481" t="str">
        <v>Germany</v>
      </c>
      <c r="K621" s="481" t="str">
        <v>Netherlands</v>
      </c>
      <c r="L621" s="481" t="str">
        <v>Belgium</v>
      </c>
      <c r="M621" s="481" t="str">
        <v>Saudi Arabia</v>
      </c>
      <c r="N621" s="481" t="str">
        <v>France</v>
      </c>
      <c r="O621" s="481" t="str">
        <v>Argentina</v>
      </c>
      <c r="P621" s="481" t="str">
        <v>Portugal</v>
      </c>
      <c r="Q621" s="490" t="str">
        <v>England</v>
      </c>
    </row>
    <row r="622" spans="1:17" x14ac:dyDescent="0.2">
      <c r="A622" s="489">
        <v>619</v>
      </c>
      <c r="B622" s="481" t="str">
        <v>England</v>
      </c>
      <c r="C622" s="481" t="str">
        <v>Spain</v>
      </c>
      <c r="D622" s="481" t="str">
        <v>Germany</v>
      </c>
      <c r="E622" s="481" t="str">
        <v>Colombia</v>
      </c>
      <c r="F622" s="481" t="str">
        <v>Korea Republic</v>
      </c>
      <c r="G622" s="481" t="str">
        <v>Switzerland</v>
      </c>
      <c r="H622" s="481" t="str">
        <v>Brazil</v>
      </c>
      <c r="I622" s="481" t="str">
        <v>USA</v>
      </c>
      <c r="J622" s="481" t="str">
        <v>Germany</v>
      </c>
      <c r="K622" s="481" t="str">
        <v>Netherlands</v>
      </c>
      <c r="L622" s="481" t="str">
        <v>IR Iran</v>
      </c>
      <c r="M622" s="481" t="str">
        <v>Spain</v>
      </c>
      <c r="N622" s="481" t="str">
        <v>Norway</v>
      </c>
      <c r="O622" s="481" t="str">
        <v>Argentina</v>
      </c>
      <c r="P622" s="481" t="str">
        <v>Portugal</v>
      </c>
      <c r="Q622" s="490" t="str">
        <v>England</v>
      </c>
    </row>
    <row r="623" spans="1:17" x14ac:dyDescent="0.2">
      <c r="A623" s="489">
        <v>620</v>
      </c>
      <c r="B623" s="481" t="str">
        <v>Brazil</v>
      </c>
      <c r="C623" s="481" t="str">
        <v>Croatia</v>
      </c>
      <c r="D623" s="481" t="str">
        <v>Egypt</v>
      </c>
      <c r="E623" s="481" t="str">
        <v>England</v>
      </c>
      <c r="F623" s="481" t="str">
        <v>Korea Republic</v>
      </c>
      <c r="G623" s="481" t="str">
        <v>Canada</v>
      </c>
      <c r="H623" s="481" t="str">
        <v>Brazil</v>
      </c>
      <c r="I623" s="481" t="str">
        <v>USA</v>
      </c>
      <c r="J623" s="481" t="str">
        <v>Germany</v>
      </c>
      <c r="K623" s="481" t="str">
        <v>Netherlands</v>
      </c>
      <c r="L623" s="481" t="str">
        <v>Belgium</v>
      </c>
      <c r="M623" s="481" t="str">
        <v>Uruguay</v>
      </c>
      <c r="N623" s="481" t="str">
        <v>Senegal</v>
      </c>
      <c r="O623" s="481" t="str">
        <v>Austria</v>
      </c>
      <c r="P623" s="481" t="str">
        <v>Uzbekistan</v>
      </c>
      <c r="Q623" s="490" t="str">
        <v>England</v>
      </c>
    </row>
    <row r="624" spans="1:17" x14ac:dyDescent="0.2">
      <c r="A624" s="489">
        <v>621</v>
      </c>
      <c r="B624" s="481" t="str">
        <v>Germany</v>
      </c>
      <c r="C624" s="481" t="str">
        <v>France</v>
      </c>
      <c r="D624" s="481" t="str">
        <v>Spain</v>
      </c>
      <c r="E624" s="481" t="str">
        <v>England</v>
      </c>
      <c r="F624" s="481" t="str">
        <v>Korea Republic</v>
      </c>
      <c r="G624" s="481" t="str">
        <v>Canada</v>
      </c>
      <c r="H624" s="481" t="str">
        <v>Brazil</v>
      </c>
      <c r="I624" s="481" t="str">
        <v>USA</v>
      </c>
      <c r="J624" s="481" t="str">
        <v>Germany</v>
      </c>
      <c r="K624" s="481" t="str">
        <v>Japan</v>
      </c>
      <c r="L624" s="481" t="str">
        <v>Belgium</v>
      </c>
      <c r="M624" s="481" t="str">
        <v>Uruguay</v>
      </c>
      <c r="N624" s="481" t="str">
        <v>France</v>
      </c>
      <c r="O624" s="481" t="str">
        <v>Algeria</v>
      </c>
      <c r="P624" s="481" t="str">
        <v>Portugal</v>
      </c>
      <c r="Q624" s="490" t="str">
        <v>England</v>
      </c>
    </row>
    <row r="625" spans="1:17" x14ac:dyDescent="0.2">
      <c r="A625" s="489">
        <v>622</v>
      </c>
      <c r="B625" s="481" t="str">
        <v>Germany</v>
      </c>
      <c r="C625" s="481" t="str">
        <v>Belgium</v>
      </c>
      <c r="D625" s="481" t="str">
        <v>Germany</v>
      </c>
      <c r="E625" s="481" t="str">
        <v>Belgium</v>
      </c>
      <c r="F625" s="481" t="str">
        <v>Korea Republic</v>
      </c>
      <c r="G625" s="481" t="str">
        <v>Switzerland</v>
      </c>
      <c r="H625" s="481" t="str">
        <v>Morocco</v>
      </c>
      <c r="I625" s="481" t="str">
        <v>USA</v>
      </c>
      <c r="J625" s="481" t="str">
        <v>Germany</v>
      </c>
      <c r="K625" s="481" t="str">
        <v>Japan</v>
      </c>
      <c r="L625" s="481" t="str">
        <v>Belgium</v>
      </c>
      <c r="M625" s="481" t="str">
        <v>Spain</v>
      </c>
      <c r="N625" s="481" t="str">
        <v>Senegal</v>
      </c>
      <c r="O625" s="481" t="str">
        <v>Austria</v>
      </c>
      <c r="P625" s="481" t="str">
        <v>Portugal</v>
      </c>
      <c r="Q625" s="490" t="str">
        <v>England</v>
      </c>
    </row>
    <row r="626" spans="1:17" x14ac:dyDescent="0.2">
      <c r="A626" s="489">
        <v>623</v>
      </c>
      <c r="B626" s="481" t="str">
        <v>Austria</v>
      </c>
      <c r="C626" s="481" t="str">
        <v>Spain</v>
      </c>
      <c r="D626" s="481" t="str">
        <v>Mexico</v>
      </c>
      <c r="E626" s="481" t="str">
        <v>France</v>
      </c>
      <c r="F626" s="481" t="str">
        <v>Korea Republic</v>
      </c>
      <c r="G626" s="481" t="str">
        <v>Canada</v>
      </c>
      <c r="H626" s="481" t="str">
        <v>Brazil</v>
      </c>
      <c r="I626" s="481" t="str">
        <v>USA</v>
      </c>
      <c r="J626" s="481" t="str">
        <v>Germany</v>
      </c>
      <c r="K626" s="481" t="str">
        <v>Netherlands</v>
      </c>
      <c r="L626" s="481" t="str">
        <v>Belgium</v>
      </c>
      <c r="M626" s="481" t="str">
        <v>Spain</v>
      </c>
      <c r="N626" s="481" t="str">
        <v>France</v>
      </c>
      <c r="O626" s="481" t="str">
        <v>Argentina</v>
      </c>
      <c r="P626" s="481" t="str">
        <v>Portugal</v>
      </c>
      <c r="Q626" s="490" t="str">
        <v>Croatia</v>
      </c>
    </row>
    <row r="627" spans="1:17" x14ac:dyDescent="0.2">
      <c r="A627" s="489">
        <v>624</v>
      </c>
      <c r="B627" s="481" t="str">
        <v>Argentina</v>
      </c>
      <c r="C627" s="481" t="str">
        <v>England</v>
      </c>
      <c r="D627" s="481" t="str">
        <v>Spain</v>
      </c>
      <c r="E627" s="481" t="str">
        <v>Brazil</v>
      </c>
      <c r="F627" s="481" t="str">
        <v>Mexico</v>
      </c>
      <c r="G627" s="481" t="str">
        <v>Switzerland</v>
      </c>
      <c r="H627" s="481" t="str">
        <v>Brazil</v>
      </c>
      <c r="I627" s="481" t="str">
        <v>USA</v>
      </c>
      <c r="J627" s="481" t="str">
        <v>Germany</v>
      </c>
      <c r="K627" s="481" t="str">
        <v>Japan</v>
      </c>
      <c r="L627" s="481" t="str">
        <v>IR Iran</v>
      </c>
      <c r="M627" s="481" t="str">
        <v>Spain</v>
      </c>
      <c r="N627" s="481" t="str">
        <v>France</v>
      </c>
      <c r="O627" s="481" t="str">
        <v>Austria</v>
      </c>
      <c r="P627" s="481" t="str">
        <v>Portugal</v>
      </c>
      <c r="Q627" s="490" t="str">
        <v>England</v>
      </c>
    </row>
    <row r="628" spans="1:17" x14ac:dyDescent="0.2">
      <c r="A628" s="489">
        <v>625</v>
      </c>
      <c r="B628" s="481" t="str">
        <v>Mexico</v>
      </c>
      <c r="C628" s="481" t="str">
        <v>Colombia</v>
      </c>
      <c r="D628" s="481" t="str">
        <v>Australia</v>
      </c>
      <c r="E628" s="481" t="str">
        <v>France</v>
      </c>
      <c r="F628" s="481" t="str">
        <v>Mexico</v>
      </c>
      <c r="G628" s="481" t="str">
        <v>Switzerland</v>
      </c>
      <c r="H628" s="481" t="str">
        <v>Brazil</v>
      </c>
      <c r="I628" s="481" t="str">
        <v>Australia</v>
      </c>
      <c r="J628" s="481" t="str">
        <v>Germany</v>
      </c>
      <c r="K628" s="481" t="str">
        <v>Netherlands</v>
      </c>
      <c r="L628" s="481" t="str">
        <v>Egypt</v>
      </c>
      <c r="M628" s="481" t="str">
        <v>Uruguay</v>
      </c>
      <c r="N628" s="481" t="str">
        <v>France</v>
      </c>
      <c r="O628" s="481" t="str">
        <v>Austria</v>
      </c>
      <c r="P628" s="481" t="str">
        <v>Portugal</v>
      </c>
      <c r="Q628" s="490" t="str">
        <v>Croatia</v>
      </c>
    </row>
    <row r="629" spans="1:17" x14ac:dyDescent="0.2">
      <c r="A629" s="489">
        <v>626</v>
      </c>
      <c r="B629" s="481" t="str">
        <v>USA</v>
      </c>
      <c r="C629" s="481" t="str">
        <v>Austria</v>
      </c>
      <c r="D629" s="481" t="str">
        <v>England</v>
      </c>
      <c r="E629" s="481" t="str">
        <v>Qatar</v>
      </c>
      <c r="F629" s="481" t="str">
        <v>Korea Republic</v>
      </c>
      <c r="G629" s="481" t="str">
        <v>Canada</v>
      </c>
      <c r="H629" s="481" t="str">
        <v>Morocco</v>
      </c>
      <c r="I629" s="481" t="str">
        <v>USA</v>
      </c>
      <c r="J629" s="481" t="str">
        <v>Germany</v>
      </c>
      <c r="K629" s="481" t="str">
        <v>Japan</v>
      </c>
      <c r="L629" s="481" t="str">
        <v>Egypt</v>
      </c>
      <c r="M629" s="481" t="str">
        <v>Uruguay</v>
      </c>
      <c r="N629" s="481" t="str">
        <v>France</v>
      </c>
      <c r="O629" s="481" t="str">
        <v>Argentina</v>
      </c>
      <c r="P629" s="481" t="str">
        <v>Portugal</v>
      </c>
      <c r="Q629" s="490" t="str">
        <v>Croatia</v>
      </c>
    </row>
    <row r="630" spans="1:17" x14ac:dyDescent="0.2">
      <c r="A630" s="489">
        <v>627</v>
      </c>
      <c r="B630" s="481" t="str">
        <v>Brazil</v>
      </c>
      <c r="C630" s="481" t="str">
        <v>France</v>
      </c>
      <c r="D630" s="481" t="str">
        <v>Germany</v>
      </c>
      <c r="E630" s="481" t="str">
        <v>USA</v>
      </c>
      <c r="F630" s="481" t="str">
        <v>Mexico</v>
      </c>
      <c r="G630" s="481" t="str">
        <v>Canada</v>
      </c>
      <c r="H630" s="481" t="str">
        <v>Morocco</v>
      </c>
      <c r="I630" s="481" t="str">
        <v>Australia</v>
      </c>
      <c r="J630" s="481" t="str">
        <v>Germany</v>
      </c>
      <c r="K630" s="481" t="str">
        <v>Sweden</v>
      </c>
      <c r="L630" s="481" t="str">
        <v>Belgium</v>
      </c>
      <c r="M630" s="481" t="str">
        <v>Spain</v>
      </c>
      <c r="N630" s="481" t="str">
        <v>Senegal</v>
      </c>
      <c r="O630" s="481" t="str">
        <v>Argentina</v>
      </c>
      <c r="P630" s="481" t="str">
        <v>Colombia</v>
      </c>
      <c r="Q630" s="490" t="str">
        <v>Panama</v>
      </c>
    </row>
    <row r="631" spans="1:17" x14ac:dyDescent="0.2">
      <c r="A631" s="489">
        <v>628</v>
      </c>
      <c r="B631" s="481" t="str">
        <v>Brazil</v>
      </c>
      <c r="C631" s="481" t="str">
        <v>England</v>
      </c>
      <c r="D631" s="481" t="str">
        <v>Brazil</v>
      </c>
      <c r="E631" s="481" t="str">
        <v>USA</v>
      </c>
      <c r="F631" s="481" t="str">
        <v>Mexico</v>
      </c>
      <c r="G631" s="481" t="str">
        <v>Switzerland</v>
      </c>
      <c r="H631" s="481" t="str">
        <v>Brazil</v>
      </c>
      <c r="I631" s="481" t="str">
        <v>Australia</v>
      </c>
      <c r="J631" s="481" t="str">
        <v>Germany</v>
      </c>
      <c r="K631" s="481" t="str">
        <v>Netherlands</v>
      </c>
      <c r="L631" s="481" t="str">
        <v>Belgium</v>
      </c>
      <c r="M631" s="481" t="str">
        <v>Uruguay</v>
      </c>
      <c r="N631" s="481" t="str">
        <v>France</v>
      </c>
      <c r="O631" s="481" t="str">
        <v>Argentina</v>
      </c>
      <c r="P631" s="481" t="str">
        <v>Portugal</v>
      </c>
      <c r="Q631" s="490" t="str">
        <v>England</v>
      </c>
    </row>
    <row r="632" spans="1:17" x14ac:dyDescent="0.2">
      <c r="A632" s="489">
        <v>629</v>
      </c>
      <c r="B632" s="481" t="str">
        <v>Germany</v>
      </c>
      <c r="C632" s="481" t="str">
        <v>France</v>
      </c>
      <c r="D632" s="481" t="str">
        <v>Belgium</v>
      </c>
      <c r="E632" s="481" t="str">
        <v>Brazil</v>
      </c>
      <c r="F632" s="481" t="str">
        <v>Mexico</v>
      </c>
      <c r="G632" s="481" t="str">
        <v>Switzerland</v>
      </c>
      <c r="H632" s="481" t="str">
        <v>Brazil</v>
      </c>
      <c r="I632" s="481" t="str">
        <v>USA</v>
      </c>
      <c r="J632" s="481" t="str">
        <v>Germany</v>
      </c>
      <c r="K632" s="481" t="str">
        <v>Japan</v>
      </c>
      <c r="L632" s="481" t="str">
        <v>Belgium</v>
      </c>
      <c r="M632" s="481" t="str">
        <v>Spain</v>
      </c>
      <c r="N632" s="481" t="str">
        <v>France</v>
      </c>
      <c r="O632" s="481" t="str">
        <v>Argentina</v>
      </c>
      <c r="P632" s="481" t="str">
        <v>Colombia</v>
      </c>
      <c r="Q632" s="490" t="str">
        <v>Croatia</v>
      </c>
    </row>
    <row r="633" spans="1:17" x14ac:dyDescent="0.2">
      <c r="A633" s="489">
        <v>630</v>
      </c>
      <c r="B633" s="481" t="str">
        <v>Argentina</v>
      </c>
      <c r="C633" s="481" t="str">
        <v>Portugal</v>
      </c>
      <c r="D633" s="481" t="str">
        <v>Germany</v>
      </c>
      <c r="E633" s="481" t="str">
        <v>Australia</v>
      </c>
      <c r="F633" s="481" t="str">
        <v>Mexico</v>
      </c>
      <c r="G633" s="481" t="str">
        <v>Qatar</v>
      </c>
      <c r="H633" s="481" t="str">
        <v>Brazil</v>
      </c>
      <c r="I633" s="481" t="str">
        <v>USA</v>
      </c>
      <c r="J633" s="481" t="str">
        <v>Germany</v>
      </c>
      <c r="K633" s="481" t="str">
        <v>Netherlands</v>
      </c>
      <c r="L633" s="481" t="str">
        <v>Belgium</v>
      </c>
      <c r="M633" s="481" t="str">
        <v>Uruguay</v>
      </c>
      <c r="N633" s="481" t="str">
        <v>Senegal</v>
      </c>
      <c r="O633" s="481" t="str">
        <v>Argentina</v>
      </c>
      <c r="P633" s="481" t="str">
        <v>Colombia</v>
      </c>
      <c r="Q633" s="490" t="str">
        <v>England</v>
      </c>
    </row>
    <row r="634" spans="1:17" x14ac:dyDescent="0.2">
      <c r="A634" s="489">
        <v>631</v>
      </c>
      <c r="B634" s="481" t="str">
        <v>Norway</v>
      </c>
      <c r="C634" s="481" t="str">
        <v>Argentina</v>
      </c>
      <c r="D634" s="481" t="str">
        <v>Spain</v>
      </c>
      <c r="E634" s="481" t="str">
        <v>Spain</v>
      </c>
      <c r="F634" s="481" t="str">
        <v>Korea Republic</v>
      </c>
      <c r="G634" s="481" t="str">
        <v>Canada</v>
      </c>
      <c r="H634" s="481" t="str">
        <v>Scotland</v>
      </c>
      <c r="I634" s="481" t="str">
        <v>USA</v>
      </c>
      <c r="J634" s="481" t="str">
        <v>Cote d'Ivorie</v>
      </c>
      <c r="K634" s="481" t="str">
        <v>Sweden</v>
      </c>
      <c r="L634" s="481" t="str">
        <v>Belgium</v>
      </c>
      <c r="M634" s="481" t="str">
        <v>Saudi Arabia</v>
      </c>
      <c r="N634" s="481" t="str">
        <v>France</v>
      </c>
      <c r="O634" s="481" t="str">
        <v>Algeria</v>
      </c>
      <c r="P634" s="481" t="str">
        <v>Portugal</v>
      </c>
      <c r="Q634" s="490" t="str">
        <v>Croatia</v>
      </c>
    </row>
    <row r="635" spans="1:17" x14ac:dyDescent="0.2">
      <c r="A635" s="489">
        <v>632</v>
      </c>
      <c r="B635" s="481" t="str">
        <v>Brazil</v>
      </c>
      <c r="C635" s="481" t="str">
        <v>USA</v>
      </c>
      <c r="D635" s="481" t="str">
        <v>France</v>
      </c>
      <c r="E635" s="481" t="str">
        <v>Austria</v>
      </c>
      <c r="F635" s="481" t="str">
        <v>Korea Republic</v>
      </c>
      <c r="G635" s="481" t="str">
        <v>Switzerland</v>
      </c>
      <c r="H635" s="481" t="str">
        <v>Brazil</v>
      </c>
      <c r="I635" s="481" t="str">
        <v>USA</v>
      </c>
      <c r="J635" s="481" t="str">
        <v>Germany</v>
      </c>
      <c r="K635" s="481" t="str">
        <v>Japan</v>
      </c>
      <c r="L635" s="481" t="str">
        <v>Belgium</v>
      </c>
      <c r="M635" s="481" t="str">
        <v>Spain</v>
      </c>
      <c r="N635" s="481" t="str">
        <v>Norway</v>
      </c>
      <c r="O635" s="481" t="str">
        <v>Algeria</v>
      </c>
      <c r="P635" s="481" t="str">
        <v>Colombia</v>
      </c>
      <c r="Q635" s="490" t="str">
        <v>England</v>
      </c>
    </row>
    <row r="636" spans="1:17" x14ac:dyDescent="0.2">
      <c r="A636" s="489">
        <v>633</v>
      </c>
      <c r="B636" s="481" t="str">
        <v>Portugal</v>
      </c>
      <c r="C636" s="481" t="str">
        <v>Australia</v>
      </c>
      <c r="D636" s="481" t="str">
        <v>Spain</v>
      </c>
      <c r="E636" s="481" t="str">
        <v>IR Iran</v>
      </c>
      <c r="F636" s="481" t="str">
        <v>Mexico</v>
      </c>
      <c r="G636" s="481" t="str">
        <v>Qatar</v>
      </c>
      <c r="H636" s="481" t="str">
        <v>Brazil</v>
      </c>
      <c r="I636" s="481" t="str">
        <v>Australia</v>
      </c>
      <c r="J636" s="481" t="str">
        <v>Germany</v>
      </c>
      <c r="K636" s="481" t="str">
        <v>Japan</v>
      </c>
      <c r="L636" s="481" t="str">
        <v>Belgium</v>
      </c>
      <c r="M636" s="481" t="str">
        <v>Spain</v>
      </c>
      <c r="N636" s="481" t="str">
        <v>Senegal</v>
      </c>
      <c r="O636" s="481" t="str">
        <v>Argentina</v>
      </c>
      <c r="P636" s="481" t="str">
        <v>Portugal</v>
      </c>
      <c r="Q636" s="490" t="str">
        <v>England</v>
      </c>
    </row>
    <row r="637" spans="1:17" x14ac:dyDescent="0.2">
      <c r="A637" s="489">
        <v>634</v>
      </c>
      <c r="B637" s="481" t="str">
        <v>England</v>
      </c>
      <c r="C637" s="481" t="str">
        <v>Uruguay</v>
      </c>
      <c r="D637" s="481" t="str">
        <v>Uruguay</v>
      </c>
      <c r="E637" s="481" t="str">
        <v>Algeria</v>
      </c>
      <c r="F637" s="481" t="str">
        <v>Mexico</v>
      </c>
      <c r="G637" s="481" t="str">
        <v>Canada</v>
      </c>
      <c r="H637" s="481" t="str">
        <v>Brazil</v>
      </c>
      <c r="I637" s="481" t="str">
        <v>Australia</v>
      </c>
      <c r="J637" s="481" t="str">
        <v>Germany</v>
      </c>
      <c r="K637" s="481" t="str">
        <v>Sweden</v>
      </c>
      <c r="L637" s="481" t="str">
        <v>Egypt</v>
      </c>
      <c r="M637" s="481" t="str">
        <v>Uruguay</v>
      </c>
      <c r="N637" s="481" t="str">
        <v>France</v>
      </c>
      <c r="O637" s="481" t="str">
        <v>Argentina</v>
      </c>
      <c r="P637" s="481" t="str">
        <v>Portugal</v>
      </c>
      <c r="Q637" s="490" t="str">
        <v>England</v>
      </c>
    </row>
    <row r="638" spans="1:17" x14ac:dyDescent="0.2">
      <c r="A638" s="489">
        <v>635</v>
      </c>
      <c r="B638" s="481" t="str">
        <v>Argentina</v>
      </c>
      <c r="C638" s="481" t="str">
        <v>Belgium</v>
      </c>
      <c r="D638" s="481" t="str">
        <v>Spain</v>
      </c>
      <c r="E638" s="481" t="str">
        <v>Paraguay</v>
      </c>
      <c r="F638" s="481" t="str">
        <v>Mexico</v>
      </c>
      <c r="G638" s="481" t="str">
        <v>Bosnia-Herzegovina</v>
      </c>
      <c r="H638" s="481" t="str">
        <v>Brazil</v>
      </c>
      <c r="I638" s="481" t="str">
        <v>Australia</v>
      </c>
      <c r="J638" s="481" t="str">
        <v>Germany</v>
      </c>
      <c r="K638" s="481" t="str">
        <v>Netherlands</v>
      </c>
      <c r="L638" s="481" t="str">
        <v>Egypt</v>
      </c>
      <c r="M638" s="481" t="str">
        <v>Spain</v>
      </c>
      <c r="N638" s="481" t="str">
        <v>France</v>
      </c>
      <c r="O638" s="481" t="str">
        <v>Argentina</v>
      </c>
      <c r="P638" s="481" t="str">
        <v>Colombia</v>
      </c>
      <c r="Q638" s="490" t="str">
        <v>Croatia</v>
      </c>
    </row>
    <row r="639" spans="1:17" x14ac:dyDescent="0.2">
      <c r="A639" s="489">
        <v>636</v>
      </c>
      <c r="B639" s="481" t="str">
        <v>Portugal</v>
      </c>
      <c r="C639" s="481" t="str">
        <v>England</v>
      </c>
      <c r="D639" s="481" t="str">
        <v>England</v>
      </c>
      <c r="E639" s="481" t="str">
        <v>Croatia</v>
      </c>
      <c r="F639" s="481" t="str">
        <v>Mexico</v>
      </c>
      <c r="G639" s="481" t="str">
        <v>Canada</v>
      </c>
      <c r="H639" s="481" t="str">
        <v>Brazil</v>
      </c>
      <c r="I639" s="481" t="str">
        <v>USA</v>
      </c>
      <c r="J639" s="481" t="str">
        <v>Germany</v>
      </c>
      <c r="K639" s="481" t="str">
        <v>Japan</v>
      </c>
      <c r="L639" s="481" t="str">
        <v>Egypt</v>
      </c>
      <c r="M639" s="481" t="str">
        <v>Uruguay</v>
      </c>
      <c r="N639" s="481" t="str">
        <v>France</v>
      </c>
      <c r="O639" s="481" t="str">
        <v>Austria</v>
      </c>
      <c r="P639" s="481" t="str">
        <v>Colombia</v>
      </c>
      <c r="Q639" s="490" t="str">
        <v>England</v>
      </c>
    </row>
    <row r="640" spans="1:17" x14ac:dyDescent="0.2">
      <c r="A640" s="489">
        <v>637</v>
      </c>
      <c r="B640" s="481" t="str">
        <v>England</v>
      </c>
      <c r="C640" s="481" t="str">
        <v>Netherlands</v>
      </c>
      <c r="D640" s="481" t="str">
        <v>Austria</v>
      </c>
      <c r="E640" s="481" t="str">
        <v>Colombia</v>
      </c>
      <c r="F640" s="481" t="str">
        <v>Mexico</v>
      </c>
      <c r="G640" s="481" t="str">
        <v>Canada</v>
      </c>
      <c r="H640" s="481" t="str">
        <v>Morocco</v>
      </c>
      <c r="I640" s="481" t="str">
        <v>Australia</v>
      </c>
      <c r="J640" s="481" t="str">
        <v>Germany</v>
      </c>
      <c r="K640" s="481" t="str">
        <v>Netherlands</v>
      </c>
      <c r="L640" s="481" t="str">
        <v>Belgium</v>
      </c>
      <c r="M640" s="481" t="str">
        <v>Spain</v>
      </c>
      <c r="N640" s="481" t="str">
        <v>France</v>
      </c>
      <c r="O640" s="481" t="str">
        <v>Argentina</v>
      </c>
      <c r="P640" s="481" t="str">
        <v>Portugal</v>
      </c>
      <c r="Q640" s="490" t="str">
        <v>England</v>
      </c>
    </row>
    <row r="641" spans="1:17" x14ac:dyDescent="0.2">
      <c r="A641" s="489">
        <v>638</v>
      </c>
      <c r="B641" s="481" t="str">
        <v>Argentina</v>
      </c>
      <c r="C641" s="481" t="str">
        <v>Japan</v>
      </c>
      <c r="D641" s="481" t="str">
        <v>Senegal</v>
      </c>
      <c r="E641" s="481" t="str">
        <v>Belgium</v>
      </c>
      <c r="F641" s="481" t="str">
        <v>Mexico</v>
      </c>
      <c r="G641" s="481" t="str">
        <v>Switzerland</v>
      </c>
      <c r="H641" s="481" t="str">
        <v>Brazil</v>
      </c>
      <c r="I641" s="481" t="str">
        <v>USA</v>
      </c>
      <c r="J641" s="481" t="str">
        <v>Germany</v>
      </c>
      <c r="K641" s="481" t="str">
        <v>Netherlands</v>
      </c>
      <c r="L641" s="481" t="str">
        <v>Belgium</v>
      </c>
      <c r="M641" s="481" t="str">
        <v>Spain</v>
      </c>
      <c r="N641" s="481" t="str">
        <v>France</v>
      </c>
      <c r="O641" s="481" t="str">
        <v>Argentina</v>
      </c>
      <c r="P641" s="481" t="str">
        <v>Portugal</v>
      </c>
      <c r="Q641" s="490" t="str">
        <v>England</v>
      </c>
    </row>
    <row r="642" spans="1:17" x14ac:dyDescent="0.2">
      <c r="A642" s="489">
        <v>639</v>
      </c>
      <c r="B642" s="481" t="str">
        <v>Germany</v>
      </c>
      <c r="C642" s="481" t="str">
        <v>Croatia</v>
      </c>
      <c r="D642" s="481" t="str">
        <v>USA</v>
      </c>
      <c r="E642" s="481" t="str">
        <v>Belgium</v>
      </c>
      <c r="F642" s="481" t="str">
        <v>Korea Republic</v>
      </c>
      <c r="G642" s="481" t="str">
        <v>Canada</v>
      </c>
      <c r="H642" s="481" t="str">
        <v>Morocco</v>
      </c>
      <c r="I642" s="481" t="str">
        <v>USA</v>
      </c>
      <c r="J642" s="481" t="str">
        <v>Germany</v>
      </c>
      <c r="K642" s="481" t="str">
        <v>Netherlands</v>
      </c>
      <c r="L642" s="481" t="str">
        <v>Belgium</v>
      </c>
      <c r="M642" s="481" t="str">
        <v>Spain</v>
      </c>
      <c r="N642" s="481" t="str">
        <v>France</v>
      </c>
      <c r="O642" s="481" t="str">
        <v>Argentina</v>
      </c>
      <c r="P642" s="481" t="str">
        <v>Congo DR</v>
      </c>
      <c r="Q642" s="490" t="str">
        <v>Ghana</v>
      </c>
    </row>
    <row r="643" spans="1:17" x14ac:dyDescent="0.2">
      <c r="A643" s="489">
        <v>640</v>
      </c>
      <c r="B643" s="481" t="str">
        <v>England</v>
      </c>
      <c r="C643" s="481" t="str">
        <v>France</v>
      </c>
      <c r="D643" s="481" t="str">
        <v>Argentina</v>
      </c>
      <c r="E643" s="481" t="str">
        <v>Spain</v>
      </c>
      <c r="F643" s="481" t="str">
        <v>Mexico</v>
      </c>
      <c r="G643" s="481" t="str">
        <v>Switzerland</v>
      </c>
      <c r="H643" s="481" t="str">
        <v>Brazil</v>
      </c>
      <c r="I643" s="481" t="str">
        <v>Australia</v>
      </c>
      <c r="J643" s="481" t="str">
        <v>Germany</v>
      </c>
      <c r="K643" s="481" t="str">
        <v>Netherlands</v>
      </c>
      <c r="L643" s="481" t="str">
        <v>Belgium</v>
      </c>
      <c r="M643" s="481" t="str">
        <v>Uruguay</v>
      </c>
      <c r="N643" s="481" t="str">
        <v>France</v>
      </c>
      <c r="O643" s="481" t="str">
        <v>Argentina</v>
      </c>
      <c r="P643" s="481" t="str">
        <v>Portugal</v>
      </c>
      <c r="Q643" s="490" t="str">
        <v>Croatia</v>
      </c>
    </row>
    <row r="644" spans="1:17" x14ac:dyDescent="0.2">
      <c r="A644" s="489">
        <v>641</v>
      </c>
      <c r="B644" s="481" t="str">
        <v>Belgium</v>
      </c>
      <c r="C644" s="481" t="str">
        <v>Argentina</v>
      </c>
      <c r="D644" s="481" t="str">
        <v>Argentina</v>
      </c>
      <c r="E644" s="481" t="str">
        <v>Netherlands</v>
      </c>
      <c r="F644" s="481" t="str">
        <v>Mexico</v>
      </c>
      <c r="G644" s="481" t="str">
        <v>Qatar</v>
      </c>
      <c r="H644" s="481" t="str">
        <v>Brazil</v>
      </c>
      <c r="I644" s="481" t="str">
        <v>USA</v>
      </c>
      <c r="J644" s="481" t="str">
        <v>Germany</v>
      </c>
      <c r="K644" s="481" t="str">
        <v>Japan</v>
      </c>
      <c r="L644" s="481" t="str">
        <v>Belgium</v>
      </c>
      <c r="M644" s="481" t="str">
        <v>Spain</v>
      </c>
      <c r="N644" s="481" t="str">
        <v>France</v>
      </c>
      <c r="O644" s="481" t="str">
        <v>Algeria</v>
      </c>
      <c r="P644" s="481" t="str">
        <v>Portugal</v>
      </c>
      <c r="Q644" s="490" t="str">
        <v>England</v>
      </c>
    </row>
    <row r="645" spans="1:17" x14ac:dyDescent="0.2">
      <c r="A645" s="489">
        <v>642</v>
      </c>
      <c r="B645" s="481" t="str">
        <v>Germany</v>
      </c>
      <c r="C645" s="481" t="str">
        <v>USA</v>
      </c>
      <c r="D645" s="481" t="str">
        <v>Netherlands</v>
      </c>
      <c r="E645" s="481" t="str">
        <v>Portugal</v>
      </c>
      <c r="F645" s="481" t="str">
        <v>Mexico</v>
      </c>
      <c r="G645" s="481" t="str">
        <v>Canada</v>
      </c>
      <c r="H645" s="481" t="str">
        <v>Scotland</v>
      </c>
      <c r="I645" s="481" t="str">
        <v>Paraguay</v>
      </c>
      <c r="J645" s="481" t="str">
        <v>Germany</v>
      </c>
      <c r="K645" s="481" t="str">
        <v>Japan</v>
      </c>
      <c r="L645" s="481" t="str">
        <v>Egypt</v>
      </c>
      <c r="M645" s="481" t="str">
        <v>Uruguay</v>
      </c>
      <c r="N645" s="481" t="str">
        <v>France</v>
      </c>
      <c r="O645" s="481" t="str">
        <v>Austria</v>
      </c>
      <c r="P645" s="481" t="str">
        <v>Portugal</v>
      </c>
      <c r="Q645" s="490" t="str">
        <v>England</v>
      </c>
    </row>
    <row r="646" spans="1:17" x14ac:dyDescent="0.2">
      <c r="A646" s="489">
        <v>643</v>
      </c>
      <c r="B646" s="481" t="str">
        <v>England</v>
      </c>
      <c r="C646" s="481" t="str">
        <v>Belgium</v>
      </c>
      <c r="D646" s="481" t="str">
        <v>France</v>
      </c>
      <c r="E646" s="481" t="str">
        <v>Croatia</v>
      </c>
      <c r="F646" s="481" t="str">
        <v>Korea Republic</v>
      </c>
      <c r="G646" s="481" t="str">
        <v>Switzerland</v>
      </c>
      <c r="H646" s="481" t="str">
        <v>Brazil</v>
      </c>
      <c r="I646" s="481" t="str">
        <v>Australia</v>
      </c>
      <c r="J646" s="481" t="str">
        <v>Cote d'Ivorie</v>
      </c>
      <c r="K646" s="481" t="str">
        <v>Japan</v>
      </c>
      <c r="L646" s="481" t="str">
        <v>Belgium</v>
      </c>
      <c r="M646" s="481" t="str">
        <v>Spain</v>
      </c>
      <c r="N646" s="481" t="str">
        <v>France</v>
      </c>
      <c r="O646" s="481" t="str">
        <v>Argentina</v>
      </c>
      <c r="P646" s="481" t="str">
        <v>Portugal</v>
      </c>
      <c r="Q646" s="490" t="str">
        <v>England</v>
      </c>
    </row>
    <row r="647" spans="1:17" x14ac:dyDescent="0.2">
      <c r="A647" s="489">
        <v>644</v>
      </c>
      <c r="B647" s="481" t="str">
        <v>Portugal</v>
      </c>
      <c r="C647" s="481" t="str">
        <v>Belgium</v>
      </c>
      <c r="D647" s="481" t="str">
        <v>Sweden</v>
      </c>
      <c r="E647" s="481" t="str">
        <v>Germany</v>
      </c>
      <c r="F647" s="481" t="str">
        <v>Mexico</v>
      </c>
      <c r="G647" s="481" t="str">
        <v>Qatar</v>
      </c>
      <c r="H647" s="481" t="str">
        <v>Scotland</v>
      </c>
      <c r="I647" s="481" t="str">
        <v>Australia</v>
      </c>
      <c r="J647" s="481" t="str">
        <v>Cote d'Ivorie</v>
      </c>
      <c r="K647" s="481" t="str">
        <v>Japan</v>
      </c>
      <c r="L647" s="481" t="str">
        <v>Belgium</v>
      </c>
      <c r="M647" s="481" t="str">
        <v>Spain</v>
      </c>
      <c r="N647" s="481" t="str">
        <v>Norway</v>
      </c>
      <c r="O647" s="481" t="str">
        <v>Argentina</v>
      </c>
      <c r="P647" s="481" t="str">
        <v>Portugal</v>
      </c>
      <c r="Q647" s="490" t="str">
        <v>England</v>
      </c>
    </row>
    <row r="648" spans="1:17" x14ac:dyDescent="0.2">
      <c r="A648" s="489">
        <v>645</v>
      </c>
      <c r="B648" s="481" t="str">
        <v>Germany</v>
      </c>
      <c r="C648" s="481" t="str">
        <v>Brazil</v>
      </c>
      <c r="D648" s="481" t="str">
        <v>Germany</v>
      </c>
      <c r="E648" s="481" t="str">
        <v>Argentina</v>
      </c>
      <c r="F648" s="481" t="str">
        <v>Mexico</v>
      </c>
      <c r="G648" s="481" t="str">
        <v>Canada</v>
      </c>
      <c r="H648" s="481" t="str">
        <v>Brazil</v>
      </c>
      <c r="I648" s="481" t="str">
        <v>USA</v>
      </c>
      <c r="J648" s="481" t="str">
        <v>Germany</v>
      </c>
      <c r="K648" s="481" t="str">
        <v>Netherlands</v>
      </c>
      <c r="L648" s="481" t="str">
        <v>Belgium</v>
      </c>
      <c r="M648" s="481" t="str">
        <v>Spain</v>
      </c>
      <c r="N648" s="481" t="str">
        <v>France</v>
      </c>
      <c r="O648" s="481" t="str">
        <v>Austria</v>
      </c>
      <c r="P648" s="481" t="str">
        <v>Colombia</v>
      </c>
      <c r="Q648" s="490" t="str">
        <v>England</v>
      </c>
    </row>
    <row r="649" spans="1:17" x14ac:dyDescent="0.2">
      <c r="A649" s="489">
        <v>646</v>
      </c>
      <c r="B649" s="481" t="str">
        <v>Mexico</v>
      </c>
      <c r="C649" s="481" t="str">
        <v>Germany</v>
      </c>
      <c r="D649" s="481" t="str">
        <v>USA</v>
      </c>
      <c r="E649" s="481" t="str">
        <v>Korea Republic</v>
      </c>
      <c r="F649" s="481" t="str">
        <v>Mexico</v>
      </c>
      <c r="G649" s="481" t="str">
        <v>Canada</v>
      </c>
      <c r="H649" s="481" t="str">
        <v>Brazil</v>
      </c>
      <c r="I649" s="481" t="str">
        <v>USA</v>
      </c>
      <c r="J649" s="481" t="str">
        <v>Ecuador</v>
      </c>
      <c r="K649" s="481" t="str">
        <v>Netherlands</v>
      </c>
      <c r="L649" s="481" t="str">
        <v>Egypt</v>
      </c>
      <c r="M649" s="481" t="str">
        <v>Spain</v>
      </c>
      <c r="N649" s="481" t="str">
        <v>France</v>
      </c>
      <c r="O649" s="481" t="str">
        <v>Austria</v>
      </c>
      <c r="P649" s="481" t="str">
        <v>Portugal</v>
      </c>
      <c r="Q649" s="490" t="str">
        <v>England</v>
      </c>
    </row>
    <row r="650" spans="1:17" x14ac:dyDescent="0.2">
      <c r="A650" s="489">
        <v>647</v>
      </c>
      <c r="B650" s="481" t="str">
        <v>England</v>
      </c>
      <c r="C650" s="481" t="str">
        <v>Netherlands</v>
      </c>
      <c r="D650" s="481" t="str">
        <v>Germany</v>
      </c>
      <c r="E650" s="481" t="str">
        <v>Mexico</v>
      </c>
      <c r="F650" s="481" t="str">
        <v>Mexico</v>
      </c>
      <c r="G650" s="481" t="str">
        <v>Bosnia-Herzegovina</v>
      </c>
      <c r="H650" s="481" t="str">
        <v>Morocco</v>
      </c>
      <c r="I650" s="481" t="str">
        <v>Australia</v>
      </c>
      <c r="J650" s="481" t="str">
        <v>Germany</v>
      </c>
      <c r="K650" s="481" t="str">
        <v>Sweden</v>
      </c>
      <c r="L650" s="481" t="str">
        <v>Belgium</v>
      </c>
      <c r="M650" s="481" t="str">
        <v>Spain</v>
      </c>
      <c r="N650" s="481" t="str">
        <v>Senegal</v>
      </c>
      <c r="O650" s="481" t="str">
        <v>Algeria</v>
      </c>
      <c r="P650" s="481" t="str">
        <v>Congo DR</v>
      </c>
      <c r="Q650" s="490" t="str">
        <v>England</v>
      </c>
    </row>
    <row r="651" spans="1:17" x14ac:dyDescent="0.2">
      <c r="A651" s="489">
        <v>648</v>
      </c>
      <c r="B651" s="481" t="str">
        <v>Brazil</v>
      </c>
      <c r="C651" s="481" t="str">
        <v>Portugal</v>
      </c>
      <c r="D651" s="481" t="str">
        <v>Senegal</v>
      </c>
      <c r="E651" s="481" t="str">
        <v>Brazil</v>
      </c>
      <c r="F651" s="481" t="str">
        <v>Mexico</v>
      </c>
      <c r="G651" s="481" t="str">
        <v>Switzerland</v>
      </c>
      <c r="H651" s="481" t="str">
        <v>Morocco</v>
      </c>
      <c r="I651" s="481" t="str">
        <v>Australia</v>
      </c>
      <c r="J651" s="481" t="str">
        <v>Germany</v>
      </c>
      <c r="K651" s="481" t="str">
        <v>Netherlands</v>
      </c>
      <c r="L651" s="481" t="str">
        <v>Belgium</v>
      </c>
      <c r="M651" s="481" t="str">
        <v>Spain</v>
      </c>
      <c r="N651" s="481" t="str">
        <v>Norway</v>
      </c>
      <c r="O651" s="481" t="str">
        <v>Argentina</v>
      </c>
      <c r="P651" s="481" t="str">
        <v>Colombia</v>
      </c>
      <c r="Q651" s="490" t="str">
        <v>England</v>
      </c>
    </row>
    <row r="652" spans="1:17" x14ac:dyDescent="0.2">
      <c r="A652" s="489">
        <v>649</v>
      </c>
      <c r="B652" s="481" t="str">
        <v>Spain</v>
      </c>
      <c r="C652" s="481" t="str">
        <v>Argentina</v>
      </c>
      <c r="D652" s="481" t="str">
        <v>Canada</v>
      </c>
      <c r="E652" s="481" t="str">
        <v>England</v>
      </c>
      <c r="F652" s="481" t="str">
        <v>Korea Republic</v>
      </c>
      <c r="G652" s="481" t="str">
        <v>Switzerland</v>
      </c>
      <c r="H652" s="481" t="str">
        <v>Morocco</v>
      </c>
      <c r="I652" s="481" t="str">
        <v>USA</v>
      </c>
      <c r="J652" s="481" t="str">
        <v>Germany</v>
      </c>
      <c r="K652" s="481" t="str">
        <v>Japan</v>
      </c>
      <c r="L652" s="481" t="str">
        <v>Egypt</v>
      </c>
      <c r="M652" s="481" t="str">
        <v>Spain</v>
      </c>
      <c r="N652" s="481" t="str">
        <v>France</v>
      </c>
      <c r="O652" s="481" t="str">
        <v>Argentina</v>
      </c>
      <c r="P652" s="481" t="str">
        <v>Portugal</v>
      </c>
      <c r="Q652" s="490" t="str">
        <v>Croatia</v>
      </c>
    </row>
    <row r="653" spans="1:17" x14ac:dyDescent="0.2">
      <c r="A653" s="489">
        <v>650</v>
      </c>
      <c r="B653" s="481" t="str">
        <v>Argentina</v>
      </c>
      <c r="C653" s="481" t="str">
        <v>Germany</v>
      </c>
      <c r="D653" s="481" t="str">
        <v>Croatia</v>
      </c>
      <c r="E653" s="481" t="str">
        <v>Mexico</v>
      </c>
      <c r="F653" s="481" t="str">
        <v>Mexico</v>
      </c>
      <c r="G653" s="481" t="str">
        <v>Canada</v>
      </c>
      <c r="H653" s="481" t="str">
        <v>Brazil</v>
      </c>
      <c r="I653" s="481" t="str">
        <v>USA</v>
      </c>
      <c r="J653" s="481" t="str">
        <v>Curaçao</v>
      </c>
      <c r="K653" s="481" t="str">
        <v>Netherlands</v>
      </c>
      <c r="L653" s="481" t="str">
        <v>Belgium</v>
      </c>
      <c r="M653" s="481" t="str">
        <v>Spain</v>
      </c>
      <c r="N653" s="481" t="str">
        <v>France</v>
      </c>
      <c r="O653" s="481" t="str">
        <v>Argentina</v>
      </c>
      <c r="P653" s="481" t="str">
        <v>Portugal</v>
      </c>
      <c r="Q653" s="490" t="str">
        <v>England</v>
      </c>
    </row>
    <row r="654" spans="1:17" x14ac:dyDescent="0.2">
      <c r="A654" s="489">
        <v>651</v>
      </c>
      <c r="B654" s="481" t="str">
        <v>Senegal</v>
      </c>
      <c r="C654" s="481" t="str">
        <v>England</v>
      </c>
      <c r="D654" s="481" t="str">
        <v>England</v>
      </c>
      <c r="E654" s="481" t="str">
        <v>Uruguay</v>
      </c>
      <c r="F654" s="481" t="str">
        <v>Mexico</v>
      </c>
      <c r="G654" s="481" t="str">
        <v>Switzerland</v>
      </c>
      <c r="H654" s="481" t="str">
        <v>Morocco</v>
      </c>
      <c r="I654" s="481" t="str">
        <v>USA</v>
      </c>
      <c r="J654" s="481" t="str">
        <v>Ecuador</v>
      </c>
      <c r="K654" s="481" t="str">
        <v>Netherlands</v>
      </c>
      <c r="L654" s="481" t="str">
        <v>IR Iran</v>
      </c>
      <c r="M654" s="481" t="str">
        <v>Spain</v>
      </c>
      <c r="N654" s="481" t="str">
        <v>France</v>
      </c>
      <c r="O654" s="481" t="str">
        <v>Austria</v>
      </c>
      <c r="P654" s="481" t="str">
        <v>Portugal</v>
      </c>
      <c r="Q654" s="490" t="str">
        <v>Panama</v>
      </c>
    </row>
    <row r="655" spans="1:17" x14ac:dyDescent="0.2">
      <c r="A655" s="489">
        <v>652</v>
      </c>
      <c r="B655" s="481" t="str">
        <v>Mexico</v>
      </c>
      <c r="C655" s="481" t="str">
        <v>France</v>
      </c>
      <c r="D655" s="481" t="str">
        <v>Japan</v>
      </c>
      <c r="E655" s="481" t="str">
        <v>USA</v>
      </c>
      <c r="F655" s="481" t="str">
        <v>Mexico</v>
      </c>
      <c r="G655" s="481" t="str">
        <v>Switzerland</v>
      </c>
      <c r="H655" s="481" t="str">
        <v>Scotland</v>
      </c>
      <c r="I655" s="481" t="str">
        <v>USA</v>
      </c>
      <c r="J655" s="481" t="str">
        <v>Germany</v>
      </c>
      <c r="K655" s="481" t="str">
        <v>Japan</v>
      </c>
      <c r="L655" s="481" t="str">
        <v>Belgium</v>
      </c>
      <c r="M655" s="481" t="str">
        <v>Uruguay</v>
      </c>
      <c r="N655" s="481" t="str">
        <v>France</v>
      </c>
      <c r="O655" s="481" t="str">
        <v>Algeria</v>
      </c>
      <c r="P655" s="481" t="str">
        <v>Portugal</v>
      </c>
      <c r="Q655" s="490" t="str">
        <v>England</v>
      </c>
    </row>
    <row r="656" spans="1:17" x14ac:dyDescent="0.2">
      <c r="A656" s="489">
        <v>653</v>
      </c>
      <c r="B656" s="481" t="str">
        <v>Mexico</v>
      </c>
      <c r="C656" s="481" t="str">
        <v>Brazil</v>
      </c>
      <c r="D656" s="481" t="str">
        <v>France</v>
      </c>
      <c r="E656" s="481" t="str">
        <v>Argentina</v>
      </c>
      <c r="F656" s="481" t="str">
        <v>Mexico</v>
      </c>
      <c r="G656" s="481" t="str">
        <v>Canada</v>
      </c>
      <c r="H656" s="481" t="str">
        <v>Morocco</v>
      </c>
      <c r="I656" s="481" t="str">
        <v>USA</v>
      </c>
      <c r="J656" s="481" t="str">
        <v>Germany</v>
      </c>
      <c r="K656" s="481" t="str">
        <v>Japan</v>
      </c>
      <c r="L656" s="481" t="str">
        <v>IR Iran</v>
      </c>
      <c r="M656" s="481" t="str">
        <v>Spain</v>
      </c>
      <c r="N656" s="481" t="str">
        <v>Senegal</v>
      </c>
      <c r="O656" s="481" t="str">
        <v>Algeria</v>
      </c>
      <c r="P656" s="481" t="str">
        <v>Portugal</v>
      </c>
      <c r="Q656" s="490" t="str">
        <v>Croatia</v>
      </c>
    </row>
    <row r="657" spans="1:17" x14ac:dyDescent="0.2">
      <c r="A657" s="489">
        <v>654</v>
      </c>
      <c r="B657" s="481" t="str">
        <v>Senegal</v>
      </c>
      <c r="C657" s="481" t="str">
        <v>France</v>
      </c>
      <c r="D657" s="481" t="str">
        <v>Australia</v>
      </c>
      <c r="E657" s="481" t="str">
        <v>Belgium</v>
      </c>
      <c r="F657" s="481" t="str">
        <v>Czechia</v>
      </c>
      <c r="G657" s="481" t="str">
        <v>Switzerland</v>
      </c>
      <c r="H657" s="481" t="str">
        <v>Morocco</v>
      </c>
      <c r="I657" s="481" t="str">
        <v>USA</v>
      </c>
      <c r="J657" s="481" t="str">
        <v>Germany</v>
      </c>
      <c r="K657" s="481" t="str">
        <v>Japan</v>
      </c>
      <c r="L657" s="481" t="str">
        <v>Egypt</v>
      </c>
      <c r="M657" s="481" t="str">
        <v>Spain</v>
      </c>
      <c r="N657" s="481" t="str">
        <v>France</v>
      </c>
      <c r="O657" s="481" t="str">
        <v>Argentina</v>
      </c>
      <c r="P657" s="481" t="str">
        <v>Colombia</v>
      </c>
      <c r="Q657" s="490" t="str">
        <v>England</v>
      </c>
    </row>
    <row r="658" spans="1:17" x14ac:dyDescent="0.2">
      <c r="A658" s="489">
        <v>655</v>
      </c>
      <c r="B658" s="481" t="str">
        <v>France</v>
      </c>
      <c r="C658" s="481" t="str">
        <v>IR Iran</v>
      </c>
      <c r="D658" s="481" t="str">
        <v>France</v>
      </c>
      <c r="E658" s="481" t="str">
        <v>USA</v>
      </c>
      <c r="F658" s="481" t="str">
        <v>Mexico</v>
      </c>
      <c r="G658" s="481" t="str">
        <v>Canada</v>
      </c>
      <c r="H658" s="481" t="str">
        <v>Brazil</v>
      </c>
      <c r="I658" s="481" t="str">
        <v>USA</v>
      </c>
      <c r="J658" s="481" t="str">
        <v>Germany</v>
      </c>
      <c r="K658" s="481" t="str">
        <v>Netherlands</v>
      </c>
      <c r="L658" s="481" t="str">
        <v>Belgium</v>
      </c>
      <c r="M658" s="481" t="str">
        <v>Spain</v>
      </c>
      <c r="N658" s="481" t="str">
        <v>France</v>
      </c>
      <c r="O658" s="481" t="str">
        <v>Argentina</v>
      </c>
      <c r="P658" s="481" t="str">
        <v>Portugal</v>
      </c>
      <c r="Q658" s="490" t="str">
        <v>Croatia</v>
      </c>
    </row>
    <row r="659" spans="1:17" x14ac:dyDescent="0.2">
      <c r="A659" s="489">
        <v>656</v>
      </c>
      <c r="B659" s="481" t="str">
        <v>Brazil</v>
      </c>
      <c r="C659" s="481" t="str">
        <v>France</v>
      </c>
      <c r="D659" s="481" t="str">
        <v>Argentina</v>
      </c>
      <c r="E659" s="481" t="str">
        <v>Portugal</v>
      </c>
      <c r="F659" s="481" t="str">
        <v>Mexico</v>
      </c>
      <c r="G659" s="481" t="str">
        <v>Switzerland</v>
      </c>
      <c r="H659" s="481" t="str">
        <v>Brazil</v>
      </c>
      <c r="I659" s="481" t="str">
        <v>USA</v>
      </c>
      <c r="J659" s="481" t="str">
        <v>Cote d'Ivorie</v>
      </c>
      <c r="K659" s="481" t="str">
        <v>Sweden</v>
      </c>
      <c r="L659" s="481" t="str">
        <v>Belgium</v>
      </c>
      <c r="M659" s="481" t="str">
        <v>Spain</v>
      </c>
      <c r="N659" s="481" t="str">
        <v>Norway</v>
      </c>
      <c r="O659" s="481" t="str">
        <v>Algeria</v>
      </c>
      <c r="P659" s="481" t="str">
        <v>Colombia</v>
      </c>
      <c r="Q659" s="490" t="str">
        <v>Ghana</v>
      </c>
    </row>
    <row r="660" spans="1:17" x14ac:dyDescent="0.2">
      <c r="A660" s="489">
        <v>657</v>
      </c>
      <c r="B660" s="481" t="str">
        <v>France</v>
      </c>
      <c r="C660" s="481" t="str">
        <v>Algeria</v>
      </c>
      <c r="D660" s="481" t="str">
        <v>France</v>
      </c>
      <c r="E660" s="481" t="str">
        <v>Japan</v>
      </c>
      <c r="F660" s="481" t="str">
        <v>Korea Republic</v>
      </c>
      <c r="G660" s="481" t="str">
        <v>Switzerland</v>
      </c>
      <c r="H660" s="481" t="str">
        <v>Morocco</v>
      </c>
      <c r="I660" s="481" t="str">
        <v>USA</v>
      </c>
      <c r="J660" s="481" t="str">
        <v>Germany</v>
      </c>
      <c r="K660" s="481" t="str">
        <v>Japan</v>
      </c>
      <c r="L660" s="481" t="str">
        <v>Belgium</v>
      </c>
      <c r="M660" s="481" t="str">
        <v>Spain</v>
      </c>
      <c r="N660" s="481" t="str">
        <v>France</v>
      </c>
      <c r="O660" s="481" t="str">
        <v>Austria</v>
      </c>
      <c r="P660" s="481" t="str">
        <v>Colombia</v>
      </c>
      <c r="Q660" s="490" t="str">
        <v>England</v>
      </c>
    </row>
    <row r="661" spans="1:17" x14ac:dyDescent="0.2">
      <c r="A661" s="489">
        <v>658</v>
      </c>
      <c r="B661" s="481" t="str">
        <v>Korea Republic</v>
      </c>
      <c r="C661" s="481" t="str">
        <v>Portugal</v>
      </c>
      <c r="D661" s="481" t="str">
        <v>Canada</v>
      </c>
      <c r="E661" s="481" t="str">
        <v>England</v>
      </c>
      <c r="F661" s="481" t="str">
        <v>Mexico</v>
      </c>
      <c r="G661" s="481" t="str">
        <v>Qatar</v>
      </c>
      <c r="H661" s="481" t="str">
        <v>Brazil</v>
      </c>
      <c r="I661" s="481" t="str">
        <v>Australia</v>
      </c>
      <c r="J661" s="481" t="str">
        <v>Germany</v>
      </c>
      <c r="K661" s="481" t="str">
        <v>Japan</v>
      </c>
      <c r="L661" s="481" t="str">
        <v>Belgium</v>
      </c>
      <c r="M661" s="481" t="str">
        <v>Spain</v>
      </c>
      <c r="N661" s="481" t="str">
        <v>Senegal</v>
      </c>
      <c r="O661" s="481" t="str">
        <v>Austria</v>
      </c>
      <c r="P661" s="481" t="str">
        <v>Colombia</v>
      </c>
      <c r="Q661" s="490" t="str">
        <v>England</v>
      </c>
    </row>
    <row r="662" spans="1:17" x14ac:dyDescent="0.2">
      <c r="A662" s="489">
        <v>659</v>
      </c>
      <c r="B662" s="481" t="str">
        <v>Spain</v>
      </c>
      <c r="C662" s="481" t="str">
        <v>Morocco</v>
      </c>
      <c r="D662" s="481" t="str">
        <v>Portugal</v>
      </c>
      <c r="E662" s="481" t="str">
        <v>Croatia</v>
      </c>
      <c r="F662" s="481" t="str">
        <v>Mexico</v>
      </c>
      <c r="G662" s="481" t="str">
        <v>Switzerland</v>
      </c>
      <c r="H662" s="481" t="str">
        <v>Morocco</v>
      </c>
      <c r="I662" s="481" t="str">
        <v>USA</v>
      </c>
      <c r="J662" s="481" t="str">
        <v>Cote d'Ivorie</v>
      </c>
      <c r="K662" s="481" t="str">
        <v>Netherlands</v>
      </c>
      <c r="L662" s="481" t="str">
        <v>Egypt</v>
      </c>
      <c r="M662" s="481" t="str">
        <v>Spain</v>
      </c>
      <c r="N662" s="481" t="str">
        <v>France</v>
      </c>
      <c r="O662" s="481" t="str">
        <v>Austria</v>
      </c>
      <c r="P662" s="481" t="str">
        <v>Colombia</v>
      </c>
      <c r="Q662" s="490" t="str">
        <v>England</v>
      </c>
    </row>
    <row r="663" spans="1:17" x14ac:dyDescent="0.2">
      <c r="A663" s="489">
        <v>660</v>
      </c>
      <c r="B663" s="481" t="str">
        <v>England</v>
      </c>
      <c r="C663" s="481" t="str">
        <v>Belgium</v>
      </c>
      <c r="D663" s="481" t="str">
        <v>Belgium</v>
      </c>
      <c r="E663" s="481" t="str">
        <v>Japan</v>
      </c>
      <c r="F663" s="481" t="str">
        <v>Korea Republic</v>
      </c>
      <c r="G663" s="481" t="str">
        <v>Canada</v>
      </c>
      <c r="H663" s="481" t="str">
        <v>Brazil</v>
      </c>
      <c r="I663" s="481" t="str">
        <v>Australia</v>
      </c>
      <c r="J663" s="481" t="str">
        <v>Cote d'Ivorie</v>
      </c>
      <c r="K663" s="481" t="str">
        <v>Sweden</v>
      </c>
      <c r="L663" s="481" t="str">
        <v>Belgium</v>
      </c>
      <c r="M663" s="481" t="str">
        <v>Spain</v>
      </c>
      <c r="N663" s="481" t="str">
        <v>France</v>
      </c>
      <c r="O663" s="481" t="str">
        <v>Algeria</v>
      </c>
      <c r="P663" s="481" t="str">
        <v>Portugal</v>
      </c>
      <c r="Q663" s="490" t="str">
        <v>Croatia</v>
      </c>
    </row>
    <row r="664" spans="1:17" x14ac:dyDescent="0.2">
      <c r="A664" s="489">
        <v>661</v>
      </c>
      <c r="B664" s="481" t="str">
        <v>Morocco</v>
      </c>
      <c r="C664" s="481" t="str">
        <v>Mexico</v>
      </c>
      <c r="D664" s="481" t="str">
        <v>Switzerland</v>
      </c>
      <c r="E664" s="481" t="str">
        <v>Spain</v>
      </c>
      <c r="F664" s="481" t="str">
        <v>Korea Republic</v>
      </c>
      <c r="G664" s="481" t="str">
        <v>Switzerland</v>
      </c>
      <c r="H664" s="481" t="str">
        <v>Brazil</v>
      </c>
      <c r="I664" s="481" t="str">
        <v>USA</v>
      </c>
      <c r="J664" s="481" t="str">
        <v>Cote d'Ivorie</v>
      </c>
      <c r="K664" s="481" t="str">
        <v>Japan</v>
      </c>
      <c r="L664" s="481" t="str">
        <v>Belgium</v>
      </c>
      <c r="M664" s="481" t="str">
        <v>Uruguay</v>
      </c>
      <c r="N664" s="481" t="str">
        <v>Senegal</v>
      </c>
      <c r="O664" s="481" t="str">
        <v>Argentina</v>
      </c>
      <c r="P664" s="481" t="str">
        <v>Portugal</v>
      </c>
      <c r="Q664" s="490" t="str">
        <v>Croatia</v>
      </c>
    </row>
    <row r="665" spans="1:17" x14ac:dyDescent="0.2">
      <c r="A665" s="489">
        <v>662</v>
      </c>
      <c r="B665" s="481" t="str">
        <v>Brazil</v>
      </c>
      <c r="C665" s="481" t="str">
        <v>Brazil</v>
      </c>
      <c r="D665" s="481" t="str">
        <v>Portugal</v>
      </c>
      <c r="E665" s="481" t="str">
        <v>England</v>
      </c>
      <c r="F665" s="481" t="str">
        <v>Korea Republic</v>
      </c>
      <c r="G665" s="481" t="str">
        <v>Switzerland</v>
      </c>
      <c r="H665" s="481" t="str">
        <v>Brazil</v>
      </c>
      <c r="I665" s="481" t="str">
        <v>Australia</v>
      </c>
      <c r="J665" s="481" t="str">
        <v>Cote d'Ivorie</v>
      </c>
      <c r="K665" s="481" t="str">
        <v>Japan</v>
      </c>
      <c r="L665" s="481" t="str">
        <v>IR Iran</v>
      </c>
      <c r="M665" s="481" t="str">
        <v>Spain</v>
      </c>
      <c r="N665" s="481" t="str">
        <v>France</v>
      </c>
      <c r="O665" s="481" t="str">
        <v>Argentina</v>
      </c>
      <c r="P665" s="481" t="str">
        <v>Colombia</v>
      </c>
      <c r="Q665" s="490" t="str">
        <v>England</v>
      </c>
    </row>
    <row r="666" spans="1:17" x14ac:dyDescent="0.2">
      <c r="A666" s="489">
        <v>663</v>
      </c>
      <c r="B666" s="481" t="str">
        <v>Portugal</v>
      </c>
      <c r="C666" s="481" t="str">
        <v>Norway</v>
      </c>
      <c r="D666" s="481" t="str">
        <v>Brazil</v>
      </c>
      <c r="E666" s="481" t="str">
        <v>USA</v>
      </c>
      <c r="F666" s="481" t="str">
        <v>Korea Republic</v>
      </c>
      <c r="G666" s="481" t="str">
        <v>Switzerland</v>
      </c>
      <c r="H666" s="481" t="str">
        <v>Morocco</v>
      </c>
      <c r="I666" s="481" t="str">
        <v>USA</v>
      </c>
      <c r="J666" s="481" t="str">
        <v>Germany</v>
      </c>
      <c r="K666" s="481" t="str">
        <v>Japan</v>
      </c>
      <c r="L666" s="481" t="str">
        <v>Egypt</v>
      </c>
      <c r="M666" s="481" t="str">
        <v>Spain</v>
      </c>
      <c r="N666" s="481" t="str">
        <v>France</v>
      </c>
      <c r="O666" s="481" t="str">
        <v>Argentina</v>
      </c>
      <c r="P666" s="481" t="str">
        <v>Colombia</v>
      </c>
      <c r="Q666" s="490" t="str">
        <v>Panama</v>
      </c>
    </row>
    <row r="667" spans="1:17" x14ac:dyDescent="0.2">
      <c r="A667" s="489">
        <v>664</v>
      </c>
      <c r="B667" s="481" t="str">
        <v>Mexico</v>
      </c>
      <c r="C667" s="481" t="str">
        <v>England</v>
      </c>
      <c r="D667" s="481" t="str">
        <v>France</v>
      </c>
      <c r="E667" s="481" t="str">
        <v>Germany</v>
      </c>
      <c r="F667" s="481" t="str">
        <v>Mexico</v>
      </c>
      <c r="G667" s="481" t="str">
        <v>Switzerland</v>
      </c>
      <c r="H667" s="481" t="str">
        <v>Brazil</v>
      </c>
      <c r="I667" s="481" t="str">
        <v>Turkiye</v>
      </c>
      <c r="J667" s="481" t="str">
        <v>Germany</v>
      </c>
      <c r="K667" s="481" t="str">
        <v>Sweden</v>
      </c>
      <c r="L667" s="481" t="str">
        <v>Egypt</v>
      </c>
      <c r="M667" s="481" t="str">
        <v>Uruguay</v>
      </c>
      <c r="N667" s="481" t="str">
        <v>Iraq</v>
      </c>
      <c r="O667" s="481" t="str">
        <v>Austria</v>
      </c>
      <c r="P667" s="481" t="str">
        <v>Portugal</v>
      </c>
      <c r="Q667" s="490" t="str">
        <v>Croatia</v>
      </c>
    </row>
    <row r="668" spans="1:17" x14ac:dyDescent="0.2">
      <c r="A668" s="489">
        <v>665</v>
      </c>
      <c r="B668" s="481" t="str">
        <v>Argentina</v>
      </c>
      <c r="C668" s="481" t="str">
        <v>Ecuador</v>
      </c>
      <c r="D668" s="481" t="str">
        <v>Algeria</v>
      </c>
      <c r="E668" s="481" t="str">
        <v>Australia</v>
      </c>
      <c r="F668" s="481" t="str">
        <v>Mexico</v>
      </c>
      <c r="G668" s="481" t="str">
        <v>Bosnia-Herzegovina</v>
      </c>
      <c r="H668" s="481" t="str">
        <v>Brazil</v>
      </c>
      <c r="I668" s="481" t="str">
        <v>Australia</v>
      </c>
      <c r="J668" s="481" t="str">
        <v>Ecuador</v>
      </c>
      <c r="K668" s="481" t="str">
        <v>Japan</v>
      </c>
      <c r="L668" s="481" t="str">
        <v>Belgium</v>
      </c>
      <c r="M668" s="481" t="str">
        <v>Spain</v>
      </c>
      <c r="N668" s="481" t="str">
        <v>France</v>
      </c>
      <c r="O668" s="481" t="str">
        <v>Argentina</v>
      </c>
      <c r="P668" s="481" t="str">
        <v>Colombia</v>
      </c>
      <c r="Q668" s="490" t="str">
        <v>England</v>
      </c>
    </row>
    <row r="669" spans="1:17" x14ac:dyDescent="0.2">
      <c r="A669" s="489">
        <v>666</v>
      </c>
      <c r="B669" s="481" t="str">
        <v>USA</v>
      </c>
      <c r="C669" s="481" t="str">
        <v>Colombia</v>
      </c>
      <c r="D669" s="481" t="str">
        <v>Austria</v>
      </c>
      <c r="E669" s="481" t="str">
        <v>France</v>
      </c>
      <c r="F669" s="481" t="str">
        <v>Czechia</v>
      </c>
      <c r="G669" s="481" t="str">
        <v>Canada</v>
      </c>
      <c r="H669" s="481" t="str">
        <v>Morocco</v>
      </c>
      <c r="I669" s="481" t="str">
        <v>Australia</v>
      </c>
      <c r="J669" s="481" t="str">
        <v>Germany</v>
      </c>
      <c r="K669" s="481" t="str">
        <v>Netherlands</v>
      </c>
      <c r="L669" s="481" t="str">
        <v>Egypt</v>
      </c>
      <c r="M669" s="481" t="str">
        <v>Spain</v>
      </c>
      <c r="N669" s="481" t="str">
        <v>France</v>
      </c>
      <c r="O669" s="481" t="str">
        <v>Argentina</v>
      </c>
      <c r="P669" s="481" t="str">
        <v>Portugal</v>
      </c>
      <c r="Q669" s="490" t="str">
        <v>England</v>
      </c>
    </row>
    <row r="670" spans="1:17" x14ac:dyDescent="0.2">
      <c r="A670" s="489">
        <v>667</v>
      </c>
      <c r="B670" s="481" t="str">
        <v>Panama</v>
      </c>
      <c r="C670" s="481" t="str">
        <v>Colombia</v>
      </c>
      <c r="D670" s="481" t="str">
        <v>France</v>
      </c>
      <c r="E670" s="481" t="str">
        <v>Colombia</v>
      </c>
      <c r="F670" s="481" t="str">
        <v>Korea Republic</v>
      </c>
      <c r="G670" s="481" t="str">
        <v>Canada</v>
      </c>
      <c r="H670" s="481" t="str">
        <v>Brazil</v>
      </c>
      <c r="I670" s="481" t="str">
        <v>Paraguay</v>
      </c>
      <c r="J670" s="481" t="str">
        <v>Germany</v>
      </c>
      <c r="K670" s="481" t="str">
        <v>Netherlands</v>
      </c>
      <c r="L670" s="481" t="str">
        <v>Belgium</v>
      </c>
      <c r="M670" s="481" t="str">
        <v>Spain</v>
      </c>
      <c r="N670" s="481" t="str">
        <v>Senegal</v>
      </c>
      <c r="O670" s="481" t="str">
        <v>Austria</v>
      </c>
      <c r="P670" s="481" t="str">
        <v>Colombia</v>
      </c>
      <c r="Q670" s="490" t="str">
        <v>Croatia</v>
      </c>
    </row>
    <row r="671" spans="1:17" x14ac:dyDescent="0.2">
      <c r="A671" s="489">
        <v>668</v>
      </c>
      <c r="B671" s="481" t="str">
        <v>Portugal</v>
      </c>
      <c r="C671" s="481" t="str">
        <v>France</v>
      </c>
      <c r="D671" s="481" t="str">
        <v>Spain</v>
      </c>
      <c r="E671" s="481" t="str">
        <v>France</v>
      </c>
      <c r="F671" s="481" t="str">
        <v>Mexico</v>
      </c>
      <c r="G671" s="481" t="str">
        <v>Switzerland</v>
      </c>
      <c r="H671" s="481" t="str">
        <v>Scotland</v>
      </c>
      <c r="I671" s="481" t="str">
        <v>Australia</v>
      </c>
      <c r="J671" s="481" t="str">
        <v>Germany</v>
      </c>
      <c r="K671" s="481" t="str">
        <v>Sweden</v>
      </c>
      <c r="L671" s="481" t="str">
        <v>Belgium</v>
      </c>
      <c r="M671" s="481" t="str">
        <v>Spain</v>
      </c>
      <c r="N671" s="481" t="str">
        <v>Senegal</v>
      </c>
      <c r="O671" s="481" t="str">
        <v>Argentina</v>
      </c>
      <c r="P671" s="481" t="str">
        <v>Portugal</v>
      </c>
      <c r="Q671" s="490" t="str">
        <v>Croatia</v>
      </c>
    </row>
    <row r="672" spans="1:17" x14ac:dyDescent="0.2">
      <c r="A672" s="489">
        <v>669</v>
      </c>
      <c r="B672" s="481" t="str">
        <v>Belgium</v>
      </c>
      <c r="C672" s="481" t="str">
        <v>Morocco</v>
      </c>
      <c r="D672" s="481" t="str">
        <v>USA</v>
      </c>
      <c r="E672" s="481" t="str">
        <v>Portugal</v>
      </c>
      <c r="F672" s="481" t="str">
        <v>Korea Republic</v>
      </c>
      <c r="G672" s="481" t="str">
        <v>Canada</v>
      </c>
      <c r="H672" s="481" t="str">
        <v>Brazil</v>
      </c>
      <c r="I672" s="481" t="str">
        <v>USA</v>
      </c>
      <c r="J672" s="481" t="str">
        <v>Germany</v>
      </c>
      <c r="K672" s="481" t="str">
        <v>Sweden</v>
      </c>
      <c r="L672" s="481" t="str">
        <v>Egypt</v>
      </c>
      <c r="M672" s="481" t="str">
        <v>Uruguay</v>
      </c>
      <c r="N672" s="481" t="str">
        <v>Senegal</v>
      </c>
      <c r="O672" s="481" t="str">
        <v>Argentina</v>
      </c>
      <c r="P672" s="481" t="str">
        <v>Portugal</v>
      </c>
      <c r="Q672" s="490" t="str">
        <v>Panama</v>
      </c>
    </row>
    <row r="673" spans="1:17" x14ac:dyDescent="0.2">
      <c r="A673" s="489">
        <v>670</v>
      </c>
      <c r="B673" s="481" t="str">
        <v>Argentina</v>
      </c>
      <c r="C673" s="481" t="str">
        <v>Spain</v>
      </c>
      <c r="D673" s="481" t="str">
        <v>Colombia</v>
      </c>
      <c r="E673" s="481" t="str">
        <v>Ecuador</v>
      </c>
      <c r="F673" s="481" t="str">
        <v>Mexico</v>
      </c>
      <c r="G673" s="481" t="str">
        <v>Canada</v>
      </c>
      <c r="H673" s="481" t="str">
        <v>Brazil</v>
      </c>
      <c r="I673" s="481" t="str">
        <v>USA</v>
      </c>
      <c r="J673" s="481" t="str">
        <v>Germany</v>
      </c>
      <c r="K673" s="481" t="str">
        <v>Netherlands</v>
      </c>
      <c r="L673" s="481" t="str">
        <v>Egypt</v>
      </c>
      <c r="M673" s="481" t="str">
        <v>Spain</v>
      </c>
      <c r="N673" s="481" t="str">
        <v>France</v>
      </c>
      <c r="O673" s="481" t="str">
        <v>Argentina</v>
      </c>
      <c r="P673" s="481" t="str">
        <v>Portugal</v>
      </c>
      <c r="Q673" s="490" t="str">
        <v>Croatia</v>
      </c>
    </row>
    <row r="674" spans="1:17" x14ac:dyDescent="0.2">
      <c r="A674" s="489">
        <v>671</v>
      </c>
      <c r="B674" s="481" t="str">
        <v>Germany</v>
      </c>
      <c r="C674" s="481" t="str">
        <v>Paraguay</v>
      </c>
      <c r="D674" s="481" t="str">
        <v>Australia</v>
      </c>
      <c r="E674" s="481" t="str">
        <v>Australia</v>
      </c>
      <c r="F674" s="481" t="str">
        <v>Mexico</v>
      </c>
      <c r="G674" s="481" t="str">
        <v>Switzerland</v>
      </c>
      <c r="H674" s="481" t="str">
        <v>Brazil</v>
      </c>
      <c r="I674" s="481" t="str">
        <v>Australia</v>
      </c>
      <c r="J674" s="481" t="str">
        <v>Germany</v>
      </c>
      <c r="K674" s="481" t="str">
        <v>Sweden</v>
      </c>
      <c r="L674" s="481" t="str">
        <v>IR Iran</v>
      </c>
      <c r="M674" s="481" t="str">
        <v>Uruguay</v>
      </c>
      <c r="N674" s="481" t="str">
        <v>France</v>
      </c>
      <c r="O674" s="481" t="str">
        <v>Argentina</v>
      </c>
      <c r="P674" s="481" t="str">
        <v>Portugal</v>
      </c>
      <c r="Q674" s="490" t="str">
        <v>England</v>
      </c>
    </row>
    <row r="675" spans="1:17" x14ac:dyDescent="0.2">
      <c r="A675" s="489">
        <v>672</v>
      </c>
      <c r="B675" s="481" t="str">
        <v>France</v>
      </c>
      <c r="C675" s="481" t="str">
        <v>Brazil</v>
      </c>
      <c r="D675" s="481" t="str">
        <v>France</v>
      </c>
      <c r="E675" s="481" t="str">
        <v>Japan</v>
      </c>
      <c r="F675" s="481" t="str">
        <v>Mexico</v>
      </c>
      <c r="G675" s="481" t="str">
        <v>Switzerland</v>
      </c>
      <c r="H675" s="481" t="str">
        <v>Brazil</v>
      </c>
      <c r="I675" s="481" t="str">
        <v>Australia</v>
      </c>
      <c r="J675" s="481" t="str">
        <v>Germany</v>
      </c>
      <c r="K675" s="481" t="str">
        <v>Netherlands</v>
      </c>
      <c r="L675" s="481" t="str">
        <v>Belgium</v>
      </c>
      <c r="M675" s="481" t="str">
        <v>Spain</v>
      </c>
      <c r="N675" s="481" t="str">
        <v>France</v>
      </c>
      <c r="O675" s="481" t="str">
        <v>Austria</v>
      </c>
      <c r="P675" s="481" t="str">
        <v>Colombia</v>
      </c>
      <c r="Q675" s="490" t="str">
        <v>England</v>
      </c>
    </row>
    <row r="676" spans="1:17" x14ac:dyDescent="0.2">
      <c r="A676" s="489">
        <v>673</v>
      </c>
      <c r="B676" s="481" t="str">
        <v>Spain</v>
      </c>
      <c r="C676" s="481" t="str">
        <v>Morocco</v>
      </c>
      <c r="D676" s="481" t="str">
        <v>Switzerland</v>
      </c>
      <c r="E676" s="481" t="str">
        <v>USA</v>
      </c>
      <c r="F676" s="481" t="str">
        <v>Mexico</v>
      </c>
      <c r="G676" s="481" t="str">
        <v>Switzerland</v>
      </c>
      <c r="H676" s="481" t="str">
        <v>Brazil</v>
      </c>
      <c r="I676" s="481" t="str">
        <v>USA</v>
      </c>
      <c r="J676" s="481" t="str">
        <v>Germany</v>
      </c>
      <c r="K676" s="481" t="str">
        <v>Sweden</v>
      </c>
      <c r="L676" s="481" t="str">
        <v>Belgium</v>
      </c>
      <c r="M676" s="481" t="str">
        <v>Uruguay</v>
      </c>
      <c r="N676" s="481" t="str">
        <v>France</v>
      </c>
      <c r="O676" s="481" t="str">
        <v>Argentina</v>
      </c>
      <c r="P676" s="481" t="str">
        <v>Colombia</v>
      </c>
      <c r="Q676" s="490" t="str">
        <v>England</v>
      </c>
    </row>
    <row r="677" spans="1:17" x14ac:dyDescent="0.2">
      <c r="A677" s="489">
        <v>674</v>
      </c>
      <c r="B677" s="481" t="str">
        <v>Germany</v>
      </c>
      <c r="C677" s="481" t="str">
        <v>Portugal</v>
      </c>
      <c r="D677" s="481" t="str">
        <v>Netherlands</v>
      </c>
      <c r="E677" s="481" t="str">
        <v>Norway</v>
      </c>
      <c r="F677" s="481" t="str">
        <v>Korea Republic</v>
      </c>
      <c r="G677" s="481" t="str">
        <v>Switzerland</v>
      </c>
      <c r="H677" s="481" t="str">
        <v>Morocco</v>
      </c>
      <c r="I677" s="481" t="str">
        <v>USA</v>
      </c>
      <c r="J677" s="481" t="str">
        <v>Germany</v>
      </c>
      <c r="K677" s="481" t="str">
        <v>Japan</v>
      </c>
      <c r="L677" s="481" t="str">
        <v>Belgium</v>
      </c>
      <c r="M677" s="481" t="str">
        <v>Spain</v>
      </c>
      <c r="N677" s="481" t="str">
        <v>France</v>
      </c>
      <c r="O677" s="481" t="str">
        <v>Argentina</v>
      </c>
      <c r="P677" s="481" t="str">
        <v>Colombia</v>
      </c>
      <c r="Q677" s="490" t="str">
        <v>Croatia</v>
      </c>
    </row>
    <row r="678" spans="1:17" x14ac:dyDescent="0.2">
      <c r="A678" s="489">
        <v>675</v>
      </c>
      <c r="B678" s="481" t="str">
        <v>Argentina</v>
      </c>
      <c r="C678" s="481" t="str">
        <v>Spain</v>
      </c>
      <c r="D678" s="481" t="str">
        <v>Croatia</v>
      </c>
      <c r="E678" s="481" t="str">
        <v>Austria</v>
      </c>
      <c r="F678" s="481" t="str">
        <v>Mexico</v>
      </c>
      <c r="G678" s="481" t="str">
        <v>Switzerland</v>
      </c>
      <c r="H678" s="481" t="str">
        <v>Morocco</v>
      </c>
      <c r="I678" s="481" t="str">
        <v>USA</v>
      </c>
      <c r="J678" s="481" t="str">
        <v>Germany</v>
      </c>
      <c r="K678" s="481" t="str">
        <v>Japan</v>
      </c>
      <c r="L678" s="481" t="str">
        <v>Belgium</v>
      </c>
      <c r="M678" s="481" t="str">
        <v>Uruguay</v>
      </c>
      <c r="N678" s="481" t="str">
        <v>France</v>
      </c>
      <c r="O678" s="481" t="str">
        <v>Austria</v>
      </c>
      <c r="P678" s="481" t="str">
        <v>Colombia</v>
      </c>
      <c r="Q678" s="490" t="str">
        <v>Croatia</v>
      </c>
    </row>
    <row r="679" spans="1:17" x14ac:dyDescent="0.2">
      <c r="A679" s="489">
        <v>676</v>
      </c>
      <c r="B679" s="481" t="str">
        <v>Mexico</v>
      </c>
      <c r="C679" s="481" t="str">
        <v>Uruguay</v>
      </c>
      <c r="D679" s="481" t="str">
        <v>Argentina</v>
      </c>
      <c r="E679" s="481" t="str">
        <v>Germany</v>
      </c>
      <c r="F679" s="481" t="str">
        <v>Korea Republic</v>
      </c>
      <c r="G679" s="481" t="str">
        <v>Switzerland</v>
      </c>
      <c r="H679" s="481" t="str">
        <v>Morocco</v>
      </c>
      <c r="I679" s="481" t="str">
        <v>USA</v>
      </c>
      <c r="J679" s="481" t="str">
        <v>Ecuador</v>
      </c>
      <c r="K679" s="481" t="str">
        <v>Japan</v>
      </c>
      <c r="L679" s="481" t="str">
        <v>Egypt</v>
      </c>
      <c r="M679" s="481" t="str">
        <v>Spain</v>
      </c>
      <c r="N679" s="481" t="str">
        <v>Senegal</v>
      </c>
      <c r="O679" s="481" t="str">
        <v>Argentina</v>
      </c>
      <c r="P679" s="481" t="str">
        <v>Portugal</v>
      </c>
      <c r="Q679" s="490" t="str">
        <v>England</v>
      </c>
    </row>
    <row r="680" spans="1:17" x14ac:dyDescent="0.2">
      <c r="A680" s="489">
        <v>677</v>
      </c>
      <c r="B680" s="481" t="str">
        <v>Germany</v>
      </c>
      <c r="C680" s="481" t="str">
        <v>England</v>
      </c>
      <c r="D680" s="481" t="str">
        <v>Croatia</v>
      </c>
      <c r="E680" s="481" t="str">
        <v>England</v>
      </c>
      <c r="F680" s="481" t="str">
        <v>Mexico</v>
      </c>
      <c r="G680" s="481" t="str">
        <v>Switzerland</v>
      </c>
      <c r="H680" s="481" t="str">
        <v>Brazil</v>
      </c>
      <c r="I680" s="481" t="str">
        <v>Australia</v>
      </c>
      <c r="J680" s="481" t="str">
        <v>Germany</v>
      </c>
      <c r="K680" s="481" t="str">
        <v>Japan</v>
      </c>
      <c r="L680" s="481" t="str">
        <v>Egypt</v>
      </c>
      <c r="M680" s="481" t="str">
        <v>Spain</v>
      </c>
      <c r="N680" s="481" t="str">
        <v>France</v>
      </c>
      <c r="O680" s="481" t="str">
        <v>Algeria</v>
      </c>
      <c r="P680" s="481" t="str">
        <v>Portugal</v>
      </c>
      <c r="Q680" s="490" t="str">
        <v>England</v>
      </c>
    </row>
    <row r="681" spans="1:17" x14ac:dyDescent="0.2">
      <c r="A681" s="489">
        <v>678</v>
      </c>
      <c r="B681" s="481" t="str">
        <v>Germany</v>
      </c>
      <c r="C681" s="481" t="str">
        <v>USA</v>
      </c>
      <c r="D681" s="481" t="str">
        <v>Portugal</v>
      </c>
      <c r="E681" s="481" t="str">
        <v>Netherlands</v>
      </c>
      <c r="F681" s="481" t="str">
        <v>Mexico</v>
      </c>
      <c r="G681" s="481" t="str">
        <v>Switzerland</v>
      </c>
      <c r="H681" s="481" t="str">
        <v>Morocco</v>
      </c>
      <c r="I681" s="481" t="str">
        <v>Australia</v>
      </c>
      <c r="J681" s="481" t="str">
        <v>Germany</v>
      </c>
      <c r="K681" s="481" t="str">
        <v>Japan</v>
      </c>
      <c r="L681" s="481" t="str">
        <v>IR Iran</v>
      </c>
      <c r="M681" s="481" t="str">
        <v>Cabo Verde</v>
      </c>
      <c r="N681" s="481" t="str">
        <v>France</v>
      </c>
      <c r="O681" s="481" t="str">
        <v>Algeria</v>
      </c>
      <c r="P681" s="481" t="str">
        <v>Portugal</v>
      </c>
      <c r="Q681" s="490" t="str">
        <v>England</v>
      </c>
    </row>
    <row r="682" spans="1:17" x14ac:dyDescent="0.2">
      <c r="A682" s="489">
        <v>679</v>
      </c>
      <c r="B682" s="481" t="str">
        <v>Argentina</v>
      </c>
      <c r="C682" s="481" t="str">
        <v>France</v>
      </c>
      <c r="D682" s="481" t="str">
        <v>Senegal</v>
      </c>
      <c r="E682" s="481" t="str">
        <v>Croatia</v>
      </c>
      <c r="F682" s="481" t="str">
        <v>Korea Republic</v>
      </c>
      <c r="G682" s="481" t="str">
        <v>Canada</v>
      </c>
      <c r="H682" s="481" t="str">
        <v>Morocco</v>
      </c>
      <c r="I682" s="481" t="str">
        <v>USA</v>
      </c>
      <c r="J682" s="481" t="str">
        <v>Germany</v>
      </c>
      <c r="K682" s="481" t="str">
        <v>Sweden</v>
      </c>
      <c r="L682" s="481" t="str">
        <v>IR Iran</v>
      </c>
      <c r="M682" s="481" t="str">
        <v>Uruguay</v>
      </c>
      <c r="N682" s="481" t="str">
        <v>Norway</v>
      </c>
      <c r="O682" s="481" t="str">
        <v>Argentina</v>
      </c>
      <c r="P682" s="481" t="str">
        <v>Colombia</v>
      </c>
      <c r="Q682" s="490" t="str">
        <v>Croatia</v>
      </c>
    </row>
    <row r="683" spans="1:17" x14ac:dyDescent="0.2">
      <c r="A683" s="489">
        <v>680</v>
      </c>
      <c r="B683" s="481" t="str">
        <v>Korea Republic</v>
      </c>
      <c r="C683" s="481" t="str">
        <v>Belgium</v>
      </c>
      <c r="D683" s="481" t="str">
        <v>England</v>
      </c>
      <c r="E683" s="481" t="str">
        <v>Norway</v>
      </c>
      <c r="F683" s="481" t="str">
        <v>Mexico</v>
      </c>
      <c r="G683" s="481" t="str">
        <v>Switzerland</v>
      </c>
      <c r="H683" s="481" t="str">
        <v>Morocco</v>
      </c>
      <c r="I683" s="481" t="str">
        <v>Australia</v>
      </c>
      <c r="J683" s="481" t="str">
        <v>Germany</v>
      </c>
      <c r="K683" s="481" t="str">
        <v>Netherlands</v>
      </c>
      <c r="L683" s="481" t="str">
        <v>Belgium</v>
      </c>
      <c r="M683" s="481" t="str">
        <v>Uruguay</v>
      </c>
      <c r="N683" s="481" t="str">
        <v>Senegal</v>
      </c>
      <c r="O683" s="481" t="str">
        <v>Argentina</v>
      </c>
      <c r="P683" s="481" t="str">
        <v>Portugal</v>
      </c>
      <c r="Q683" s="490" t="str">
        <v>England</v>
      </c>
    </row>
    <row r="684" spans="1:17" x14ac:dyDescent="0.2">
      <c r="A684" s="489">
        <v>681</v>
      </c>
      <c r="B684" s="481" t="str">
        <v>Germany</v>
      </c>
      <c r="C684" s="481" t="str">
        <v>Spain</v>
      </c>
      <c r="D684" s="481" t="str">
        <v>Germany</v>
      </c>
      <c r="E684" s="481" t="str">
        <v>Germany</v>
      </c>
      <c r="F684" s="481" t="str">
        <v>Mexico</v>
      </c>
      <c r="G684" s="481" t="str">
        <v>Switzerland</v>
      </c>
      <c r="H684" s="481" t="str">
        <v>Morocco</v>
      </c>
      <c r="I684" s="481" t="str">
        <v>USA</v>
      </c>
      <c r="J684" s="481" t="str">
        <v>Cote d'Ivorie</v>
      </c>
      <c r="K684" s="481" t="str">
        <v>Japan</v>
      </c>
      <c r="L684" s="481" t="str">
        <v>Egypt</v>
      </c>
      <c r="M684" s="481" t="str">
        <v>Uruguay</v>
      </c>
      <c r="N684" s="481" t="str">
        <v>Senegal</v>
      </c>
      <c r="O684" s="481" t="str">
        <v>Argentina</v>
      </c>
      <c r="P684" s="481" t="str">
        <v>Portugal</v>
      </c>
      <c r="Q684" s="490" t="str">
        <v>Croatia</v>
      </c>
    </row>
    <row r="685" spans="1:17" x14ac:dyDescent="0.2">
      <c r="A685" s="489">
        <v>682</v>
      </c>
      <c r="B685" s="481" t="str">
        <v>Brazil</v>
      </c>
      <c r="C685" s="481" t="str">
        <v>Mexico</v>
      </c>
      <c r="D685" s="481" t="str">
        <v>Argentina</v>
      </c>
      <c r="E685" s="481" t="str">
        <v>Paraguay</v>
      </c>
      <c r="F685" s="481" t="str">
        <v>Mexico</v>
      </c>
      <c r="G685" s="481" t="str">
        <v>Switzerland</v>
      </c>
      <c r="H685" s="481" t="str">
        <v>Brazil</v>
      </c>
      <c r="I685" s="481" t="str">
        <v>USA</v>
      </c>
      <c r="J685" s="481" t="str">
        <v>Germany</v>
      </c>
      <c r="K685" s="481" t="str">
        <v>Japan</v>
      </c>
      <c r="L685" s="481" t="str">
        <v>Belgium</v>
      </c>
      <c r="M685" s="481" t="str">
        <v>Uruguay</v>
      </c>
      <c r="N685" s="481" t="str">
        <v>France</v>
      </c>
      <c r="O685" s="481" t="str">
        <v>Algeria</v>
      </c>
      <c r="P685" s="481" t="str">
        <v>Portugal</v>
      </c>
      <c r="Q685" s="490" t="str">
        <v>England</v>
      </c>
    </row>
    <row r="686" spans="1:17" x14ac:dyDescent="0.2">
      <c r="A686" s="489">
        <v>683</v>
      </c>
      <c r="B686" s="481" t="str">
        <v>Brazil</v>
      </c>
      <c r="C686" s="481" t="str">
        <v>Mexico</v>
      </c>
      <c r="D686" s="481" t="str">
        <v>Morocco</v>
      </c>
      <c r="E686" s="481" t="str">
        <v>Argentina</v>
      </c>
      <c r="F686" s="481" t="str">
        <v>Mexico</v>
      </c>
      <c r="G686" s="481" t="str">
        <v>Switzerland</v>
      </c>
      <c r="H686" s="481" t="str">
        <v>Morocco</v>
      </c>
      <c r="I686" s="481" t="str">
        <v>USA</v>
      </c>
      <c r="J686" s="481" t="str">
        <v>Germany</v>
      </c>
      <c r="K686" s="481" t="str">
        <v>Sweden</v>
      </c>
      <c r="L686" s="481" t="str">
        <v>Belgium</v>
      </c>
      <c r="M686" s="481" t="str">
        <v>Uruguay</v>
      </c>
      <c r="N686" s="481" t="str">
        <v>Norway</v>
      </c>
      <c r="O686" s="481" t="str">
        <v>Argentina</v>
      </c>
      <c r="P686" s="481" t="str">
        <v>Portugal</v>
      </c>
      <c r="Q686" s="490" t="str">
        <v>England</v>
      </c>
    </row>
    <row r="687" spans="1:17" x14ac:dyDescent="0.2">
      <c r="A687" s="489">
        <v>684</v>
      </c>
      <c r="B687" s="481" t="str">
        <v>Argentina</v>
      </c>
      <c r="C687" s="481" t="str">
        <v>Colombia</v>
      </c>
      <c r="D687" s="481" t="str">
        <v>England</v>
      </c>
      <c r="E687" s="481" t="str">
        <v>Belgium</v>
      </c>
      <c r="F687" s="481" t="str">
        <v>Mexico</v>
      </c>
      <c r="G687" s="481" t="str">
        <v>Canada</v>
      </c>
      <c r="H687" s="481" t="str">
        <v>Morocco</v>
      </c>
      <c r="I687" s="481" t="str">
        <v>USA</v>
      </c>
      <c r="J687" s="481" t="str">
        <v>Germany</v>
      </c>
      <c r="K687" s="481" t="str">
        <v>Japan</v>
      </c>
      <c r="L687" s="481" t="str">
        <v>Belgium</v>
      </c>
      <c r="M687" s="481" t="str">
        <v>Cabo Verde</v>
      </c>
      <c r="N687" s="481" t="str">
        <v>France</v>
      </c>
      <c r="O687" s="481" t="str">
        <v>Argentina</v>
      </c>
      <c r="P687" s="481" t="str">
        <v>Portugal</v>
      </c>
      <c r="Q687" s="490" t="str">
        <v>England</v>
      </c>
    </row>
    <row r="688" spans="1:17" x14ac:dyDescent="0.2">
      <c r="A688" s="489">
        <v>685</v>
      </c>
      <c r="B688" s="481" t="str">
        <v>France</v>
      </c>
      <c r="C688" s="481" t="str">
        <v>Portugal</v>
      </c>
      <c r="D688" s="481" t="str">
        <v>Belgium</v>
      </c>
      <c r="E688" s="481" t="str">
        <v>Morocco</v>
      </c>
      <c r="F688" s="481" t="str">
        <v>Mexico</v>
      </c>
      <c r="G688" s="481" t="str">
        <v>Canada</v>
      </c>
      <c r="H688" s="481" t="str">
        <v>Brazil</v>
      </c>
      <c r="I688" s="481" t="str">
        <v>USA</v>
      </c>
      <c r="J688" s="481" t="str">
        <v>Germany</v>
      </c>
      <c r="K688" s="481" t="str">
        <v>Japan</v>
      </c>
      <c r="L688" s="481" t="str">
        <v>Egypt</v>
      </c>
      <c r="M688" s="481" t="str">
        <v>Uruguay</v>
      </c>
      <c r="N688" s="481" t="str">
        <v>France</v>
      </c>
      <c r="O688" s="481" t="str">
        <v>Argentina</v>
      </c>
      <c r="P688" s="481" t="str">
        <v>Portugal</v>
      </c>
      <c r="Q688" s="490" t="str">
        <v>England</v>
      </c>
    </row>
    <row r="689" spans="1:17" x14ac:dyDescent="0.2">
      <c r="A689" s="489">
        <v>686</v>
      </c>
      <c r="B689" s="481" t="str">
        <v>Brazil</v>
      </c>
      <c r="C689" s="481" t="str">
        <v>Argentina</v>
      </c>
      <c r="D689" s="481" t="str">
        <v>Belgium</v>
      </c>
      <c r="E689" s="481" t="str">
        <v>Japan</v>
      </c>
      <c r="F689" s="481" t="str">
        <v>Korea Republic</v>
      </c>
      <c r="G689" s="481" t="str">
        <v>Switzerland</v>
      </c>
      <c r="H689" s="481" t="str">
        <v>Morocco</v>
      </c>
      <c r="I689" s="481" t="str">
        <v>Australia</v>
      </c>
      <c r="J689" s="481" t="str">
        <v>Germany</v>
      </c>
      <c r="K689" s="481" t="str">
        <v>Japan</v>
      </c>
      <c r="L689" s="481" t="str">
        <v>Belgium</v>
      </c>
      <c r="M689" s="481" t="str">
        <v>Uruguay</v>
      </c>
      <c r="N689" s="481" t="str">
        <v>France</v>
      </c>
      <c r="O689" s="481" t="str">
        <v>Austria</v>
      </c>
      <c r="P689" s="481" t="str">
        <v>Portugal</v>
      </c>
      <c r="Q689" s="490" t="str">
        <v>Croatia</v>
      </c>
    </row>
    <row r="690" spans="1:17" x14ac:dyDescent="0.2">
      <c r="A690" s="489">
        <v>687</v>
      </c>
      <c r="B690" s="481" t="str">
        <v>Argentina</v>
      </c>
      <c r="C690" s="481" t="str">
        <v>Japan</v>
      </c>
      <c r="D690" s="481" t="str">
        <v>Morocco</v>
      </c>
      <c r="E690" s="481" t="str">
        <v>Colombia</v>
      </c>
      <c r="F690" s="481" t="str">
        <v>Mexico</v>
      </c>
      <c r="G690" s="481" t="str">
        <v>Canada</v>
      </c>
      <c r="H690" s="481" t="str">
        <v>Brazil</v>
      </c>
      <c r="I690" s="481" t="str">
        <v>Australia</v>
      </c>
      <c r="J690" s="481" t="str">
        <v>Germany</v>
      </c>
      <c r="K690" s="481" t="str">
        <v>Netherlands</v>
      </c>
      <c r="L690" s="481" t="str">
        <v>Belgium</v>
      </c>
      <c r="M690" s="481" t="str">
        <v>Spain</v>
      </c>
      <c r="N690" s="481" t="str">
        <v>France</v>
      </c>
      <c r="O690" s="481" t="str">
        <v>Argentina</v>
      </c>
      <c r="P690" s="481" t="str">
        <v>Portugal</v>
      </c>
      <c r="Q690" s="490" t="str">
        <v>England</v>
      </c>
    </row>
    <row r="691" spans="1:17" x14ac:dyDescent="0.2">
      <c r="A691" s="489">
        <v>688</v>
      </c>
      <c r="B691" s="481" t="str">
        <v>Spain</v>
      </c>
      <c r="C691" s="481" t="str">
        <v>Switzerland</v>
      </c>
      <c r="D691" s="481" t="str">
        <v>Algeria</v>
      </c>
      <c r="E691" s="481" t="str">
        <v>Austria</v>
      </c>
      <c r="F691" s="481" t="str">
        <v>Mexico</v>
      </c>
      <c r="G691" s="481" t="str">
        <v>Switzerland</v>
      </c>
      <c r="H691" s="481" t="str">
        <v>Morocco</v>
      </c>
      <c r="I691" s="481" t="str">
        <v>USA</v>
      </c>
      <c r="J691" s="481" t="str">
        <v>Germany</v>
      </c>
      <c r="K691" s="481" t="str">
        <v>Netherlands</v>
      </c>
      <c r="L691" s="481" t="str">
        <v>Belgium</v>
      </c>
      <c r="M691" s="481" t="str">
        <v>Uruguay</v>
      </c>
      <c r="N691" s="481" t="str">
        <v>France</v>
      </c>
      <c r="O691" s="481" t="str">
        <v>Austria</v>
      </c>
      <c r="P691" s="481" t="str">
        <v>Portugal</v>
      </c>
      <c r="Q691" s="490" t="str">
        <v>England</v>
      </c>
    </row>
    <row r="692" spans="1:17" x14ac:dyDescent="0.2">
      <c r="A692" s="489">
        <v>689</v>
      </c>
      <c r="B692" s="481" t="str">
        <v>Spain</v>
      </c>
      <c r="C692" s="481" t="str">
        <v>Senegal</v>
      </c>
      <c r="D692" s="481" t="str">
        <v>Spain</v>
      </c>
      <c r="E692" s="481" t="str">
        <v>Sweden</v>
      </c>
      <c r="F692" s="481" t="str">
        <v>Korea Republic</v>
      </c>
      <c r="G692" s="481" t="str">
        <v>Bosnia-Herzegovina</v>
      </c>
      <c r="H692" s="481" t="str">
        <v>Morocco</v>
      </c>
      <c r="I692" s="481" t="str">
        <v>USA</v>
      </c>
      <c r="J692" s="481" t="str">
        <v>Germany</v>
      </c>
      <c r="K692" s="481" t="str">
        <v>Netherlands</v>
      </c>
      <c r="L692" s="481" t="str">
        <v>Belgium</v>
      </c>
      <c r="M692" s="481" t="str">
        <v>Spain</v>
      </c>
      <c r="N692" s="481" t="str">
        <v>Senegal</v>
      </c>
      <c r="O692" s="481" t="str">
        <v>Austria</v>
      </c>
      <c r="P692" s="481" t="str">
        <v>Portugal</v>
      </c>
      <c r="Q692" s="490" t="str">
        <v>England</v>
      </c>
    </row>
    <row r="693" spans="1:17" x14ac:dyDescent="0.2">
      <c r="A693" s="489">
        <v>690</v>
      </c>
      <c r="B693" s="481" t="str">
        <v>Mexico</v>
      </c>
      <c r="C693" s="481" t="str">
        <v>Brazil</v>
      </c>
      <c r="D693" s="481" t="str">
        <v>Germany</v>
      </c>
      <c r="E693" s="481" t="str">
        <v>Senegal</v>
      </c>
      <c r="F693" s="481" t="str">
        <v>Mexico</v>
      </c>
      <c r="G693" s="481" t="str">
        <v>Canada</v>
      </c>
      <c r="H693" s="481" t="str">
        <v>Brazil</v>
      </c>
      <c r="I693" s="481" t="str">
        <v>Turkiye</v>
      </c>
      <c r="J693" s="481" t="str">
        <v>Germany</v>
      </c>
      <c r="K693" s="481" t="str">
        <v>Japan</v>
      </c>
      <c r="L693" s="481" t="str">
        <v>Egypt</v>
      </c>
      <c r="M693" s="481" t="str">
        <v>Spain</v>
      </c>
      <c r="N693" s="481" t="str">
        <v>France</v>
      </c>
      <c r="O693" s="481" t="str">
        <v>Argentina</v>
      </c>
      <c r="P693" s="481" t="str">
        <v>Colombia</v>
      </c>
      <c r="Q693" s="490" t="str">
        <v>Croatia</v>
      </c>
    </row>
    <row r="694" spans="1:17" x14ac:dyDescent="0.2">
      <c r="A694" s="489">
        <v>691</v>
      </c>
      <c r="B694" s="481" t="str">
        <v>Brazil</v>
      </c>
      <c r="C694" s="481" t="str">
        <v>England</v>
      </c>
      <c r="D694" s="481" t="str">
        <v>Belgium</v>
      </c>
      <c r="E694" s="481" t="str">
        <v>Morocco</v>
      </c>
      <c r="F694" s="481" t="str">
        <v>Mexico</v>
      </c>
      <c r="G694" s="481" t="str">
        <v>Switzerland</v>
      </c>
      <c r="H694" s="481" t="str">
        <v>Brazil</v>
      </c>
      <c r="I694" s="481" t="str">
        <v>Australia</v>
      </c>
      <c r="J694" s="481" t="str">
        <v>Cote d'Ivorie</v>
      </c>
      <c r="K694" s="481" t="str">
        <v>Netherlands</v>
      </c>
      <c r="L694" s="481" t="str">
        <v>Egypt</v>
      </c>
      <c r="M694" s="481" t="str">
        <v>Uruguay</v>
      </c>
      <c r="N694" s="481" t="str">
        <v>France</v>
      </c>
      <c r="O694" s="481" t="str">
        <v>Argentina</v>
      </c>
      <c r="P694" s="481" t="str">
        <v>Colombia</v>
      </c>
      <c r="Q694" s="490" t="str">
        <v>England</v>
      </c>
    </row>
    <row r="695" spans="1:17" x14ac:dyDescent="0.2">
      <c r="A695" s="489">
        <v>692</v>
      </c>
      <c r="B695" s="481" t="str">
        <v>France</v>
      </c>
      <c r="C695" s="481" t="str">
        <v>Morocco</v>
      </c>
      <c r="D695" s="481" t="str">
        <v>Argentina</v>
      </c>
      <c r="E695" s="481" t="str">
        <v>Germany</v>
      </c>
      <c r="F695" s="481" t="str">
        <v>Mexico</v>
      </c>
      <c r="G695" s="481" t="str">
        <v>Switzerland</v>
      </c>
      <c r="H695" s="481" t="str">
        <v>Morocco</v>
      </c>
      <c r="I695" s="481" t="str">
        <v>Turkiye</v>
      </c>
      <c r="J695" s="481" t="str">
        <v>Cote d'Ivorie</v>
      </c>
      <c r="K695" s="481" t="str">
        <v>Tunisia</v>
      </c>
      <c r="L695" s="481" t="str">
        <v>Belgium</v>
      </c>
      <c r="M695" s="481" t="str">
        <v>Spain</v>
      </c>
      <c r="N695" s="481" t="str">
        <v>France</v>
      </c>
      <c r="O695" s="481" t="str">
        <v>Argentina</v>
      </c>
      <c r="P695" s="481" t="str">
        <v>Portugal</v>
      </c>
      <c r="Q695" s="490" t="str">
        <v>England</v>
      </c>
    </row>
    <row r="696" spans="1:17" x14ac:dyDescent="0.2">
      <c r="A696" s="489">
        <v>693</v>
      </c>
      <c r="B696" s="481" t="str">
        <v>Portugal</v>
      </c>
      <c r="C696" s="481" t="str">
        <v>USA</v>
      </c>
      <c r="D696" s="481" t="str">
        <v>Germany</v>
      </c>
      <c r="E696" s="481" t="str">
        <v>Portugal</v>
      </c>
      <c r="F696" s="481" t="str">
        <v>Mexico</v>
      </c>
      <c r="G696" s="481" t="str">
        <v>Qatar</v>
      </c>
      <c r="H696" s="481" t="str">
        <v>Brazil</v>
      </c>
      <c r="I696" s="481" t="str">
        <v>USA</v>
      </c>
      <c r="J696" s="481" t="str">
        <v>Germany</v>
      </c>
      <c r="K696" s="481" t="str">
        <v>Netherlands</v>
      </c>
      <c r="L696" s="481" t="str">
        <v>Egypt</v>
      </c>
      <c r="M696" s="481" t="str">
        <v>Spain</v>
      </c>
      <c r="N696" s="481" t="str">
        <v>France</v>
      </c>
      <c r="O696" s="481" t="str">
        <v>Argentina</v>
      </c>
      <c r="P696" s="481" t="str">
        <v>Portugal</v>
      </c>
      <c r="Q696" s="490" t="str">
        <v>England</v>
      </c>
    </row>
    <row r="697" spans="1:17" x14ac:dyDescent="0.2">
      <c r="A697" s="489">
        <v>694</v>
      </c>
      <c r="B697" s="481" t="str">
        <v>Spain</v>
      </c>
      <c r="C697" s="481" t="str">
        <v>USA</v>
      </c>
      <c r="D697" s="481" t="str">
        <v>Belgium</v>
      </c>
      <c r="E697" s="481" t="str">
        <v>Brazil</v>
      </c>
      <c r="F697" s="481" t="str">
        <v>Mexico</v>
      </c>
      <c r="G697" s="481" t="str">
        <v>Switzerland</v>
      </c>
      <c r="H697" s="481" t="str">
        <v>Morocco</v>
      </c>
      <c r="I697" s="481" t="str">
        <v>USA</v>
      </c>
      <c r="J697" s="481" t="str">
        <v>Germany</v>
      </c>
      <c r="K697" s="481" t="str">
        <v>Netherlands</v>
      </c>
      <c r="L697" s="481" t="str">
        <v>Egypt</v>
      </c>
      <c r="M697" s="481" t="str">
        <v>Spain</v>
      </c>
      <c r="N697" s="481" t="str">
        <v>France</v>
      </c>
      <c r="O697" s="481" t="str">
        <v>Austria</v>
      </c>
      <c r="P697" s="481" t="str">
        <v>Portugal</v>
      </c>
      <c r="Q697" s="490" t="str">
        <v>Croatia</v>
      </c>
    </row>
    <row r="698" spans="1:17" x14ac:dyDescent="0.2">
      <c r="A698" s="489">
        <v>695</v>
      </c>
      <c r="B698" s="481" t="str">
        <v>Mexico</v>
      </c>
      <c r="C698" s="481" t="str">
        <v>Colombia</v>
      </c>
      <c r="D698" s="481" t="str">
        <v>Argentina</v>
      </c>
      <c r="E698" s="481" t="str">
        <v>Morocco</v>
      </c>
      <c r="F698" s="481" t="str">
        <v>Korea Republic</v>
      </c>
      <c r="G698" s="481" t="str">
        <v>Canada</v>
      </c>
      <c r="H698" s="481" t="str">
        <v>Brazil</v>
      </c>
      <c r="I698" s="481" t="str">
        <v>USA</v>
      </c>
      <c r="J698" s="481" t="str">
        <v>Germany</v>
      </c>
      <c r="K698" s="481" t="str">
        <v>Japan</v>
      </c>
      <c r="L698" s="481" t="str">
        <v>Belgium</v>
      </c>
      <c r="M698" s="481" t="str">
        <v>Uruguay</v>
      </c>
      <c r="N698" s="481" t="str">
        <v>France</v>
      </c>
      <c r="O698" s="481" t="str">
        <v>Austria</v>
      </c>
      <c r="P698" s="481" t="str">
        <v>Colombia</v>
      </c>
      <c r="Q698" s="490" t="str">
        <v>England</v>
      </c>
    </row>
    <row r="699" spans="1:17" x14ac:dyDescent="0.2">
      <c r="A699" s="489">
        <v>696</v>
      </c>
      <c r="B699" s="481" t="str">
        <v>England</v>
      </c>
      <c r="C699" s="481" t="str">
        <v>Portugal</v>
      </c>
      <c r="D699" s="481" t="str">
        <v>Mexico</v>
      </c>
      <c r="E699" s="481" t="str">
        <v>Croatia</v>
      </c>
      <c r="F699" s="481" t="str">
        <v>Korea Republic</v>
      </c>
      <c r="G699" s="481" t="str">
        <v>Bosnia-Herzegovina</v>
      </c>
      <c r="H699" s="481" t="str">
        <v>Morocco</v>
      </c>
      <c r="I699" s="481" t="str">
        <v>USA</v>
      </c>
      <c r="J699" s="481" t="str">
        <v>Cote d'Ivorie</v>
      </c>
      <c r="K699" s="481" t="str">
        <v>Netherlands</v>
      </c>
      <c r="L699" s="481" t="str">
        <v>Egypt</v>
      </c>
      <c r="M699" s="481" t="str">
        <v>Spain</v>
      </c>
      <c r="N699" s="481" t="str">
        <v>Senegal</v>
      </c>
      <c r="O699" s="481" t="str">
        <v>Austria</v>
      </c>
      <c r="P699" s="481" t="str">
        <v>Colombia</v>
      </c>
      <c r="Q699" s="490" t="str">
        <v>Croatia</v>
      </c>
    </row>
    <row r="700" spans="1:17" x14ac:dyDescent="0.2">
      <c r="A700" s="489">
        <v>697</v>
      </c>
      <c r="B700" s="481" t="str">
        <v>Brazil</v>
      </c>
      <c r="C700" s="481" t="str">
        <v>Mexico</v>
      </c>
      <c r="D700" s="481" t="str">
        <v>France</v>
      </c>
      <c r="E700" s="481" t="str">
        <v>Senegal</v>
      </c>
      <c r="F700" s="481" t="str">
        <v>Mexico</v>
      </c>
      <c r="G700" s="481" t="str">
        <v>Switzerland</v>
      </c>
      <c r="H700" s="481" t="str">
        <v>Morocco</v>
      </c>
      <c r="I700" s="481" t="str">
        <v>USA</v>
      </c>
      <c r="J700" s="481" t="str">
        <v>Germany</v>
      </c>
      <c r="K700" s="481" t="str">
        <v>Netherlands</v>
      </c>
      <c r="L700" s="481" t="str">
        <v>IR Iran</v>
      </c>
      <c r="M700" s="481" t="str">
        <v>Spain</v>
      </c>
      <c r="N700" s="481" t="str">
        <v>France</v>
      </c>
      <c r="O700" s="481" t="str">
        <v>Argentina</v>
      </c>
      <c r="P700" s="481" t="str">
        <v>Portugal</v>
      </c>
      <c r="Q700" s="490" t="str">
        <v>Panama</v>
      </c>
    </row>
    <row r="701" spans="1:17" x14ac:dyDescent="0.2">
      <c r="A701" s="489">
        <v>698</v>
      </c>
      <c r="B701" s="481" t="str">
        <v>Portugal</v>
      </c>
      <c r="C701" s="481" t="str">
        <v>France</v>
      </c>
      <c r="D701" s="481" t="str">
        <v>Netherlands</v>
      </c>
      <c r="E701" s="481" t="str">
        <v>Senegal</v>
      </c>
      <c r="F701" s="481" t="str">
        <v>Mexico</v>
      </c>
      <c r="G701" s="481" t="str">
        <v>Bosnia-Herzegovina</v>
      </c>
      <c r="H701" s="481" t="str">
        <v>Brazil</v>
      </c>
      <c r="I701" s="481" t="str">
        <v>Australia</v>
      </c>
      <c r="J701" s="481" t="str">
        <v>Cote d'Ivorie</v>
      </c>
      <c r="K701" s="481" t="str">
        <v>Japan</v>
      </c>
      <c r="L701" s="481" t="str">
        <v>Belgium</v>
      </c>
      <c r="M701" s="481" t="str">
        <v>Spain</v>
      </c>
      <c r="N701" s="481" t="str">
        <v>Norway</v>
      </c>
      <c r="O701" s="481" t="str">
        <v>Argentina</v>
      </c>
      <c r="P701" s="481" t="str">
        <v>Portugal</v>
      </c>
      <c r="Q701" s="490" t="str">
        <v>Croatia</v>
      </c>
    </row>
    <row r="702" spans="1:17" x14ac:dyDescent="0.2">
      <c r="A702" s="489">
        <v>699</v>
      </c>
      <c r="B702" s="481" t="str">
        <v>Colombia</v>
      </c>
      <c r="C702" s="481" t="str">
        <v>Korea Republic</v>
      </c>
      <c r="D702" s="481" t="str">
        <v>Argentina</v>
      </c>
      <c r="E702" s="481" t="str">
        <v>Algeria</v>
      </c>
      <c r="F702" s="481" t="str">
        <v>Korea Republic</v>
      </c>
      <c r="G702" s="481" t="str">
        <v>Bosnia-Herzegovina</v>
      </c>
      <c r="H702" s="481" t="str">
        <v>Brazil</v>
      </c>
      <c r="I702" s="481" t="str">
        <v>Australia</v>
      </c>
      <c r="J702" s="481" t="str">
        <v>Ecuador</v>
      </c>
      <c r="K702" s="481" t="str">
        <v>Sweden</v>
      </c>
      <c r="L702" s="481" t="str">
        <v>Egypt</v>
      </c>
      <c r="M702" s="481" t="str">
        <v>Uruguay</v>
      </c>
      <c r="N702" s="481" t="str">
        <v>France</v>
      </c>
      <c r="O702" s="481" t="str">
        <v>Algeria</v>
      </c>
      <c r="P702" s="481" t="str">
        <v>Colombia</v>
      </c>
      <c r="Q702" s="490" t="str">
        <v>England</v>
      </c>
    </row>
    <row r="703" spans="1:17" x14ac:dyDescent="0.2">
      <c r="A703" s="489">
        <v>700</v>
      </c>
      <c r="B703" s="481" t="str">
        <v>Germany</v>
      </c>
      <c r="C703" s="481" t="str">
        <v>Croatia</v>
      </c>
      <c r="D703" s="481" t="str">
        <v>Netherlands</v>
      </c>
      <c r="E703" s="481" t="str">
        <v>Algeria</v>
      </c>
      <c r="F703" s="481" t="str">
        <v>Korea Republic</v>
      </c>
      <c r="G703" s="481" t="str">
        <v>Canada</v>
      </c>
      <c r="H703" s="481" t="str">
        <v>Morocco</v>
      </c>
      <c r="I703" s="481" t="str">
        <v>Australia</v>
      </c>
      <c r="J703" s="481" t="str">
        <v>Cote d'Ivorie</v>
      </c>
      <c r="K703" s="481" t="str">
        <v>Japan</v>
      </c>
      <c r="L703" s="481" t="str">
        <v>Egypt</v>
      </c>
      <c r="M703" s="481" t="str">
        <v>Uruguay</v>
      </c>
      <c r="N703" s="481" t="str">
        <v>Norway</v>
      </c>
      <c r="O703" s="481" t="str">
        <v>Argentina</v>
      </c>
      <c r="P703" s="481" t="str">
        <v>Portugal</v>
      </c>
      <c r="Q703" s="490" t="str">
        <v>Croatia</v>
      </c>
    </row>
    <row r="704" spans="1:17" x14ac:dyDescent="0.2">
      <c r="A704" s="489">
        <v>701</v>
      </c>
      <c r="B704" s="481" t="str">
        <v>Germany</v>
      </c>
      <c r="C704" s="481" t="str">
        <v>Netherlands</v>
      </c>
      <c r="D704" s="481" t="str">
        <v>Croatia</v>
      </c>
      <c r="E704" s="481" t="str">
        <v>Switzerland</v>
      </c>
      <c r="F704" s="481" t="str">
        <v>Mexico</v>
      </c>
      <c r="G704" s="481" t="str">
        <v>Switzerland</v>
      </c>
      <c r="H704" s="481" t="str">
        <v>Morocco</v>
      </c>
      <c r="I704" s="481" t="str">
        <v>Australia</v>
      </c>
      <c r="J704" s="481" t="str">
        <v>Germany</v>
      </c>
      <c r="K704" s="481" t="str">
        <v>Japan</v>
      </c>
      <c r="L704" s="481" t="str">
        <v>Egypt</v>
      </c>
      <c r="M704" s="481" t="str">
        <v>Spain</v>
      </c>
      <c r="N704" s="481" t="str">
        <v>Norway</v>
      </c>
      <c r="O704" s="481" t="str">
        <v>Argentina</v>
      </c>
      <c r="P704" s="481" t="str">
        <v>Portugal</v>
      </c>
      <c r="Q704" s="490" t="str">
        <v>England</v>
      </c>
    </row>
    <row r="705" spans="1:17" x14ac:dyDescent="0.2">
      <c r="A705" s="489">
        <v>702</v>
      </c>
      <c r="B705" s="481" t="str">
        <v>Germany</v>
      </c>
      <c r="C705" s="481" t="str">
        <v>Portugal</v>
      </c>
      <c r="D705" s="481" t="str">
        <v>Argentina</v>
      </c>
      <c r="E705" s="481" t="str">
        <v>Belgium</v>
      </c>
      <c r="F705" s="481" t="str">
        <v>Czechia</v>
      </c>
      <c r="G705" s="481" t="str">
        <v>Switzerland</v>
      </c>
      <c r="H705" s="481" t="str">
        <v>Brazil</v>
      </c>
      <c r="I705" s="481" t="str">
        <v>USA</v>
      </c>
      <c r="J705" s="481" t="str">
        <v>Germany</v>
      </c>
      <c r="K705" s="481" t="str">
        <v>Netherlands</v>
      </c>
      <c r="L705" s="481" t="str">
        <v>Belgium</v>
      </c>
      <c r="M705" s="481" t="str">
        <v>Spain</v>
      </c>
      <c r="N705" s="481" t="str">
        <v>Norway</v>
      </c>
      <c r="O705" s="481" t="str">
        <v>Argentina</v>
      </c>
      <c r="P705" s="481" t="str">
        <v>Congo DR</v>
      </c>
      <c r="Q705" s="490" t="str">
        <v>Croatia</v>
      </c>
    </row>
    <row r="706" spans="1:17" x14ac:dyDescent="0.2">
      <c r="A706" s="489">
        <v>703</v>
      </c>
      <c r="B706" s="481" t="str">
        <v>England</v>
      </c>
      <c r="C706" s="481" t="str">
        <v>Portugal</v>
      </c>
      <c r="D706" s="481" t="str">
        <v>Germany</v>
      </c>
      <c r="E706" s="481" t="str">
        <v>France</v>
      </c>
      <c r="F706" s="481" t="str">
        <v>Mexico</v>
      </c>
      <c r="G706" s="481" t="str">
        <v>Switzerland</v>
      </c>
      <c r="H706" s="481" t="str">
        <v>Brazil</v>
      </c>
      <c r="I706" s="481" t="str">
        <v>USA</v>
      </c>
      <c r="J706" s="481" t="str">
        <v>Cote d'Ivorie</v>
      </c>
      <c r="K706" s="481" t="str">
        <v>Japan</v>
      </c>
      <c r="L706" s="481" t="str">
        <v>Egypt</v>
      </c>
      <c r="M706" s="481" t="str">
        <v>Saudi Arabia</v>
      </c>
      <c r="N706" s="481" t="str">
        <v>France</v>
      </c>
      <c r="O706" s="481" t="str">
        <v>Argentina</v>
      </c>
      <c r="P706" s="481" t="str">
        <v>Portugal</v>
      </c>
      <c r="Q706" s="490" t="str">
        <v>Croatia</v>
      </c>
    </row>
    <row r="707" spans="1:17" x14ac:dyDescent="0.2">
      <c r="A707" s="489">
        <v>704</v>
      </c>
      <c r="B707" s="481" t="str">
        <v>Argentina</v>
      </c>
      <c r="C707" s="481" t="str">
        <v>Argentina</v>
      </c>
      <c r="D707" s="481" t="str">
        <v>Argentina</v>
      </c>
      <c r="E707" s="481" t="str">
        <v>Argentina</v>
      </c>
      <c r="F707" s="481" t="str">
        <v>Mexico</v>
      </c>
      <c r="G707" s="481" t="str">
        <v>Switzerland</v>
      </c>
      <c r="H707" s="481" t="str">
        <v>Brazil</v>
      </c>
      <c r="I707" s="481" t="str">
        <v>USA</v>
      </c>
      <c r="J707" s="481" t="str">
        <v>Germany</v>
      </c>
      <c r="K707" s="481" t="str">
        <v>Netherlands</v>
      </c>
      <c r="L707" s="481" t="str">
        <v>Belgium</v>
      </c>
      <c r="M707" s="481" t="str">
        <v>Spain</v>
      </c>
      <c r="N707" s="481" t="str">
        <v>France</v>
      </c>
      <c r="O707" s="481" t="str">
        <v>Argentina</v>
      </c>
      <c r="P707" s="481" t="str">
        <v>Portugal</v>
      </c>
      <c r="Q707" s="490" t="str">
        <v>Croatia</v>
      </c>
    </row>
    <row r="708" spans="1:17" x14ac:dyDescent="0.2">
      <c r="A708" s="489">
        <v>705</v>
      </c>
      <c r="B708" s="481" t="str">
        <v>Morocco</v>
      </c>
      <c r="C708" s="481" t="str">
        <v>Uruguay</v>
      </c>
      <c r="D708" s="481" t="str">
        <v>England</v>
      </c>
      <c r="E708" s="481" t="str">
        <v>Norway</v>
      </c>
      <c r="F708" s="481" t="str">
        <v>Mexico</v>
      </c>
      <c r="G708" s="481" t="str">
        <v>Canada</v>
      </c>
      <c r="H708" s="481" t="str">
        <v>Brazil</v>
      </c>
      <c r="I708" s="481" t="str">
        <v>USA</v>
      </c>
      <c r="J708" s="481" t="str">
        <v>Germany</v>
      </c>
      <c r="K708" s="481" t="str">
        <v>Japan</v>
      </c>
      <c r="L708" s="481" t="str">
        <v>Egypt</v>
      </c>
      <c r="M708" s="481" t="str">
        <v>Uruguay</v>
      </c>
      <c r="N708" s="481" t="str">
        <v>France</v>
      </c>
      <c r="O708" s="481" t="str">
        <v>Argentina</v>
      </c>
      <c r="P708" s="481" t="str">
        <v>Portugal</v>
      </c>
      <c r="Q708" s="490" t="str">
        <v>Croatia</v>
      </c>
    </row>
    <row r="709" spans="1:17" x14ac:dyDescent="0.2">
      <c r="A709" s="489">
        <v>706</v>
      </c>
      <c r="B709" s="481" t="str">
        <v>Spain</v>
      </c>
      <c r="C709" s="481" t="str">
        <v>Spain</v>
      </c>
      <c r="D709" s="481" t="str">
        <v>Portugal</v>
      </c>
      <c r="E709" s="481" t="str">
        <v>Korea Republic</v>
      </c>
      <c r="F709" s="481" t="str">
        <v>Mexico</v>
      </c>
      <c r="G709" s="481" t="str">
        <v>Bosnia-Herzegovina</v>
      </c>
      <c r="H709" s="481" t="str">
        <v>Scotland</v>
      </c>
      <c r="I709" s="481" t="str">
        <v>USA</v>
      </c>
      <c r="J709" s="481" t="str">
        <v>Germany</v>
      </c>
      <c r="K709" s="481" t="str">
        <v>Japan</v>
      </c>
      <c r="L709" s="481" t="str">
        <v>Egypt</v>
      </c>
      <c r="M709" s="481" t="str">
        <v>Uruguay</v>
      </c>
      <c r="N709" s="481" t="str">
        <v>Norway</v>
      </c>
      <c r="O709" s="481" t="str">
        <v>Argentina</v>
      </c>
      <c r="P709" s="481" t="str">
        <v>Portugal</v>
      </c>
      <c r="Q709" s="490" t="str">
        <v>Croatia</v>
      </c>
    </row>
    <row r="710" spans="1:17" x14ac:dyDescent="0.2">
      <c r="A710" s="489">
        <v>707</v>
      </c>
      <c r="B710" s="481" t="str">
        <v>France</v>
      </c>
      <c r="C710" s="481" t="str">
        <v>USA</v>
      </c>
      <c r="D710" s="481" t="str">
        <v>USA</v>
      </c>
      <c r="E710" s="481" t="str">
        <v>Croatia</v>
      </c>
      <c r="F710" s="481" t="str">
        <v>Mexico</v>
      </c>
      <c r="G710" s="481" t="str">
        <v>Canada</v>
      </c>
      <c r="H710" s="481" t="str">
        <v>Morocco</v>
      </c>
      <c r="I710" s="481" t="str">
        <v>Australia</v>
      </c>
      <c r="J710" s="481" t="str">
        <v>Germany</v>
      </c>
      <c r="K710" s="481" t="str">
        <v>Sweden</v>
      </c>
      <c r="L710" s="481" t="str">
        <v>IR Iran</v>
      </c>
      <c r="M710" s="481" t="str">
        <v>Spain</v>
      </c>
      <c r="N710" s="481" t="str">
        <v>France</v>
      </c>
      <c r="O710" s="481" t="str">
        <v>Austria</v>
      </c>
      <c r="P710" s="481" t="str">
        <v>Colombia</v>
      </c>
      <c r="Q710" s="490" t="str">
        <v>England</v>
      </c>
    </row>
    <row r="711" spans="1:17" x14ac:dyDescent="0.2">
      <c r="A711" s="489">
        <v>708</v>
      </c>
      <c r="B711" s="481" t="str">
        <v>Spain</v>
      </c>
      <c r="C711" s="481" t="str">
        <v>Australia</v>
      </c>
      <c r="D711" s="481" t="str">
        <v>Colombia</v>
      </c>
      <c r="E711" s="481" t="str">
        <v>England</v>
      </c>
      <c r="F711" s="481" t="str">
        <v>Mexico</v>
      </c>
      <c r="G711" s="481" t="str">
        <v>Canada</v>
      </c>
      <c r="H711" s="481" t="str">
        <v>Morocco</v>
      </c>
      <c r="I711" s="481" t="str">
        <v>Australia</v>
      </c>
      <c r="J711" s="481" t="str">
        <v>Germany</v>
      </c>
      <c r="K711" s="481" t="str">
        <v>Sweden</v>
      </c>
      <c r="L711" s="481" t="str">
        <v>IR Iran</v>
      </c>
      <c r="M711" s="481" t="str">
        <v>Uruguay</v>
      </c>
      <c r="N711" s="481" t="str">
        <v>France</v>
      </c>
      <c r="O711" s="481" t="str">
        <v>Argentina</v>
      </c>
      <c r="P711" s="481" t="str">
        <v>Uzbekistan</v>
      </c>
      <c r="Q711" s="490" t="str">
        <v>England</v>
      </c>
    </row>
    <row r="712" spans="1:17" x14ac:dyDescent="0.2">
      <c r="A712" s="489">
        <v>709</v>
      </c>
      <c r="B712" s="481" t="str">
        <v>France</v>
      </c>
      <c r="C712" s="481" t="str">
        <v>Portugal</v>
      </c>
      <c r="D712" s="481" t="str">
        <v>Spain</v>
      </c>
      <c r="E712" s="481" t="str">
        <v>Korea Republic</v>
      </c>
      <c r="F712" s="481" t="str">
        <v>Korea Republic</v>
      </c>
      <c r="G712" s="481" t="str">
        <v>Canada</v>
      </c>
      <c r="H712" s="481" t="str">
        <v>Morocco</v>
      </c>
      <c r="I712" s="481" t="str">
        <v>USA</v>
      </c>
      <c r="J712" s="481" t="str">
        <v>Germany</v>
      </c>
      <c r="K712" s="481" t="str">
        <v>Netherlands</v>
      </c>
      <c r="L712" s="481" t="str">
        <v>IR Iran</v>
      </c>
      <c r="M712" s="481" t="str">
        <v>Spain</v>
      </c>
      <c r="N712" s="481" t="str">
        <v>France</v>
      </c>
      <c r="O712" s="481" t="str">
        <v>Algeria</v>
      </c>
      <c r="P712" s="481" t="str">
        <v>Portugal</v>
      </c>
      <c r="Q712" s="490" t="str">
        <v>Ghana</v>
      </c>
    </row>
    <row r="713" spans="1:17" x14ac:dyDescent="0.2">
      <c r="A713" s="489">
        <v>710</v>
      </c>
      <c r="B713" s="481" t="str">
        <v>Brazil</v>
      </c>
      <c r="C713" s="481" t="str">
        <v>Colombia</v>
      </c>
      <c r="D713" s="481" t="str">
        <v>Algeria</v>
      </c>
      <c r="E713" s="481" t="str">
        <v>Korea Republic</v>
      </c>
      <c r="F713" s="481" t="str">
        <v>Mexico</v>
      </c>
      <c r="G713" s="481" t="str">
        <v>Switzerland</v>
      </c>
      <c r="H713" s="481" t="str">
        <v>Brazil</v>
      </c>
      <c r="I713" s="481" t="str">
        <v>USA</v>
      </c>
      <c r="J713" s="481" t="str">
        <v>Germany</v>
      </c>
      <c r="K713" s="481" t="str">
        <v>Netherlands</v>
      </c>
      <c r="L713" s="481" t="str">
        <v>Egypt</v>
      </c>
      <c r="M713" s="481" t="str">
        <v>Uruguay</v>
      </c>
      <c r="N713" s="481" t="str">
        <v>France</v>
      </c>
      <c r="O713" s="481" t="str">
        <v>Algeria</v>
      </c>
      <c r="P713" s="481" t="str">
        <v>Portugal</v>
      </c>
      <c r="Q713" s="490" t="str">
        <v>England</v>
      </c>
    </row>
    <row r="714" spans="1:17" x14ac:dyDescent="0.2">
      <c r="A714" s="489">
        <v>711</v>
      </c>
      <c r="B714" s="481" t="str">
        <v>Spain</v>
      </c>
      <c r="C714" s="481" t="str">
        <v>Senegal</v>
      </c>
      <c r="D714" s="481" t="str">
        <v>Croatia</v>
      </c>
      <c r="E714" s="481" t="str">
        <v>Germany</v>
      </c>
      <c r="F714" s="481" t="str">
        <v>Mexico</v>
      </c>
      <c r="G714" s="481" t="str">
        <v>Canada</v>
      </c>
      <c r="H714" s="481" t="str">
        <v>Brazil</v>
      </c>
      <c r="I714" s="481" t="str">
        <v>USA</v>
      </c>
      <c r="J714" s="481" t="str">
        <v>Germany</v>
      </c>
      <c r="K714" s="481" t="str">
        <v>Sweden</v>
      </c>
      <c r="L714" s="481" t="str">
        <v>Egypt</v>
      </c>
      <c r="M714" s="481" t="str">
        <v>Spain</v>
      </c>
      <c r="N714" s="481" t="str">
        <v>France</v>
      </c>
      <c r="O714" s="481" t="str">
        <v>Argentina</v>
      </c>
      <c r="P714" s="481" t="str">
        <v>Portugal</v>
      </c>
      <c r="Q714" s="490" t="str">
        <v>England</v>
      </c>
    </row>
    <row r="715" spans="1:17" x14ac:dyDescent="0.2">
      <c r="A715" s="489">
        <v>712</v>
      </c>
      <c r="B715" s="481" t="str">
        <v>France</v>
      </c>
      <c r="C715" s="481" t="str">
        <v>England</v>
      </c>
      <c r="D715" s="481" t="str">
        <v>Mexico</v>
      </c>
      <c r="E715" s="481" t="str">
        <v>Algeria</v>
      </c>
      <c r="F715" s="481" t="str">
        <v>Korea Republic</v>
      </c>
      <c r="G715" s="481" t="str">
        <v>Bosnia-Herzegovina</v>
      </c>
      <c r="H715" s="481" t="str">
        <v>Brazil</v>
      </c>
      <c r="I715" s="481" t="str">
        <v>USA</v>
      </c>
      <c r="J715" s="481" t="str">
        <v>Germany</v>
      </c>
      <c r="K715" s="481" t="str">
        <v>Netherlands</v>
      </c>
      <c r="L715" s="481" t="str">
        <v>Belgium</v>
      </c>
      <c r="M715" s="481" t="str">
        <v>Uruguay</v>
      </c>
      <c r="N715" s="481" t="str">
        <v>Norway</v>
      </c>
      <c r="O715" s="481" t="str">
        <v>Argentina</v>
      </c>
      <c r="P715" s="481" t="str">
        <v>Portugal</v>
      </c>
      <c r="Q715" s="490" t="str">
        <v>England</v>
      </c>
    </row>
    <row r="716" spans="1:17" x14ac:dyDescent="0.2">
      <c r="A716" s="489">
        <v>713</v>
      </c>
      <c r="B716" s="481" t="str">
        <v>Spain</v>
      </c>
      <c r="C716" s="481" t="str">
        <v>Brazil</v>
      </c>
      <c r="D716" s="481" t="str">
        <v>Australia</v>
      </c>
      <c r="E716" s="481" t="str">
        <v>Korea Republic</v>
      </c>
      <c r="F716" s="481" t="str">
        <v>Korea Republic</v>
      </c>
      <c r="G716" s="481" t="str">
        <v>Canada</v>
      </c>
      <c r="H716" s="481" t="str">
        <v>Brazil</v>
      </c>
      <c r="I716" s="481" t="str">
        <v>Australia</v>
      </c>
      <c r="J716" s="481" t="str">
        <v>Germany</v>
      </c>
      <c r="K716" s="481" t="str">
        <v>Netherlands</v>
      </c>
      <c r="L716" s="481" t="str">
        <v>Egypt</v>
      </c>
      <c r="M716" s="481" t="str">
        <v>Spain</v>
      </c>
      <c r="N716" s="481" t="str">
        <v>France</v>
      </c>
      <c r="O716" s="481" t="str">
        <v>Argentina</v>
      </c>
      <c r="P716" s="481" t="str">
        <v>Congo DR</v>
      </c>
      <c r="Q716" s="490" t="str">
        <v>England</v>
      </c>
    </row>
    <row r="717" spans="1:17" x14ac:dyDescent="0.2">
      <c r="A717" s="489">
        <v>714</v>
      </c>
      <c r="B717" s="481" t="str">
        <v>Spain</v>
      </c>
      <c r="C717" s="481" t="str">
        <v>England</v>
      </c>
      <c r="D717" s="481" t="str">
        <v>Morocco</v>
      </c>
      <c r="E717" s="481" t="str">
        <v>IR Iran</v>
      </c>
      <c r="F717" s="481" t="str">
        <v>Korea Republic</v>
      </c>
      <c r="G717" s="481" t="str">
        <v>Switzerland</v>
      </c>
      <c r="H717" s="481" t="str">
        <v>Brazil</v>
      </c>
      <c r="I717" s="481" t="str">
        <v>Australia</v>
      </c>
      <c r="J717" s="481" t="str">
        <v>Germany</v>
      </c>
      <c r="K717" s="481" t="str">
        <v>Sweden</v>
      </c>
      <c r="L717" s="481" t="str">
        <v>Belgium</v>
      </c>
      <c r="M717" s="481" t="str">
        <v>Saudi Arabia</v>
      </c>
      <c r="N717" s="481" t="str">
        <v>France</v>
      </c>
      <c r="O717" s="481" t="str">
        <v>Austria</v>
      </c>
      <c r="P717" s="481" t="str">
        <v>Portugal</v>
      </c>
      <c r="Q717" s="490" t="str">
        <v>England</v>
      </c>
    </row>
    <row r="718" spans="1:17" x14ac:dyDescent="0.2">
      <c r="A718" s="489">
        <v>715</v>
      </c>
      <c r="B718" s="481" t="str">
        <v>Portugal</v>
      </c>
      <c r="C718" s="481" t="str">
        <v>Japan</v>
      </c>
      <c r="D718" s="481" t="str">
        <v>Spain</v>
      </c>
      <c r="E718" s="481" t="str">
        <v>Portugal</v>
      </c>
      <c r="F718" s="481" t="str">
        <v>Mexico</v>
      </c>
      <c r="G718" s="481" t="str">
        <v>Qatar</v>
      </c>
      <c r="H718" s="481" t="str">
        <v>Morocco</v>
      </c>
      <c r="I718" s="481" t="str">
        <v>USA</v>
      </c>
      <c r="J718" s="481" t="str">
        <v>Ecuador</v>
      </c>
      <c r="K718" s="481" t="str">
        <v>Netherlands</v>
      </c>
      <c r="L718" s="481" t="str">
        <v>Belgium</v>
      </c>
      <c r="M718" s="481" t="str">
        <v>Uruguay</v>
      </c>
      <c r="N718" s="481" t="str">
        <v>France</v>
      </c>
      <c r="O718" s="481" t="str">
        <v>Argentina</v>
      </c>
      <c r="P718" s="481" t="str">
        <v>Portugal</v>
      </c>
      <c r="Q718" s="490" t="str">
        <v>England</v>
      </c>
    </row>
    <row r="719" spans="1:17" x14ac:dyDescent="0.2">
      <c r="A719" s="489">
        <v>716</v>
      </c>
      <c r="B719" s="481" t="str">
        <v>Belgium</v>
      </c>
      <c r="C719" s="481" t="str">
        <v>Argentina</v>
      </c>
      <c r="D719" s="481" t="str">
        <v>Mexico</v>
      </c>
      <c r="E719" s="481" t="str">
        <v>Senegal</v>
      </c>
      <c r="F719" s="481" t="str">
        <v>Korea Republic</v>
      </c>
      <c r="G719" s="481" t="str">
        <v>Switzerland</v>
      </c>
      <c r="H719" s="481" t="str">
        <v>Morocco</v>
      </c>
      <c r="I719" s="481" t="str">
        <v>Turkiye</v>
      </c>
      <c r="J719" s="481" t="str">
        <v>Germany</v>
      </c>
      <c r="K719" s="481" t="str">
        <v>Netherlands</v>
      </c>
      <c r="L719" s="481" t="str">
        <v>Egypt</v>
      </c>
      <c r="M719" s="481" t="str">
        <v>Spain</v>
      </c>
      <c r="N719" s="481" t="str">
        <v>France</v>
      </c>
      <c r="O719" s="481" t="str">
        <v>Argentina</v>
      </c>
      <c r="P719" s="481" t="str">
        <v>Portugal</v>
      </c>
      <c r="Q719" s="490" t="str">
        <v>England</v>
      </c>
    </row>
    <row r="720" spans="1:17" x14ac:dyDescent="0.2">
      <c r="A720" s="489">
        <v>717</v>
      </c>
      <c r="B720" s="481" t="str">
        <v>Uruguay</v>
      </c>
      <c r="C720" s="481" t="str">
        <v>Argentina</v>
      </c>
      <c r="D720" s="481" t="str">
        <v>Brazil</v>
      </c>
      <c r="E720" s="481" t="str">
        <v>USA</v>
      </c>
      <c r="F720" s="481" t="str">
        <v>Korea Republic</v>
      </c>
      <c r="G720" s="481" t="str">
        <v>Canada</v>
      </c>
      <c r="H720" s="481" t="str">
        <v>Scotland</v>
      </c>
      <c r="I720" s="481" t="str">
        <v>USA</v>
      </c>
      <c r="J720" s="481" t="str">
        <v>Germany</v>
      </c>
      <c r="K720" s="481" t="str">
        <v>Japan</v>
      </c>
      <c r="L720" s="481" t="str">
        <v>Egypt</v>
      </c>
      <c r="M720" s="481" t="str">
        <v>Uruguay</v>
      </c>
      <c r="N720" s="481" t="str">
        <v>France</v>
      </c>
      <c r="O720" s="481" t="str">
        <v>Argentina</v>
      </c>
      <c r="P720" s="481" t="str">
        <v>Portugal</v>
      </c>
      <c r="Q720" s="490" t="str">
        <v>Croatia</v>
      </c>
    </row>
    <row r="721" spans="1:17" x14ac:dyDescent="0.2">
      <c r="A721" s="489">
        <v>718</v>
      </c>
      <c r="B721" s="481" t="str">
        <v>Spain</v>
      </c>
      <c r="C721" s="481" t="str">
        <v>Germany</v>
      </c>
      <c r="D721" s="481" t="str">
        <v>Colombia</v>
      </c>
      <c r="E721" s="481" t="str">
        <v>France</v>
      </c>
      <c r="F721" s="481" t="str">
        <v>Mexico</v>
      </c>
      <c r="G721" s="481" t="str">
        <v>Bosnia-Herzegovina</v>
      </c>
      <c r="H721" s="481" t="str">
        <v>Brazil</v>
      </c>
      <c r="I721" s="481" t="str">
        <v>USA</v>
      </c>
      <c r="J721" s="481" t="str">
        <v>Germany</v>
      </c>
      <c r="K721" s="481" t="str">
        <v>Japan</v>
      </c>
      <c r="L721" s="481" t="str">
        <v>Belgium</v>
      </c>
      <c r="M721" s="481" t="str">
        <v>Spain</v>
      </c>
      <c r="N721" s="481" t="str">
        <v>France</v>
      </c>
      <c r="O721" s="481" t="str">
        <v>Argentina</v>
      </c>
      <c r="P721" s="481" t="str">
        <v>Colombia</v>
      </c>
      <c r="Q721" s="490" t="str">
        <v>Panama</v>
      </c>
    </row>
    <row r="722" spans="1:17" x14ac:dyDescent="0.2">
      <c r="A722" s="489">
        <v>719</v>
      </c>
      <c r="B722" s="481" t="str">
        <v>Argentina</v>
      </c>
      <c r="C722" s="481" t="str">
        <v>Senegal</v>
      </c>
      <c r="D722" s="481" t="str">
        <v>Brazil</v>
      </c>
      <c r="E722" s="481" t="str">
        <v>USA</v>
      </c>
      <c r="F722" s="481" t="str">
        <v>Korea Republic</v>
      </c>
      <c r="G722" s="481" t="str">
        <v>Switzerland</v>
      </c>
      <c r="H722" s="481" t="str">
        <v>Brazil</v>
      </c>
      <c r="I722" s="481" t="str">
        <v>USA</v>
      </c>
      <c r="J722" s="481" t="str">
        <v>Germany</v>
      </c>
      <c r="K722" s="481" t="str">
        <v>Netherlands</v>
      </c>
      <c r="L722" s="481" t="str">
        <v>Egypt</v>
      </c>
      <c r="M722" s="481" t="str">
        <v>Spain</v>
      </c>
      <c r="N722" s="481" t="str">
        <v>France</v>
      </c>
      <c r="O722" s="481" t="str">
        <v>Argentina</v>
      </c>
      <c r="P722" s="481" t="str">
        <v>Portugal</v>
      </c>
      <c r="Q722" s="490" t="str">
        <v>England</v>
      </c>
    </row>
    <row r="723" spans="1:17" x14ac:dyDescent="0.2">
      <c r="A723" s="489">
        <v>720</v>
      </c>
      <c r="B723" s="481" t="str">
        <v>France</v>
      </c>
      <c r="C723" s="481" t="str">
        <v>Morocco</v>
      </c>
      <c r="D723" s="481" t="str">
        <v>England</v>
      </c>
      <c r="E723" s="481" t="str">
        <v>Mexico</v>
      </c>
      <c r="F723" s="481" t="str">
        <v>Czechia</v>
      </c>
      <c r="G723" s="481" t="str">
        <v>Canada</v>
      </c>
      <c r="H723" s="481" t="str">
        <v>Brazil</v>
      </c>
      <c r="I723" s="481" t="str">
        <v>USA</v>
      </c>
      <c r="J723" s="481" t="str">
        <v>Germany</v>
      </c>
      <c r="K723" s="481" t="str">
        <v>Netherlands</v>
      </c>
      <c r="L723" s="481" t="str">
        <v>Belgium</v>
      </c>
      <c r="M723" s="481" t="str">
        <v>Spain</v>
      </c>
      <c r="N723" s="481" t="str">
        <v>France</v>
      </c>
      <c r="O723" s="481" t="str">
        <v>Algeria</v>
      </c>
      <c r="P723" s="481" t="str">
        <v>Portugal</v>
      </c>
      <c r="Q723" s="490" t="str">
        <v>England</v>
      </c>
    </row>
    <row r="724" spans="1:17" x14ac:dyDescent="0.2">
      <c r="A724" s="489">
        <v>721</v>
      </c>
      <c r="B724" s="481" t="str">
        <v>England</v>
      </c>
      <c r="C724" s="481" t="str">
        <v>Netherlands</v>
      </c>
      <c r="D724" s="481" t="str">
        <v>Netherlands</v>
      </c>
      <c r="E724" s="481" t="str">
        <v>France</v>
      </c>
      <c r="F724" s="481" t="str">
        <v>Mexico</v>
      </c>
      <c r="G724" s="481" t="str">
        <v>Canada</v>
      </c>
      <c r="H724" s="481" t="str">
        <v>Brazil</v>
      </c>
      <c r="I724" s="481" t="str">
        <v>USA</v>
      </c>
      <c r="J724" s="481" t="str">
        <v>Germany</v>
      </c>
      <c r="K724" s="481" t="str">
        <v>Japan</v>
      </c>
      <c r="L724" s="481" t="str">
        <v>Belgium</v>
      </c>
      <c r="M724" s="481" t="str">
        <v>Spain</v>
      </c>
      <c r="N724" s="481" t="str">
        <v>Norway</v>
      </c>
      <c r="O724" s="481" t="str">
        <v>Argentina</v>
      </c>
      <c r="P724" s="481" t="str">
        <v>Portugal</v>
      </c>
      <c r="Q724" s="490" t="str">
        <v>England</v>
      </c>
    </row>
    <row r="725" spans="1:17" x14ac:dyDescent="0.2">
      <c r="A725" s="489">
        <v>722</v>
      </c>
      <c r="B725" s="481" t="str">
        <v>Germany</v>
      </c>
      <c r="C725" s="481" t="str">
        <v>France</v>
      </c>
      <c r="D725" s="481" t="str">
        <v>Argentina</v>
      </c>
      <c r="E725" s="481" t="str">
        <v>Canada</v>
      </c>
      <c r="F725" s="481" t="str">
        <v>Mexico</v>
      </c>
      <c r="G725" s="481" t="str">
        <v>Canada</v>
      </c>
      <c r="H725" s="481" t="str">
        <v>Morocco</v>
      </c>
      <c r="I725" s="481" t="str">
        <v>USA</v>
      </c>
      <c r="J725" s="481" t="str">
        <v>Germany</v>
      </c>
      <c r="K725" s="481" t="str">
        <v>Sweden</v>
      </c>
      <c r="L725" s="481" t="str">
        <v>Egypt</v>
      </c>
      <c r="M725" s="481" t="str">
        <v>Uruguay</v>
      </c>
      <c r="N725" s="481" t="str">
        <v>Norway</v>
      </c>
      <c r="O725" s="481" t="str">
        <v>Algeria</v>
      </c>
      <c r="P725" s="481" t="str">
        <v>Uzbekistan</v>
      </c>
      <c r="Q725" s="490" t="str">
        <v>Panama</v>
      </c>
    </row>
    <row r="726" spans="1:17" x14ac:dyDescent="0.2">
      <c r="A726" s="489">
        <v>723</v>
      </c>
      <c r="B726" s="481" t="str">
        <v>Germany</v>
      </c>
      <c r="C726" s="481" t="str">
        <v>Argentina</v>
      </c>
      <c r="D726" s="481" t="str">
        <v>France</v>
      </c>
      <c r="E726" s="481" t="str">
        <v>Argentina</v>
      </c>
      <c r="F726" s="481" t="str">
        <v>Mexico</v>
      </c>
      <c r="G726" s="481" t="str">
        <v>Switzerland</v>
      </c>
      <c r="H726" s="481" t="str">
        <v>Brazil</v>
      </c>
      <c r="I726" s="481" t="str">
        <v>USA</v>
      </c>
      <c r="J726" s="481" t="str">
        <v>Germany</v>
      </c>
      <c r="K726" s="481" t="str">
        <v>Japan</v>
      </c>
      <c r="L726" s="481" t="str">
        <v>Belgium</v>
      </c>
      <c r="M726" s="481" t="str">
        <v>Spain</v>
      </c>
      <c r="N726" s="481" t="str">
        <v>France</v>
      </c>
      <c r="O726" s="481" t="str">
        <v>Argentina</v>
      </c>
      <c r="P726" s="481" t="str">
        <v>Colombia</v>
      </c>
      <c r="Q726" s="490" t="str">
        <v>England</v>
      </c>
    </row>
    <row r="727" spans="1:17" x14ac:dyDescent="0.2">
      <c r="A727" s="489">
        <v>724</v>
      </c>
      <c r="B727" s="481" t="str">
        <v>Spain</v>
      </c>
      <c r="C727" s="481" t="str">
        <v>Germany</v>
      </c>
      <c r="D727" s="481" t="str">
        <v>Portugal</v>
      </c>
      <c r="E727" s="481" t="str">
        <v>France</v>
      </c>
      <c r="F727" s="481" t="str">
        <v>Mexico</v>
      </c>
      <c r="G727" s="481" t="str">
        <v>Qatar</v>
      </c>
      <c r="H727" s="481" t="str">
        <v>Brazil</v>
      </c>
      <c r="I727" s="481" t="str">
        <v>USA</v>
      </c>
      <c r="J727" s="481" t="str">
        <v>Ecuador</v>
      </c>
      <c r="K727" s="481" t="str">
        <v>Japan</v>
      </c>
      <c r="L727" s="481" t="str">
        <v>Belgium</v>
      </c>
      <c r="M727" s="481" t="str">
        <v>Saudi Arabia</v>
      </c>
      <c r="N727" s="481" t="str">
        <v>Senegal</v>
      </c>
      <c r="O727" s="481" t="str">
        <v>Argentina</v>
      </c>
      <c r="P727" s="481" t="str">
        <v>Portugal</v>
      </c>
      <c r="Q727" s="490" t="str">
        <v>England</v>
      </c>
    </row>
    <row r="728" spans="1:17" x14ac:dyDescent="0.2">
      <c r="A728" s="489">
        <v>725</v>
      </c>
      <c r="B728" s="481" t="str">
        <v>Morocco</v>
      </c>
      <c r="C728" s="481" t="str">
        <v>France</v>
      </c>
      <c r="D728" s="481" t="str">
        <v>France</v>
      </c>
      <c r="E728" s="481" t="str">
        <v>Croatia</v>
      </c>
      <c r="F728" s="481" t="str">
        <v>Mexico</v>
      </c>
      <c r="G728" s="481" t="str">
        <v>Switzerland</v>
      </c>
      <c r="H728" s="481" t="str">
        <v>Morocco</v>
      </c>
      <c r="I728" s="481" t="str">
        <v>USA</v>
      </c>
      <c r="J728" s="481" t="str">
        <v>Germany</v>
      </c>
      <c r="K728" s="481" t="str">
        <v>Netherlands</v>
      </c>
      <c r="L728" s="481" t="str">
        <v>Belgium</v>
      </c>
      <c r="M728" s="481" t="str">
        <v>Spain</v>
      </c>
      <c r="N728" s="481" t="str">
        <v>France</v>
      </c>
      <c r="O728" s="481" t="str">
        <v>Argentina</v>
      </c>
      <c r="P728" s="481" t="str">
        <v>Portugal</v>
      </c>
      <c r="Q728" s="490" t="str">
        <v>Croatia</v>
      </c>
    </row>
    <row r="729" spans="1:17" x14ac:dyDescent="0.2">
      <c r="A729" s="489">
        <v>726</v>
      </c>
      <c r="B729" s="481" t="str">
        <v>England</v>
      </c>
      <c r="C729" s="481" t="str">
        <v>Senegal</v>
      </c>
      <c r="D729" s="481" t="str">
        <v>Germany</v>
      </c>
      <c r="E729" s="481" t="str">
        <v>Belgium</v>
      </c>
      <c r="F729" s="481" t="str">
        <v>Korea Republic</v>
      </c>
      <c r="G729" s="481" t="str">
        <v>Switzerland</v>
      </c>
      <c r="H729" s="481" t="str">
        <v>Morocco</v>
      </c>
      <c r="I729" s="481" t="str">
        <v>USA</v>
      </c>
      <c r="J729" s="481" t="str">
        <v>Germany</v>
      </c>
      <c r="K729" s="481" t="str">
        <v>Netherlands</v>
      </c>
      <c r="L729" s="481" t="str">
        <v>IR Iran</v>
      </c>
      <c r="M729" s="481" t="str">
        <v>Spain</v>
      </c>
      <c r="N729" s="481" t="str">
        <v>France</v>
      </c>
      <c r="O729" s="481" t="str">
        <v>Argentina</v>
      </c>
      <c r="P729" s="481" t="str">
        <v>Colombia</v>
      </c>
      <c r="Q729" s="490" t="str">
        <v>England</v>
      </c>
    </row>
    <row r="730" spans="1:17" x14ac:dyDescent="0.2">
      <c r="A730" s="489">
        <v>727</v>
      </c>
      <c r="B730" s="481" t="str">
        <v>Belgium</v>
      </c>
      <c r="C730" s="481" t="str">
        <v>France</v>
      </c>
      <c r="D730" s="481" t="str">
        <v>Belgium</v>
      </c>
      <c r="E730" s="481" t="str">
        <v>Portugal</v>
      </c>
      <c r="F730" s="481" t="str">
        <v>Korea Republic</v>
      </c>
      <c r="G730" s="481" t="str">
        <v>Canada</v>
      </c>
      <c r="H730" s="481" t="str">
        <v>Morocco</v>
      </c>
      <c r="I730" s="481" t="str">
        <v>Australia</v>
      </c>
      <c r="J730" s="481" t="str">
        <v>Germany</v>
      </c>
      <c r="K730" s="481" t="str">
        <v>Netherlands</v>
      </c>
      <c r="L730" s="481" t="str">
        <v>Egypt</v>
      </c>
      <c r="M730" s="481" t="str">
        <v>Spain</v>
      </c>
      <c r="N730" s="481" t="str">
        <v>France</v>
      </c>
      <c r="O730" s="481" t="str">
        <v>Argentina</v>
      </c>
      <c r="P730" s="481" t="str">
        <v>Portugal</v>
      </c>
      <c r="Q730" s="490" t="str">
        <v>England</v>
      </c>
    </row>
    <row r="731" spans="1:17" x14ac:dyDescent="0.2">
      <c r="A731" s="489">
        <v>728</v>
      </c>
      <c r="B731" s="481" t="str">
        <v>Argentina</v>
      </c>
      <c r="C731" s="481" t="str">
        <v>Netherlands</v>
      </c>
      <c r="D731" s="481" t="str">
        <v>England</v>
      </c>
      <c r="E731" s="481" t="str">
        <v>Korea Republic</v>
      </c>
      <c r="F731" s="481" t="str">
        <v>Mexico</v>
      </c>
      <c r="G731" s="481" t="str">
        <v>Switzerland</v>
      </c>
      <c r="H731" s="481" t="str">
        <v>Scotland</v>
      </c>
      <c r="I731" s="481" t="str">
        <v>USA</v>
      </c>
      <c r="J731" s="481" t="str">
        <v>Ecuador</v>
      </c>
      <c r="K731" s="481" t="str">
        <v>Japan</v>
      </c>
      <c r="L731" s="481" t="str">
        <v>IR Iran</v>
      </c>
      <c r="M731" s="481" t="str">
        <v>Cabo Verde</v>
      </c>
      <c r="N731" s="481" t="str">
        <v>France</v>
      </c>
      <c r="O731" s="481" t="str">
        <v>Austria</v>
      </c>
      <c r="P731" s="481" t="str">
        <v>Colombia</v>
      </c>
      <c r="Q731" s="490" t="str">
        <v>England</v>
      </c>
    </row>
    <row r="732" spans="1:17" x14ac:dyDescent="0.2">
      <c r="A732" s="489">
        <v>729</v>
      </c>
      <c r="B732" s="481" t="str">
        <v>USA</v>
      </c>
      <c r="C732" s="481" t="str">
        <v>Brazil</v>
      </c>
      <c r="D732" s="481" t="str">
        <v>France</v>
      </c>
      <c r="E732" s="481" t="str">
        <v>France</v>
      </c>
      <c r="F732" s="481" t="str">
        <v>Mexico</v>
      </c>
      <c r="G732" s="481" t="str">
        <v>Switzerland</v>
      </c>
      <c r="H732" s="481" t="str">
        <v>Brazil</v>
      </c>
      <c r="I732" s="481" t="str">
        <v>USA</v>
      </c>
      <c r="J732" s="481" t="str">
        <v>Ecuador</v>
      </c>
      <c r="K732" s="481" t="str">
        <v>Netherlands</v>
      </c>
      <c r="L732" s="481" t="str">
        <v>Belgium</v>
      </c>
      <c r="M732" s="481" t="str">
        <v>Uruguay</v>
      </c>
      <c r="N732" s="481" t="str">
        <v>Norway</v>
      </c>
      <c r="O732" s="481" t="str">
        <v>Argentina</v>
      </c>
      <c r="P732" s="481" t="str">
        <v>Portugal</v>
      </c>
      <c r="Q732" s="490" t="str">
        <v>England</v>
      </c>
    </row>
    <row r="733" spans="1:17" x14ac:dyDescent="0.2">
      <c r="A733" s="489">
        <v>730</v>
      </c>
      <c r="B733" s="481" t="str">
        <v>Spain</v>
      </c>
      <c r="C733" s="481" t="str">
        <v>Spain</v>
      </c>
      <c r="D733" s="481" t="str">
        <v>Uruguay</v>
      </c>
      <c r="E733" s="481" t="str">
        <v>Uruguay</v>
      </c>
      <c r="F733" s="481" t="str">
        <v>Mexico</v>
      </c>
      <c r="G733" s="481" t="str">
        <v>Switzerland</v>
      </c>
      <c r="H733" s="481" t="str">
        <v>Brazil</v>
      </c>
      <c r="I733" s="481" t="str">
        <v>USA</v>
      </c>
      <c r="J733" s="481" t="str">
        <v>Cote d'Ivorie</v>
      </c>
      <c r="K733" s="481" t="str">
        <v>Sweden</v>
      </c>
      <c r="L733" s="481" t="str">
        <v>Egypt</v>
      </c>
      <c r="M733" s="481" t="str">
        <v>Spain</v>
      </c>
      <c r="N733" s="481" t="str">
        <v>France</v>
      </c>
      <c r="O733" s="481" t="str">
        <v>Argentina</v>
      </c>
      <c r="P733" s="481" t="str">
        <v>Portugal</v>
      </c>
      <c r="Q733" s="490" t="str">
        <v>Croatia</v>
      </c>
    </row>
    <row r="734" spans="1:17" x14ac:dyDescent="0.2">
      <c r="A734" s="489">
        <v>731</v>
      </c>
      <c r="B734" s="481" t="str">
        <v>Argentina</v>
      </c>
      <c r="C734" s="481" t="str">
        <v>USA</v>
      </c>
      <c r="D734" s="481" t="str">
        <v>Argentina</v>
      </c>
      <c r="E734" s="481" t="str">
        <v>Portugal</v>
      </c>
      <c r="F734" s="481" t="str">
        <v>Mexico</v>
      </c>
      <c r="G734" s="481" t="str">
        <v>Switzerland</v>
      </c>
      <c r="H734" s="481" t="str">
        <v>Scotland</v>
      </c>
      <c r="I734" s="481" t="str">
        <v>Turkiye</v>
      </c>
      <c r="J734" s="481" t="str">
        <v>Germany</v>
      </c>
      <c r="K734" s="481" t="str">
        <v>Sweden</v>
      </c>
      <c r="L734" s="481" t="str">
        <v>Belgium</v>
      </c>
      <c r="M734" s="481" t="str">
        <v>Spain</v>
      </c>
      <c r="N734" s="481" t="str">
        <v>France</v>
      </c>
      <c r="O734" s="481" t="str">
        <v>Argentina</v>
      </c>
      <c r="P734" s="481" t="str">
        <v>Portugal</v>
      </c>
      <c r="Q734" s="490" t="str">
        <v>Panama</v>
      </c>
    </row>
    <row r="735" spans="1:17" x14ac:dyDescent="0.2">
      <c r="A735" s="489">
        <v>732</v>
      </c>
      <c r="B735" s="481" t="str">
        <v>Japan</v>
      </c>
      <c r="C735" s="481" t="str">
        <v>Argentina</v>
      </c>
      <c r="D735" s="481" t="str">
        <v>Brazil</v>
      </c>
      <c r="E735" s="481" t="str">
        <v>Sweden</v>
      </c>
      <c r="F735" s="481" t="str">
        <v>Mexico</v>
      </c>
      <c r="G735" s="481" t="str">
        <v>Switzerland</v>
      </c>
      <c r="H735" s="481" t="str">
        <v>Morocco</v>
      </c>
      <c r="I735" s="481" t="str">
        <v>USA</v>
      </c>
      <c r="J735" s="481" t="str">
        <v>Germany</v>
      </c>
      <c r="K735" s="481" t="str">
        <v>Netherlands</v>
      </c>
      <c r="L735" s="481" t="str">
        <v>IR Iran</v>
      </c>
      <c r="M735" s="481" t="str">
        <v>Spain</v>
      </c>
      <c r="N735" s="481" t="str">
        <v>France</v>
      </c>
      <c r="O735" s="481" t="str">
        <v>Argentina</v>
      </c>
      <c r="P735" s="481" t="str">
        <v>Portugal</v>
      </c>
      <c r="Q735" s="490" t="str">
        <v>Croatia</v>
      </c>
    </row>
    <row r="736" spans="1:17" x14ac:dyDescent="0.2">
      <c r="A736" s="489">
        <v>733</v>
      </c>
      <c r="B736" s="481" t="str">
        <v>Brazil</v>
      </c>
      <c r="C736" s="481" t="str">
        <v>France</v>
      </c>
      <c r="D736" s="481" t="str">
        <v>France</v>
      </c>
      <c r="E736" s="481" t="str">
        <v>Colombia</v>
      </c>
      <c r="F736" s="481" t="str">
        <v>Mexico</v>
      </c>
      <c r="G736" s="481" t="str">
        <v>Bosnia-Herzegovina</v>
      </c>
      <c r="H736" s="481" t="str">
        <v>Brazil</v>
      </c>
      <c r="I736" s="481" t="str">
        <v>Australia</v>
      </c>
      <c r="J736" s="481" t="str">
        <v>Ecuador</v>
      </c>
      <c r="K736" s="481" t="str">
        <v>Netherlands</v>
      </c>
      <c r="L736" s="481" t="str">
        <v>Belgium</v>
      </c>
      <c r="M736" s="481" t="str">
        <v>Spain</v>
      </c>
      <c r="N736" s="481" t="str">
        <v>Iraq</v>
      </c>
      <c r="O736" s="481" t="str">
        <v>Algeria</v>
      </c>
      <c r="P736" s="481" t="str">
        <v>Portugal</v>
      </c>
      <c r="Q736" s="490" t="str">
        <v>England</v>
      </c>
    </row>
    <row r="737" spans="1:17" x14ac:dyDescent="0.2">
      <c r="A737" s="489">
        <v>734</v>
      </c>
      <c r="B737" s="481" t="str">
        <v>England</v>
      </c>
      <c r="C737" s="481" t="str">
        <v>Colombia</v>
      </c>
      <c r="D737" s="481" t="str">
        <v>France</v>
      </c>
      <c r="E737" s="481" t="str">
        <v>USA</v>
      </c>
      <c r="F737" s="481" t="str">
        <v>Mexico</v>
      </c>
      <c r="G737" s="481" t="str">
        <v>Switzerland</v>
      </c>
      <c r="H737" s="481" t="str">
        <v>Brazil</v>
      </c>
      <c r="I737" s="481" t="str">
        <v>USA</v>
      </c>
      <c r="J737" s="481" t="str">
        <v>Germany</v>
      </c>
      <c r="K737" s="481" t="str">
        <v>Japan</v>
      </c>
      <c r="L737" s="481" t="str">
        <v>Belgium</v>
      </c>
      <c r="M737" s="481" t="str">
        <v>Spain</v>
      </c>
      <c r="N737" s="481" t="str">
        <v>Norway</v>
      </c>
      <c r="O737" s="481" t="str">
        <v>Algeria</v>
      </c>
      <c r="P737" s="481" t="str">
        <v>Colombia</v>
      </c>
      <c r="Q737" s="490" t="str">
        <v>England</v>
      </c>
    </row>
    <row r="738" spans="1:17" x14ac:dyDescent="0.2">
      <c r="A738" s="489">
        <v>735</v>
      </c>
      <c r="B738" s="481" t="str">
        <v>France</v>
      </c>
      <c r="C738" s="481" t="str">
        <v>Germany</v>
      </c>
      <c r="D738" s="481" t="str">
        <v>Portugal</v>
      </c>
      <c r="E738" s="481" t="str">
        <v>Netherlands</v>
      </c>
      <c r="F738" s="481" t="str">
        <v>Mexico</v>
      </c>
      <c r="G738" s="481" t="str">
        <v>Qatar</v>
      </c>
      <c r="H738" s="481" t="str">
        <v>Morocco</v>
      </c>
      <c r="I738" s="481" t="str">
        <v>USA</v>
      </c>
      <c r="J738" s="481" t="str">
        <v>Ecuador</v>
      </c>
      <c r="K738" s="481" t="str">
        <v>Netherlands</v>
      </c>
      <c r="L738" s="481" t="str">
        <v>Egypt</v>
      </c>
      <c r="M738" s="481" t="str">
        <v>Uruguay</v>
      </c>
      <c r="N738" s="481" t="str">
        <v>Norway</v>
      </c>
      <c r="O738" s="481" t="str">
        <v>Austria</v>
      </c>
      <c r="P738" s="481" t="str">
        <v>Congo DR</v>
      </c>
      <c r="Q738" s="490" t="str">
        <v>England</v>
      </c>
    </row>
    <row r="739" spans="1:17" x14ac:dyDescent="0.2">
      <c r="A739" s="489">
        <v>736</v>
      </c>
      <c r="B739" s="481" t="str">
        <v>Spain</v>
      </c>
      <c r="C739" s="481" t="str">
        <v>Austria</v>
      </c>
      <c r="D739" s="481" t="str">
        <v>Senegal</v>
      </c>
      <c r="E739" s="481" t="str">
        <v>Argentina</v>
      </c>
      <c r="F739" s="481" t="str">
        <v>Mexico</v>
      </c>
      <c r="G739" s="481" t="str">
        <v>Canada</v>
      </c>
      <c r="H739" s="481" t="str">
        <v>Brazil</v>
      </c>
      <c r="I739" s="481" t="str">
        <v>USA</v>
      </c>
      <c r="J739" s="481" t="str">
        <v>Germany</v>
      </c>
      <c r="K739" s="481" t="str">
        <v>Japan</v>
      </c>
      <c r="L739" s="481" t="str">
        <v>Egypt</v>
      </c>
      <c r="M739" s="481" t="str">
        <v>Spain</v>
      </c>
      <c r="N739" s="481" t="str">
        <v>Senegal</v>
      </c>
      <c r="O739" s="481" t="str">
        <v>Argentina</v>
      </c>
      <c r="P739" s="481" t="str">
        <v>Portugal</v>
      </c>
      <c r="Q739" s="490" t="str">
        <v>England</v>
      </c>
    </row>
    <row r="740" spans="1:17" x14ac:dyDescent="0.2">
      <c r="A740" s="489">
        <v>737</v>
      </c>
      <c r="B740" s="481" t="str">
        <v>Mexico</v>
      </c>
      <c r="C740" s="481" t="str">
        <v>France</v>
      </c>
      <c r="D740" s="481" t="str">
        <v>USA</v>
      </c>
      <c r="E740" s="481" t="str">
        <v>Japan</v>
      </c>
      <c r="F740" s="481" t="str">
        <v>Korea Republic</v>
      </c>
      <c r="G740" s="481" t="str">
        <v>Switzerland</v>
      </c>
      <c r="H740" s="481" t="str">
        <v>Morocco</v>
      </c>
      <c r="I740" s="481" t="str">
        <v>USA</v>
      </c>
      <c r="J740" s="481" t="str">
        <v>Germany</v>
      </c>
      <c r="K740" s="481" t="str">
        <v>Japan</v>
      </c>
      <c r="L740" s="481" t="str">
        <v>Belgium</v>
      </c>
      <c r="M740" s="481" t="str">
        <v>Spain</v>
      </c>
      <c r="N740" s="481" t="str">
        <v>Norway</v>
      </c>
      <c r="O740" s="481" t="str">
        <v>Algeria</v>
      </c>
      <c r="P740" s="481" t="str">
        <v>Portugal</v>
      </c>
      <c r="Q740" s="490" t="str">
        <v>England</v>
      </c>
    </row>
    <row r="741" spans="1:17" x14ac:dyDescent="0.2">
      <c r="A741" s="489">
        <v>738</v>
      </c>
      <c r="B741" s="481" t="str">
        <v>Netherlands</v>
      </c>
      <c r="C741" s="481" t="str">
        <v>England</v>
      </c>
      <c r="D741" s="481" t="str">
        <v>Brazil</v>
      </c>
      <c r="E741" s="481" t="str">
        <v>Canada</v>
      </c>
      <c r="F741" s="481" t="str">
        <v>Mexico</v>
      </c>
      <c r="G741" s="481" t="str">
        <v>Switzerland</v>
      </c>
      <c r="H741" s="481" t="str">
        <v>Morocco</v>
      </c>
      <c r="I741" s="481" t="str">
        <v>USA</v>
      </c>
      <c r="J741" s="481" t="str">
        <v>Germany</v>
      </c>
      <c r="K741" s="481" t="str">
        <v>Sweden</v>
      </c>
      <c r="L741" s="481" t="str">
        <v>Belgium</v>
      </c>
      <c r="M741" s="481" t="str">
        <v>Uruguay</v>
      </c>
      <c r="N741" s="481" t="str">
        <v>France</v>
      </c>
      <c r="O741" s="481" t="str">
        <v>Argentina</v>
      </c>
      <c r="P741" s="481" t="str">
        <v>Portugal</v>
      </c>
      <c r="Q741" s="490" t="str">
        <v>Croatia</v>
      </c>
    </row>
    <row r="742" spans="1:17" x14ac:dyDescent="0.2">
      <c r="A742" s="489">
        <v>739</v>
      </c>
      <c r="B742" s="481" t="str">
        <v>Spain</v>
      </c>
      <c r="C742" s="481" t="str">
        <v>France</v>
      </c>
      <c r="D742" s="481" t="str">
        <v>Mexico</v>
      </c>
      <c r="E742" s="481" t="str">
        <v>Netherlands</v>
      </c>
      <c r="F742" s="481" t="str">
        <v>Mexico</v>
      </c>
      <c r="G742" s="481" t="str">
        <v>Switzerland</v>
      </c>
      <c r="H742" s="481" t="str">
        <v>Morocco</v>
      </c>
      <c r="I742" s="481" t="str">
        <v>USA</v>
      </c>
      <c r="J742" s="481" t="str">
        <v>Germany</v>
      </c>
      <c r="K742" s="481" t="str">
        <v>Japan</v>
      </c>
      <c r="L742" s="481" t="str">
        <v>IR Iran</v>
      </c>
      <c r="M742" s="481" t="str">
        <v>Spain</v>
      </c>
      <c r="N742" s="481" t="str">
        <v>Senegal</v>
      </c>
      <c r="O742" s="481" t="str">
        <v>Argentina</v>
      </c>
      <c r="P742" s="481" t="str">
        <v>Portugal</v>
      </c>
      <c r="Q742" s="490" t="str">
        <v>Croatia</v>
      </c>
    </row>
    <row r="743" spans="1:17" x14ac:dyDescent="0.2">
      <c r="A743" s="489">
        <v>740</v>
      </c>
      <c r="B743" s="481" t="str">
        <v>Germany</v>
      </c>
      <c r="C743" s="481" t="str">
        <v>France</v>
      </c>
      <c r="D743" s="481" t="str">
        <v>Algeria</v>
      </c>
      <c r="E743" s="481" t="str">
        <v>Belgium</v>
      </c>
      <c r="F743" s="481" t="str">
        <v>Mexico</v>
      </c>
      <c r="G743" s="481" t="str">
        <v>Switzerland</v>
      </c>
      <c r="H743" s="481" t="str">
        <v>Morocco</v>
      </c>
      <c r="I743" s="481" t="str">
        <v>USA</v>
      </c>
      <c r="J743" s="481" t="str">
        <v>Germany</v>
      </c>
      <c r="K743" s="481" t="str">
        <v>Japan</v>
      </c>
      <c r="L743" s="481" t="str">
        <v>Belgium</v>
      </c>
      <c r="M743" s="481" t="str">
        <v>Spain</v>
      </c>
      <c r="N743" s="481" t="str">
        <v>France</v>
      </c>
      <c r="O743" s="481" t="str">
        <v>Argentina</v>
      </c>
      <c r="P743" s="481" t="str">
        <v>Portugal</v>
      </c>
      <c r="Q743" s="490" t="str">
        <v>England</v>
      </c>
    </row>
    <row r="744" spans="1:17" x14ac:dyDescent="0.2">
      <c r="A744" s="489">
        <v>741</v>
      </c>
      <c r="B744" s="481" t="str">
        <v>England</v>
      </c>
      <c r="C744" s="481" t="str">
        <v>USA</v>
      </c>
      <c r="D744" s="481" t="str">
        <v>Spain</v>
      </c>
      <c r="E744" s="481" t="str">
        <v>Algeria</v>
      </c>
      <c r="F744" s="481" t="str">
        <v>Korea Republic</v>
      </c>
      <c r="G744" s="481" t="str">
        <v>Qatar</v>
      </c>
      <c r="H744" s="481" t="str">
        <v>Morocco</v>
      </c>
      <c r="I744" s="481" t="str">
        <v>USA</v>
      </c>
      <c r="J744" s="481" t="str">
        <v>Germany</v>
      </c>
      <c r="K744" s="481" t="str">
        <v>Netherlands</v>
      </c>
      <c r="L744" s="481" t="str">
        <v>Belgium</v>
      </c>
      <c r="M744" s="481" t="str">
        <v>Spain</v>
      </c>
      <c r="N744" s="481" t="str">
        <v>Norway</v>
      </c>
      <c r="O744" s="481" t="str">
        <v>Argentina</v>
      </c>
      <c r="P744" s="481" t="str">
        <v>Portugal</v>
      </c>
      <c r="Q744" s="490" t="str">
        <v>Croatia</v>
      </c>
    </row>
    <row r="745" spans="1:17" x14ac:dyDescent="0.2">
      <c r="A745" s="489">
        <v>742</v>
      </c>
      <c r="B745" s="481" t="str">
        <v>Germany</v>
      </c>
      <c r="C745" s="481" t="str">
        <v>Germany</v>
      </c>
      <c r="D745" s="481" t="str">
        <v>Japan</v>
      </c>
      <c r="E745" s="481" t="str">
        <v>Canada</v>
      </c>
      <c r="F745" s="481" t="str">
        <v>Mexico</v>
      </c>
      <c r="G745" s="481" t="str">
        <v>Switzerland</v>
      </c>
      <c r="H745" s="481" t="str">
        <v>Brazil</v>
      </c>
      <c r="I745" s="481" t="str">
        <v>Turkiye</v>
      </c>
      <c r="J745" s="481" t="str">
        <v>Germany</v>
      </c>
      <c r="K745" s="481" t="str">
        <v>Netherlands</v>
      </c>
      <c r="L745" s="481" t="str">
        <v>Belgium</v>
      </c>
      <c r="M745" s="481" t="str">
        <v>Uruguay</v>
      </c>
      <c r="N745" s="481" t="str">
        <v>France</v>
      </c>
      <c r="O745" s="481" t="str">
        <v>Algeria</v>
      </c>
      <c r="P745" s="481" t="str">
        <v>Colombia</v>
      </c>
      <c r="Q745" s="490" t="str">
        <v>Croatia</v>
      </c>
    </row>
    <row r="746" spans="1:17" x14ac:dyDescent="0.2">
      <c r="A746" s="489">
        <v>743</v>
      </c>
      <c r="B746" s="481" t="str">
        <v>Morocco</v>
      </c>
      <c r="C746" s="481" t="str">
        <v>Norway</v>
      </c>
      <c r="D746" s="481" t="str">
        <v>Portugal</v>
      </c>
      <c r="E746" s="481" t="str">
        <v>Canada</v>
      </c>
      <c r="F746" s="481" t="str">
        <v>Mexico</v>
      </c>
      <c r="G746" s="481" t="str">
        <v>Canada</v>
      </c>
      <c r="H746" s="481" t="str">
        <v>Brazil</v>
      </c>
      <c r="I746" s="481" t="str">
        <v>USA</v>
      </c>
      <c r="J746" s="481" t="str">
        <v>Cote d'Ivorie</v>
      </c>
      <c r="K746" s="481" t="str">
        <v>Japan</v>
      </c>
      <c r="L746" s="481" t="str">
        <v>Belgium</v>
      </c>
      <c r="M746" s="481" t="str">
        <v>Spain</v>
      </c>
      <c r="N746" s="481" t="str">
        <v>Iraq</v>
      </c>
      <c r="O746" s="481" t="str">
        <v>Argentina</v>
      </c>
      <c r="P746" s="481" t="str">
        <v>Colombia</v>
      </c>
      <c r="Q746" s="490" t="str">
        <v>Panama</v>
      </c>
    </row>
    <row r="747" spans="1:17" x14ac:dyDescent="0.2">
      <c r="A747" s="489">
        <v>744</v>
      </c>
      <c r="B747" s="481" t="str">
        <v>Argentina</v>
      </c>
      <c r="C747" s="481" t="str">
        <v>Belgium</v>
      </c>
      <c r="D747" s="481" t="str">
        <v>Japan</v>
      </c>
      <c r="E747" s="481" t="str">
        <v>England</v>
      </c>
      <c r="F747" s="481" t="str">
        <v>Mexico</v>
      </c>
      <c r="G747" s="481" t="str">
        <v>Canada</v>
      </c>
      <c r="H747" s="481" t="str">
        <v>Scotland</v>
      </c>
      <c r="I747" s="481" t="str">
        <v>Australia</v>
      </c>
      <c r="J747" s="481" t="str">
        <v>Germany</v>
      </c>
      <c r="K747" s="481" t="str">
        <v>Netherlands</v>
      </c>
      <c r="L747" s="481" t="str">
        <v>Belgium</v>
      </c>
      <c r="M747" s="481" t="str">
        <v>Spain</v>
      </c>
      <c r="N747" s="481" t="str">
        <v>France</v>
      </c>
      <c r="O747" s="481" t="str">
        <v>Argentina</v>
      </c>
      <c r="P747" s="481" t="str">
        <v>Colombia</v>
      </c>
      <c r="Q747" s="490" t="str">
        <v>Croatia</v>
      </c>
    </row>
    <row r="748" spans="1:17" x14ac:dyDescent="0.2">
      <c r="A748" s="489">
        <v>745</v>
      </c>
      <c r="B748" s="481" t="str">
        <v>Argentina</v>
      </c>
      <c r="C748" s="481" t="str">
        <v>Portugal</v>
      </c>
      <c r="D748" s="481" t="str">
        <v>Norway</v>
      </c>
      <c r="E748" s="481" t="str">
        <v>Brazil</v>
      </c>
      <c r="F748" s="481" t="str">
        <v>Korea Republic</v>
      </c>
      <c r="G748" s="481" t="str">
        <v>Bosnia-Herzegovina</v>
      </c>
      <c r="H748" s="481" t="str">
        <v>Brazil</v>
      </c>
      <c r="I748" s="481" t="str">
        <v>USA</v>
      </c>
      <c r="J748" s="481" t="str">
        <v>Germany</v>
      </c>
      <c r="K748" s="481" t="str">
        <v>Sweden</v>
      </c>
      <c r="L748" s="481" t="str">
        <v>IR Iran</v>
      </c>
      <c r="M748" s="481" t="str">
        <v>Spain</v>
      </c>
      <c r="N748" s="481" t="str">
        <v>France</v>
      </c>
      <c r="O748" s="481" t="str">
        <v>Austria</v>
      </c>
      <c r="P748" s="481" t="str">
        <v>Colombia</v>
      </c>
      <c r="Q748" s="490" t="str">
        <v>England</v>
      </c>
    </row>
    <row r="749" spans="1:17" x14ac:dyDescent="0.2">
      <c r="A749" s="489">
        <v>746</v>
      </c>
      <c r="B749" s="481" t="str">
        <v>France</v>
      </c>
      <c r="C749" s="481" t="str">
        <v>Germany</v>
      </c>
      <c r="D749" s="481" t="str">
        <v>Brazil</v>
      </c>
      <c r="E749" s="481" t="str">
        <v>Mexico</v>
      </c>
      <c r="F749" s="481" t="str">
        <v>Mexico</v>
      </c>
      <c r="G749" s="481" t="str">
        <v>Switzerland</v>
      </c>
      <c r="H749" s="481" t="str">
        <v>Morocco</v>
      </c>
      <c r="I749" s="481" t="str">
        <v>USA</v>
      </c>
      <c r="J749" s="481" t="str">
        <v>Germany</v>
      </c>
      <c r="K749" s="481" t="str">
        <v>Japan</v>
      </c>
      <c r="L749" s="481" t="str">
        <v>Belgium</v>
      </c>
      <c r="M749" s="481" t="str">
        <v>Cabo Verde</v>
      </c>
      <c r="N749" s="481" t="str">
        <v>France</v>
      </c>
      <c r="O749" s="481" t="str">
        <v>Argentina</v>
      </c>
      <c r="P749" s="481" t="str">
        <v>Colombia</v>
      </c>
      <c r="Q749" s="490" t="str">
        <v>England</v>
      </c>
    </row>
    <row r="750" spans="1:17" x14ac:dyDescent="0.2">
      <c r="A750" s="489">
        <v>747</v>
      </c>
      <c r="B750" s="481" t="str">
        <v>Colombia</v>
      </c>
      <c r="C750" s="481" t="str">
        <v>Portugal</v>
      </c>
      <c r="D750" s="481" t="str">
        <v>Spain</v>
      </c>
      <c r="E750" s="481" t="str">
        <v>Spain</v>
      </c>
      <c r="F750" s="481" t="str">
        <v>Mexico</v>
      </c>
      <c r="G750" s="481" t="str">
        <v>Switzerland</v>
      </c>
      <c r="H750" s="481" t="str">
        <v>Brazil</v>
      </c>
      <c r="I750" s="481" t="str">
        <v>USA</v>
      </c>
      <c r="J750" s="481" t="str">
        <v>Germany</v>
      </c>
      <c r="K750" s="481" t="str">
        <v>Netherlands</v>
      </c>
      <c r="L750" s="481" t="str">
        <v>IR Iran</v>
      </c>
      <c r="M750" s="481" t="str">
        <v>Uruguay</v>
      </c>
      <c r="N750" s="481" t="str">
        <v>France</v>
      </c>
      <c r="O750" s="481" t="str">
        <v>Argentina</v>
      </c>
      <c r="P750" s="481" t="str">
        <v>Portugal</v>
      </c>
      <c r="Q750" s="490" t="str">
        <v>England</v>
      </c>
    </row>
    <row r="751" spans="1:17" x14ac:dyDescent="0.2">
      <c r="A751" s="489">
        <v>748</v>
      </c>
      <c r="B751" s="481" t="str">
        <v>Spain</v>
      </c>
      <c r="C751" s="481" t="str">
        <v>Brazil</v>
      </c>
      <c r="D751" s="481" t="str">
        <v>Turkiye</v>
      </c>
      <c r="E751" s="481" t="str">
        <v>Qatar</v>
      </c>
      <c r="F751" s="481" t="str">
        <v>Mexico</v>
      </c>
      <c r="G751" s="481" t="str">
        <v>Canada</v>
      </c>
      <c r="H751" s="481" t="str">
        <v>Morocco</v>
      </c>
      <c r="I751" s="481" t="str">
        <v>Australia</v>
      </c>
      <c r="J751" s="481" t="str">
        <v>Germany</v>
      </c>
      <c r="K751" s="481" t="str">
        <v>Sweden</v>
      </c>
      <c r="L751" s="481" t="str">
        <v>Egypt</v>
      </c>
      <c r="M751" s="481" t="str">
        <v>Spain</v>
      </c>
      <c r="N751" s="481" t="str">
        <v>France</v>
      </c>
      <c r="O751" s="481" t="str">
        <v>Austria</v>
      </c>
      <c r="P751" s="481" t="str">
        <v>Portugal</v>
      </c>
      <c r="Q751" s="490" t="str">
        <v>Croatia</v>
      </c>
    </row>
    <row r="752" spans="1:17" x14ac:dyDescent="0.2">
      <c r="A752" s="489">
        <v>749</v>
      </c>
      <c r="B752" s="481" t="str">
        <v>France</v>
      </c>
      <c r="C752" s="481" t="str">
        <v>England</v>
      </c>
      <c r="D752" s="481" t="str">
        <v>France</v>
      </c>
      <c r="E752" s="481" t="str">
        <v>Spain</v>
      </c>
      <c r="F752" s="481" t="str">
        <v>Mexico</v>
      </c>
      <c r="G752" s="481" t="str">
        <v>Canada</v>
      </c>
      <c r="H752" s="481" t="str">
        <v>Brazil</v>
      </c>
      <c r="I752" s="481" t="str">
        <v>USA</v>
      </c>
      <c r="J752" s="481" t="str">
        <v>Germany</v>
      </c>
      <c r="K752" s="481" t="str">
        <v>Sweden</v>
      </c>
      <c r="L752" s="481" t="str">
        <v>Egypt</v>
      </c>
      <c r="M752" s="481" t="str">
        <v>Spain</v>
      </c>
      <c r="N752" s="481" t="str">
        <v>France</v>
      </c>
      <c r="O752" s="481" t="str">
        <v>Argentina</v>
      </c>
      <c r="P752" s="481" t="str">
        <v>Portugal</v>
      </c>
      <c r="Q752" s="490" t="str">
        <v>England</v>
      </c>
    </row>
    <row r="753" spans="1:17" x14ac:dyDescent="0.2">
      <c r="A753" s="489">
        <v>750</v>
      </c>
      <c r="B753" s="481" t="str">
        <v>Argentina</v>
      </c>
      <c r="C753" s="481" t="str">
        <v>Mexico</v>
      </c>
      <c r="D753" s="481" t="str">
        <v>Switzerland</v>
      </c>
      <c r="E753" s="481" t="str">
        <v>Croatia</v>
      </c>
      <c r="F753" s="481" t="str">
        <v>Korea Republic</v>
      </c>
      <c r="G753" s="481" t="str">
        <v>Canada</v>
      </c>
      <c r="H753" s="481" t="str">
        <v>Morocco</v>
      </c>
      <c r="I753" s="481" t="str">
        <v>USA</v>
      </c>
      <c r="J753" s="481" t="str">
        <v>Ecuador</v>
      </c>
      <c r="K753" s="481" t="str">
        <v>Japan</v>
      </c>
      <c r="L753" s="481" t="str">
        <v>Belgium</v>
      </c>
      <c r="M753" s="481" t="str">
        <v>Saudi Arabia</v>
      </c>
      <c r="N753" s="481" t="str">
        <v>Norway</v>
      </c>
      <c r="O753" s="481" t="str">
        <v>Argentina</v>
      </c>
      <c r="P753" s="481" t="str">
        <v>Portugal</v>
      </c>
      <c r="Q753" s="490" t="str">
        <v>Croatia</v>
      </c>
    </row>
    <row r="754" spans="1:17" x14ac:dyDescent="0.2">
      <c r="A754" s="489">
        <v>751</v>
      </c>
      <c r="B754" s="481" t="str">
        <v>Argentina</v>
      </c>
      <c r="C754" s="481" t="str">
        <v>Portugal</v>
      </c>
      <c r="D754" s="481" t="str">
        <v>Belgium</v>
      </c>
      <c r="E754" s="481" t="str">
        <v>Australia</v>
      </c>
      <c r="F754" s="481" t="str">
        <v>Mexico</v>
      </c>
      <c r="G754" s="481" t="str">
        <v>Bosnia-Herzegovina</v>
      </c>
      <c r="H754" s="481" t="str">
        <v>Morocco</v>
      </c>
      <c r="I754" s="481" t="str">
        <v>USA</v>
      </c>
      <c r="J754" s="481" t="str">
        <v>Germany</v>
      </c>
      <c r="K754" s="481" t="str">
        <v>Netherlands</v>
      </c>
      <c r="L754" s="481" t="str">
        <v>IR Iran</v>
      </c>
      <c r="M754" s="481" t="str">
        <v>Spain</v>
      </c>
      <c r="N754" s="481" t="str">
        <v>Senegal</v>
      </c>
      <c r="O754" s="481" t="str">
        <v>Argentina</v>
      </c>
      <c r="P754" s="481" t="str">
        <v>Portugal</v>
      </c>
      <c r="Q754" s="490" t="str">
        <v>England</v>
      </c>
    </row>
    <row r="755" spans="1:17" x14ac:dyDescent="0.2">
      <c r="A755" s="489">
        <v>752</v>
      </c>
      <c r="B755" s="481" t="str">
        <v>France</v>
      </c>
      <c r="C755" s="481" t="str">
        <v>France</v>
      </c>
      <c r="D755" s="481" t="str">
        <v>Spain</v>
      </c>
      <c r="E755" s="481" t="str">
        <v>USA</v>
      </c>
      <c r="F755" s="481" t="str">
        <v>Mexico</v>
      </c>
      <c r="G755" s="481" t="str">
        <v>Bosnia-Herzegovina</v>
      </c>
      <c r="H755" s="481" t="str">
        <v>Morocco</v>
      </c>
      <c r="I755" s="481" t="str">
        <v>USA</v>
      </c>
      <c r="J755" s="481" t="str">
        <v>Germany</v>
      </c>
      <c r="K755" s="481" t="str">
        <v>Japan</v>
      </c>
      <c r="L755" s="481" t="str">
        <v>IR Iran</v>
      </c>
      <c r="M755" s="481" t="str">
        <v>Cabo Verde</v>
      </c>
      <c r="N755" s="481" t="str">
        <v>Norway</v>
      </c>
      <c r="O755" s="481" t="str">
        <v>Argentina</v>
      </c>
      <c r="P755" s="481" t="str">
        <v>Portugal</v>
      </c>
      <c r="Q755" s="490" t="str">
        <v>England</v>
      </c>
    </row>
    <row r="756" spans="1:17" x14ac:dyDescent="0.2">
      <c r="A756" s="489">
        <v>753</v>
      </c>
      <c r="B756" s="481" t="str">
        <v>England</v>
      </c>
      <c r="C756" s="481" t="str">
        <v>Uruguay</v>
      </c>
      <c r="D756" s="481" t="str">
        <v>Morocco</v>
      </c>
      <c r="E756" s="481" t="str">
        <v>France</v>
      </c>
      <c r="F756" s="481" t="str">
        <v>Mexico</v>
      </c>
      <c r="G756" s="481" t="str">
        <v>Qatar</v>
      </c>
      <c r="H756" s="481" t="str">
        <v>Brazil</v>
      </c>
      <c r="I756" s="481" t="str">
        <v>Australia</v>
      </c>
      <c r="J756" s="481" t="str">
        <v>Germany</v>
      </c>
      <c r="K756" s="481" t="str">
        <v>Sweden</v>
      </c>
      <c r="L756" s="481" t="str">
        <v>IR Iran</v>
      </c>
      <c r="M756" s="481" t="str">
        <v>Uruguay</v>
      </c>
      <c r="N756" s="481" t="str">
        <v>France</v>
      </c>
      <c r="O756" s="481" t="str">
        <v>Argentina</v>
      </c>
      <c r="P756" s="481" t="str">
        <v>Congo DR</v>
      </c>
      <c r="Q756" s="490" t="str">
        <v>England</v>
      </c>
    </row>
    <row r="757" spans="1:17" x14ac:dyDescent="0.2">
      <c r="A757" s="489">
        <v>754</v>
      </c>
      <c r="B757" s="481" t="str">
        <v>Uruguay</v>
      </c>
      <c r="C757" s="481" t="str">
        <v>Brazil</v>
      </c>
      <c r="D757" s="481" t="str">
        <v>England</v>
      </c>
      <c r="E757" s="481" t="str">
        <v>Croatia</v>
      </c>
      <c r="F757" s="481" t="str">
        <v>Mexico</v>
      </c>
      <c r="G757" s="481" t="str">
        <v>Switzerland</v>
      </c>
      <c r="H757" s="481" t="str">
        <v>Morocco</v>
      </c>
      <c r="I757" s="481" t="str">
        <v>USA</v>
      </c>
      <c r="J757" s="481" t="str">
        <v>Ecuador</v>
      </c>
      <c r="K757" s="481" t="str">
        <v>Sweden</v>
      </c>
      <c r="L757" s="481" t="str">
        <v>Belgium</v>
      </c>
      <c r="M757" s="481" t="str">
        <v>Spain</v>
      </c>
      <c r="N757" s="481" t="str">
        <v>France</v>
      </c>
      <c r="O757" s="481" t="str">
        <v>Algeria</v>
      </c>
      <c r="P757" s="481" t="str">
        <v>Portugal</v>
      </c>
      <c r="Q757" s="490" t="str">
        <v>Croatia</v>
      </c>
    </row>
    <row r="758" spans="1:17" x14ac:dyDescent="0.2">
      <c r="A758" s="489">
        <v>755</v>
      </c>
      <c r="B758" s="481" t="str">
        <v>England</v>
      </c>
      <c r="C758" s="481" t="str">
        <v>Portugal</v>
      </c>
      <c r="D758" s="481" t="str">
        <v>Spain</v>
      </c>
      <c r="E758" s="481" t="str">
        <v>IR Iran</v>
      </c>
      <c r="F758" s="481" t="str">
        <v>Korea Republic</v>
      </c>
      <c r="G758" s="481" t="str">
        <v>Switzerland</v>
      </c>
      <c r="H758" s="481" t="str">
        <v>Brazil</v>
      </c>
      <c r="I758" s="481" t="str">
        <v>Paraguay</v>
      </c>
      <c r="J758" s="481" t="str">
        <v>Germany</v>
      </c>
      <c r="K758" s="481" t="str">
        <v>Netherlands</v>
      </c>
      <c r="L758" s="481" t="str">
        <v>Egypt</v>
      </c>
      <c r="M758" s="481" t="str">
        <v>Spain</v>
      </c>
      <c r="N758" s="481" t="str">
        <v>France</v>
      </c>
      <c r="O758" s="481" t="str">
        <v>Austria</v>
      </c>
      <c r="P758" s="481" t="str">
        <v>Portugal</v>
      </c>
      <c r="Q758" s="490" t="str">
        <v>Panama</v>
      </c>
    </row>
    <row r="759" spans="1:17" x14ac:dyDescent="0.2">
      <c r="A759" s="489">
        <v>756</v>
      </c>
      <c r="B759" s="481" t="str">
        <v>France</v>
      </c>
      <c r="C759" s="481" t="str">
        <v>Mexico</v>
      </c>
      <c r="D759" s="481" t="str">
        <v>Belgium</v>
      </c>
      <c r="E759" s="481" t="str">
        <v>Portugal</v>
      </c>
      <c r="F759" s="481" t="str">
        <v>Mexico</v>
      </c>
      <c r="G759" s="481" t="str">
        <v>Switzerland</v>
      </c>
      <c r="H759" s="481" t="str">
        <v>Morocco</v>
      </c>
      <c r="I759" s="481" t="str">
        <v>Australia</v>
      </c>
      <c r="J759" s="481" t="str">
        <v>Germany</v>
      </c>
      <c r="K759" s="481" t="str">
        <v>Japan</v>
      </c>
      <c r="L759" s="481" t="str">
        <v>IR Iran</v>
      </c>
      <c r="M759" s="481" t="str">
        <v>Saudi Arabia</v>
      </c>
      <c r="N759" s="481" t="str">
        <v>France</v>
      </c>
      <c r="O759" s="481" t="str">
        <v>Argentina</v>
      </c>
      <c r="P759" s="481" t="str">
        <v>Portugal</v>
      </c>
      <c r="Q759" s="490" t="str">
        <v>England</v>
      </c>
    </row>
    <row r="760" spans="1:17" x14ac:dyDescent="0.2">
      <c r="A760" s="489">
        <v>757</v>
      </c>
      <c r="B760" s="481" t="str">
        <v>Spain</v>
      </c>
      <c r="C760" s="481" t="str">
        <v>Spain</v>
      </c>
      <c r="D760" s="481" t="str">
        <v>Morocco</v>
      </c>
      <c r="E760" s="481" t="str">
        <v>Norway</v>
      </c>
      <c r="F760" s="481" t="str">
        <v>Korea Republic</v>
      </c>
      <c r="G760" s="481" t="str">
        <v>Bosnia-Herzegovina</v>
      </c>
      <c r="H760" s="481" t="str">
        <v>Morocco</v>
      </c>
      <c r="I760" s="481" t="str">
        <v>USA</v>
      </c>
      <c r="J760" s="481" t="str">
        <v>Germany</v>
      </c>
      <c r="K760" s="481" t="str">
        <v>Netherlands</v>
      </c>
      <c r="L760" s="481" t="str">
        <v>Belgium</v>
      </c>
      <c r="M760" s="481" t="str">
        <v>Spain</v>
      </c>
      <c r="N760" s="481" t="str">
        <v>Senegal</v>
      </c>
      <c r="O760" s="481" t="str">
        <v>Argentina</v>
      </c>
      <c r="P760" s="481" t="str">
        <v>Colombia</v>
      </c>
      <c r="Q760" s="490" t="str">
        <v>Croatia</v>
      </c>
    </row>
    <row r="761" spans="1:17" x14ac:dyDescent="0.2">
      <c r="A761" s="489">
        <v>758</v>
      </c>
      <c r="B761" s="481" t="str">
        <v>Switzerland</v>
      </c>
      <c r="C761" s="481" t="str">
        <v>Spain</v>
      </c>
      <c r="D761" s="481" t="str">
        <v>France</v>
      </c>
      <c r="E761" s="481" t="str">
        <v>Netherlands</v>
      </c>
      <c r="F761" s="481" t="str">
        <v>Mexico</v>
      </c>
      <c r="G761" s="481" t="str">
        <v>Switzerland</v>
      </c>
      <c r="H761" s="481" t="str">
        <v>Brazil</v>
      </c>
      <c r="I761" s="481" t="str">
        <v>Australia</v>
      </c>
      <c r="J761" s="481" t="str">
        <v>Germany</v>
      </c>
      <c r="K761" s="481" t="str">
        <v>Netherlands</v>
      </c>
      <c r="L761" s="481" t="str">
        <v>IR Iran</v>
      </c>
      <c r="M761" s="481" t="str">
        <v>Spain</v>
      </c>
      <c r="N761" s="481" t="str">
        <v>France</v>
      </c>
      <c r="O761" s="481" t="str">
        <v>Argentina</v>
      </c>
      <c r="P761" s="481" t="str">
        <v>Portugal</v>
      </c>
      <c r="Q761" s="490" t="str">
        <v>England</v>
      </c>
    </row>
    <row r="762" spans="1:17" x14ac:dyDescent="0.2">
      <c r="A762" s="489">
        <v>759</v>
      </c>
      <c r="B762" s="481" t="str">
        <v>Switzerland</v>
      </c>
      <c r="C762" s="481" t="str">
        <v>Norway</v>
      </c>
      <c r="D762" s="481" t="str">
        <v>Spain</v>
      </c>
      <c r="E762" s="481" t="str">
        <v>Portugal</v>
      </c>
      <c r="F762" s="481" t="str">
        <v>Korea Republic</v>
      </c>
      <c r="G762" s="481" t="str">
        <v>Canada</v>
      </c>
      <c r="H762" s="481" t="str">
        <v>Brazil</v>
      </c>
      <c r="I762" s="481" t="str">
        <v>USA</v>
      </c>
      <c r="J762" s="481" t="str">
        <v>Germany</v>
      </c>
      <c r="K762" s="481" t="str">
        <v>Netherlands</v>
      </c>
      <c r="L762" s="481" t="str">
        <v>Belgium</v>
      </c>
      <c r="M762" s="481" t="str">
        <v>Uruguay</v>
      </c>
      <c r="N762" s="481" t="str">
        <v>France</v>
      </c>
      <c r="O762" s="481" t="str">
        <v>Argentina</v>
      </c>
      <c r="P762" s="481" t="str">
        <v>Portugal</v>
      </c>
      <c r="Q762" s="490" t="str">
        <v>England</v>
      </c>
    </row>
    <row r="763" spans="1:17" x14ac:dyDescent="0.2">
      <c r="A763" s="489">
        <v>760</v>
      </c>
      <c r="B763" s="481" t="str">
        <v>England</v>
      </c>
      <c r="C763" s="481" t="str">
        <v>Colombia</v>
      </c>
      <c r="D763" s="481" t="str">
        <v>Spain</v>
      </c>
      <c r="E763" s="481" t="str">
        <v>Portugal</v>
      </c>
      <c r="F763" s="481" t="str">
        <v>Mexico</v>
      </c>
      <c r="G763" s="481" t="str">
        <v>Switzerland</v>
      </c>
      <c r="H763" s="481" t="str">
        <v>Morocco</v>
      </c>
      <c r="I763" s="481" t="str">
        <v>Australia</v>
      </c>
      <c r="J763" s="481" t="str">
        <v>Cote d'Ivorie</v>
      </c>
      <c r="K763" s="481" t="str">
        <v>Netherlands</v>
      </c>
      <c r="L763" s="481" t="str">
        <v>Egypt</v>
      </c>
      <c r="M763" s="481" t="str">
        <v>Uruguay</v>
      </c>
      <c r="N763" s="481" t="str">
        <v>Norway</v>
      </c>
      <c r="O763" s="481" t="str">
        <v>Algeria</v>
      </c>
      <c r="P763" s="481" t="str">
        <v>Colombia</v>
      </c>
      <c r="Q763" s="490" t="str">
        <v>England</v>
      </c>
    </row>
    <row r="764" spans="1:17" x14ac:dyDescent="0.2">
      <c r="A764" s="489">
        <v>761</v>
      </c>
      <c r="B764" s="481" t="str">
        <v>Brazil</v>
      </c>
      <c r="C764" s="481" t="str">
        <v>Uruguay</v>
      </c>
      <c r="D764" s="481" t="str">
        <v>Mexico</v>
      </c>
      <c r="E764" s="481" t="str">
        <v>Uruguay</v>
      </c>
      <c r="F764" s="481" t="str">
        <v>Korea Republic</v>
      </c>
      <c r="G764" s="481" t="str">
        <v>Bosnia-Herzegovina</v>
      </c>
      <c r="H764" s="481" t="str">
        <v>Morocco</v>
      </c>
      <c r="I764" s="481" t="str">
        <v>Australia</v>
      </c>
      <c r="J764" s="481" t="str">
        <v>Germany</v>
      </c>
      <c r="K764" s="481" t="str">
        <v>Japan</v>
      </c>
      <c r="L764" s="481" t="str">
        <v>Belgium</v>
      </c>
      <c r="M764" s="481" t="str">
        <v>Uruguay</v>
      </c>
      <c r="N764" s="481" t="str">
        <v>France</v>
      </c>
      <c r="O764" s="481" t="str">
        <v>Algeria</v>
      </c>
      <c r="P764" s="481" t="str">
        <v>Portugal</v>
      </c>
      <c r="Q764" s="490" t="str">
        <v>England</v>
      </c>
    </row>
    <row r="765" spans="1:17" x14ac:dyDescent="0.2">
      <c r="A765" s="489">
        <v>762</v>
      </c>
      <c r="B765" s="481" t="str">
        <v>Brazil</v>
      </c>
      <c r="C765" s="481" t="str">
        <v>Morocco</v>
      </c>
      <c r="D765" s="481" t="str">
        <v>Belgium</v>
      </c>
      <c r="E765" s="481" t="str">
        <v>Morocco</v>
      </c>
      <c r="F765" s="481" t="str">
        <v>Mexico</v>
      </c>
      <c r="G765" s="481" t="str">
        <v>Qatar</v>
      </c>
      <c r="H765" s="481" t="str">
        <v>Brazil</v>
      </c>
      <c r="I765" s="481" t="str">
        <v>Australia</v>
      </c>
      <c r="J765" s="481" t="str">
        <v>Ecuador</v>
      </c>
      <c r="K765" s="481" t="str">
        <v>Japan</v>
      </c>
      <c r="L765" s="481" t="str">
        <v>IR Iran</v>
      </c>
      <c r="M765" s="481" t="str">
        <v>Spain</v>
      </c>
      <c r="N765" s="481" t="str">
        <v>France</v>
      </c>
      <c r="O765" s="481" t="str">
        <v>Algeria</v>
      </c>
      <c r="P765" s="481" t="str">
        <v>Colombia</v>
      </c>
      <c r="Q765" s="490" t="str">
        <v>Croatia</v>
      </c>
    </row>
    <row r="766" spans="1:17" x14ac:dyDescent="0.2">
      <c r="A766" s="489">
        <v>763</v>
      </c>
      <c r="B766" s="481" t="str">
        <v>Argentina</v>
      </c>
      <c r="C766" s="481" t="str">
        <v>Croatia</v>
      </c>
      <c r="D766" s="481" t="str">
        <v>Egypt</v>
      </c>
      <c r="E766" s="481" t="str">
        <v>Belgium</v>
      </c>
      <c r="F766" s="481" t="str">
        <v>Czechia</v>
      </c>
      <c r="G766" s="481" t="str">
        <v>Switzerland</v>
      </c>
      <c r="H766" s="481" t="str">
        <v>Morocco</v>
      </c>
      <c r="I766" s="481" t="str">
        <v>USA</v>
      </c>
      <c r="J766" s="481" t="str">
        <v>Germany</v>
      </c>
      <c r="K766" s="481" t="str">
        <v>Japan</v>
      </c>
      <c r="L766" s="481" t="str">
        <v>Belgium</v>
      </c>
      <c r="M766" s="481" t="str">
        <v>Spain</v>
      </c>
      <c r="N766" s="481" t="str">
        <v>France</v>
      </c>
      <c r="O766" s="481" t="str">
        <v>Argentina</v>
      </c>
      <c r="P766" s="481" t="str">
        <v>Congo DR</v>
      </c>
      <c r="Q766" s="490" t="str">
        <v>England</v>
      </c>
    </row>
    <row r="767" spans="1:17" x14ac:dyDescent="0.2">
      <c r="A767" s="489">
        <v>764</v>
      </c>
      <c r="B767" s="481" t="str">
        <v>Spain</v>
      </c>
      <c r="C767" s="481" t="str">
        <v>Colombia</v>
      </c>
      <c r="D767" s="481" t="str">
        <v>Spain</v>
      </c>
      <c r="E767" s="481" t="str">
        <v>Korea Republic</v>
      </c>
      <c r="F767" s="481" t="str">
        <v>Mexico</v>
      </c>
      <c r="G767" s="481" t="str">
        <v>Canada</v>
      </c>
      <c r="H767" s="481" t="str">
        <v>Morocco</v>
      </c>
      <c r="I767" s="481" t="str">
        <v>USA</v>
      </c>
      <c r="J767" s="481" t="str">
        <v>Germany</v>
      </c>
      <c r="K767" s="481" t="str">
        <v>Netherlands</v>
      </c>
      <c r="L767" s="481" t="str">
        <v>Egypt</v>
      </c>
      <c r="M767" s="481" t="str">
        <v>Spain</v>
      </c>
      <c r="N767" s="481" t="str">
        <v>France</v>
      </c>
      <c r="O767" s="481" t="str">
        <v>Argentina</v>
      </c>
      <c r="P767" s="481" t="str">
        <v>Colombia</v>
      </c>
      <c r="Q767" s="490" t="str">
        <v>England</v>
      </c>
    </row>
    <row r="768" spans="1:17" x14ac:dyDescent="0.2">
      <c r="A768" s="489">
        <v>765</v>
      </c>
      <c r="B768" s="481" t="str">
        <v>England</v>
      </c>
      <c r="C768" s="481" t="str">
        <v>Australia</v>
      </c>
      <c r="D768" s="481" t="str">
        <v>Argentina</v>
      </c>
      <c r="E768" s="481" t="str">
        <v>Senegal</v>
      </c>
      <c r="F768" s="481" t="str">
        <v>Korea Republic</v>
      </c>
      <c r="G768" s="481" t="str">
        <v>Canada</v>
      </c>
      <c r="H768" s="481" t="str">
        <v>Morocco</v>
      </c>
      <c r="I768" s="481" t="str">
        <v>USA</v>
      </c>
      <c r="J768" s="481" t="str">
        <v>Germany</v>
      </c>
      <c r="K768" s="481" t="str">
        <v>Japan</v>
      </c>
      <c r="L768" s="481" t="str">
        <v>Belgium</v>
      </c>
      <c r="M768" s="481" t="str">
        <v>Spain</v>
      </c>
      <c r="N768" s="481" t="str">
        <v>France</v>
      </c>
      <c r="O768" s="481" t="str">
        <v>Argentina</v>
      </c>
      <c r="P768" s="481" t="str">
        <v>Portugal</v>
      </c>
      <c r="Q768" s="490" t="str">
        <v>England</v>
      </c>
    </row>
    <row r="769" spans="1:17" x14ac:dyDescent="0.2">
      <c r="A769" s="489">
        <v>766</v>
      </c>
      <c r="B769" s="481" t="str">
        <v>England</v>
      </c>
      <c r="C769" s="481" t="str">
        <v>France</v>
      </c>
      <c r="D769" s="481" t="str">
        <v>USA</v>
      </c>
      <c r="E769" s="481" t="str">
        <v>Belgium</v>
      </c>
      <c r="F769" s="481" t="str">
        <v>Korea Republic</v>
      </c>
      <c r="G769" s="481" t="str">
        <v>Bosnia-Herzegovina</v>
      </c>
      <c r="H769" s="481" t="str">
        <v>Morocco</v>
      </c>
      <c r="I769" s="481" t="str">
        <v>USA</v>
      </c>
      <c r="J769" s="481" t="str">
        <v>Germany</v>
      </c>
      <c r="K769" s="481" t="str">
        <v>Japan</v>
      </c>
      <c r="L769" s="481" t="str">
        <v>New Zealand</v>
      </c>
      <c r="M769" s="481" t="str">
        <v>Spain</v>
      </c>
      <c r="N769" s="481" t="str">
        <v>France</v>
      </c>
      <c r="O769" s="481" t="str">
        <v>Argentina</v>
      </c>
      <c r="P769" s="481" t="str">
        <v>Portugal</v>
      </c>
      <c r="Q769" s="490" t="str">
        <v>England</v>
      </c>
    </row>
    <row r="770" spans="1:17" x14ac:dyDescent="0.2">
      <c r="A770" s="489">
        <v>767</v>
      </c>
      <c r="B770" s="481" t="str">
        <v>Argentina</v>
      </c>
      <c r="C770" s="481" t="str">
        <v>Spain</v>
      </c>
      <c r="D770" s="481" t="str">
        <v>England</v>
      </c>
      <c r="E770" s="481" t="str">
        <v>Norway</v>
      </c>
      <c r="F770" s="481" t="str">
        <v>Mexico</v>
      </c>
      <c r="G770" s="481" t="str">
        <v>Switzerland</v>
      </c>
      <c r="H770" s="481" t="str">
        <v>Morocco</v>
      </c>
      <c r="I770" s="481" t="str">
        <v>USA</v>
      </c>
      <c r="J770" s="481" t="str">
        <v>Germany</v>
      </c>
      <c r="K770" s="481" t="str">
        <v>Japan</v>
      </c>
      <c r="L770" s="481" t="str">
        <v>Belgium</v>
      </c>
      <c r="M770" s="481" t="str">
        <v>Spain</v>
      </c>
      <c r="N770" s="481" t="str">
        <v>France</v>
      </c>
      <c r="O770" s="481" t="str">
        <v>Argentina</v>
      </c>
      <c r="P770" s="481" t="str">
        <v>Portugal</v>
      </c>
      <c r="Q770" s="490" t="str">
        <v>England</v>
      </c>
    </row>
    <row r="771" spans="1:17" x14ac:dyDescent="0.2">
      <c r="A771" s="489">
        <v>768</v>
      </c>
      <c r="B771" s="481" t="str">
        <v>Spain</v>
      </c>
      <c r="C771" s="481" t="str">
        <v>Belgium</v>
      </c>
      <c r="D771" s="481" t="str">
        <v>Mexico</v>
      </c>
      <c r="E771" s="481" t="str">
        <v>Uruguay</v>
      </c>
      <c r="F771" s="481" t="str">
        <v>Korea Republic</v>
      </c>
      <c r="G771" s="481" t="str">
        <v>Switzerland</v>
      </c>
      <c r="H771" s="481" t="str">
        <v>Brazil</v>
      </c>
      <c r="I771" s="481" t="str">
        <v>USA</v>
      </c>
      <c r="J771" s="481" t="str">
        <v>Cote d'Ivorie</v>
      </c>
      <c r="K771" s="481" t="str">
        <v>Netherlands</v>
      </c>
      <c r="L771" s="481" t="str">
        <v>IR Iran</v>
      </c>
      <c r="M771" s="481" t="str">
        <v>Spain</v>
      </c>
      <c r="N771" s="481" t="str">
        <v>France</v>
      </c>
      <c r="O771" s="481" t="str">
        <v>Argentina</v>
      </c>
      <c r="P771" s="481" t="str">
        <v>Portugal</v>
      </c>
      <c r="Q771" s="490" t="str">
        <v>England</v>
      </c>
    </row>
    <row r="772" spans="1:17" x14ac:dyDescent="0.2">
      <c r="A772" s="489">
        <v>769</v>
      </c>
      <c r="B772" s="481" t="str">
        <v>Argentina</v>
      </c>
      <c r="C772" s="481" t="str">
        <v>Croatia</v>
      </c>
      <c r="D772" s="481" t="str">
        <v>Spain</v>
      </c>
      <c r="E772" s="481" t="str">
        <v>Austria</v>
      </c>
      <c r="F772" s="481" t="str">
        <v>Korea Republic</v>
      </c>
      <c r="G772" s="481" t="str">
        <v>Canada</v>
      </c>
      <c r="H772" s="481" t="str">
        <v>Morocco</v>
      </c>
      <c r="I772" s="481" t="str">
        <v>USA</v>
      </c>
      <c r="J772" s="481" t="str">
        <v>Ecuador</v>
      </c>
      <c r="K772" s="481" t="str">
        <v>Sweden</v>
      </c>
      <c r="L772" s="481" t="str">
        <v>Belgium</v>
      </c>
      <c r="M772" s="481" t="str">
        <v>Saudi Arabia</v>
      </c>
      <c r="N772" s="481" t="str">
        <v>France</v>
      </c>
      <c r="O772" s="481" t="str">
        <v>Austria</v>
      </c>
      <c r="P772" s="481" t="str">
        <v>Portugal</v>
      </c>
      <c r="Q772" s="490" t="str">
        <v>Panama</v>
      </c>
    </row>
    <row r="773" spans="1:17" x14ac:dyDescent="0.2">
      <c r="A773" s="489">
        <v>770</v>
      </c>
      <c r="B773" s="481" t="str">
        <v>Spain</v>
      </c>
      <c r="C773" s="481" t="str">
        <v>Argentina</v>
      </c>
      <c r="D773" s="481" t="str">
        <v>Morocco</v>
      </c>
      <c r="E773" s="481" t="str">
        <v>Canada</v>
      </c>
      <c r="F773" s="481" t="str">
        <v>Mexico</v>
      </c>
      <c r="G773" s="481" t="str">
        <v>Switzerland</v>
      </c>
      <c r="H773" s="481" t="str">
        <v>Morocco</v>
      </c>
      <c r="I773" s="481" t="str">
        <v>USA</v>
      </c>
      <c r="J773" s="481" t="str">
        <v>Germany</v>
      </c>
      <c r="K773" s="481" t="str">
        <v>Netherlands</v>
      </c>
      <c r="L773" s="481" t="str">
        <v>IR Iran</v>
      </c>
      <c r="M773" s="481" t="str">
        <v>Spain</v>
      </c>
      <c r="N773" s="481" t="str">
        <v>France</v>
      </c>
      <c r="O773" s="481" t="str">
        <v>Argentina</v>
      </c>
      <c r="P773" s="481" t="str">
        <v>Portugal</v>
      </c>
      <c r="Q773" s="490" t="str">
        <v>Croatia</v>
      </c>
    </row>
    <row r="774" spans="1:17" x14ac:dyDescent="0.2">
      <c r="A774" s="489">
        <v>771</v>
      </c>
      <c r="B774" s="481" t="str">
        <v>Brazil</v>
      </c>
      <c r="C774" s="481" t="str">
        <v>Japan</v>
      </c>
      <c r="D774" s="481" t="str">
        <v>Mexico</v>
      </c>
      <c r="E774" s="481" t="str">
        <v>Belgium</v>
      </c>
      <c r="F774" s="481" t="str">
        <v>Korea Republic</v>
      </c>
      <c r="G774" s="481" t="str">
        <v>Switzerland</v>
      </c>
      <c r="H774" s="481" t="str">
        <v>Morocco</v>
      </c>
      <c r="I774" s="481" t="str">
        <v>USA</v>
      </c>
      <c r="J774" s="481" t="str">
        <v>Germany</v>
      </c>
      <c r="K774" s="481" t="str">
        <v>Netherlands</v>
      </c>
      <c r="L774" s="481" t="str">
        <v>Belgium</v>
      </c>
      <c r="M774" s="481" t="str">
        <v>Spain</v>
      </c>
      <c r="N774" s="481" t="str">
        <v>France</v>
      </c>
      <c r="O774" s="481" t="str">
        <v>Argentina</v>
      </c>
      <c r="P774" s="481" t="str">
        <v>Portugal</v>
      </c>
      <c r="Q774" s="490" t="str">
        <v>England</v>
      </c>
    </row>
    <row r="775" spans="1:17" x14ac:dyDescent="0.2">
      <c r="A775" s="489">
        <v>772</v>
      </c>
      <c r="B775" s="481" t="str">
        <v>Belgium</v>
      </c>
      <c r="C775" s="481" t="str">
        <v>France</v>
      </c>
      <c r="D775" s="481" t="str">
        <v>Mexico</v>
      </c>
      <c r="E775" s="481" t="str">
        <v>Portugal</v>
      </c>
      <c r="F775" s="481" t="str">
        <v>Korea Republic</v>
      </c>
      <c r="G775" s="481" t="str">
        <v>Switzerland</v>
      </c>
      <c r="H775" s="481" t="str">
        <v>Brazil</v>
      </c>
      <c r="I775" s="481" t="str">
        <v>Australia</v>
      </c>
      <c r="J775" s="481" t="str">
        <v>Germany</v>
      </c>
      <c r="K775" s="481" t="str">
        <v>Sweden</v>
      </c>
      <c r="L775" s="481" t="str">
        <v>Belgium</v>
      </c>
      <c r="M775" s="481" t="str">
        <v>Uruguay</v>
      </c>
      <c r="N775" s="481" t="str">
        <v>France</v>
      </c>
      <c r="O775" s="481" t="str">
        <v>Algeria</v>
      </c>
      <c r="P775" s="481" t="str">
        <v>Uzbekistan</v>
      </c>
      <c r="Q775" s="490" t="str">
        <v>Croatia</v>
      </c>
    </row>
    <row r="776" spans="1:17" x14ac:dyDescent="0.2">
      <c r="A776" s="489">
        <v>773</v>
      </c>
      <c r="B776" s="481" t="str">
        <v>Germany</v>
      </c>
      <c r="C776" s="481" t="str">
        <v>Germany</v>
      </c>
      <c r="D776" s="481" t="str">
        <v>USA</v>
      </c>
      <c r="E776" s="481" t="str">
        <v>Portugal</v>
      </c>
      <c r="F776" s="481" t="str">
        <v>Mexico</v>
      </c>
      <c r="G776" s="481" t="str">
        <v>Qatar</v>
      </c>
      <c r="H776" s="481" t="str">
        <v>Morocco</v>
      </c>
      <c r="I776" s="481" t="str">
        <v>USA</v>
      </c>
      <c r="J776" s="481" t="str">
        <v>Germany</v>
      </c>
      <c r="K776" s="481" t="str">
        <v>Netherlands</v>
      </c>
      <c r="L776" s="481" t="str">
        <v>Belgium</v>
      </c>
      <c r="M776" s="481" t="str">
        <v>Spain</v>
      </c>
      <c r="N776" s="481" t="str">
        <v>France</v>
      </c>
      <c r="O776" s="481" t="str">
        <v>Austria</v>
      </c>
      <c r="P776" s="481" t="str">
        <v>Portugal</v>
      </c>
      <c r="Q776" s="490" t="str">
        <v>England</v>
      </c>
    </row>
    <row r="777" spans="1:17" x14ac:dyDescent="0.2">
      <c r="A777" s="489">
        <v>774</v>
      </c>
      <c r="B777" s="481" t="str">
        <v>Germany</v>
      </c>
      <c r="C777" s="481" t="str">
        <v>Portugal</v>
      </c>
      <c r="D777" s="481" t="str">
        <v>Netherlands</v>
      </c>
      <c r="E777" s="481" t="str">
        <v>Croatia</v>
      </c>
      <c r="F777" s="481" t="str">
        <v>Mexico</v>
      </c>
      <c r="G777" s="481" t="str">
        <v>Canada</v>
      </c>
      <c r="H777" s="481" t="str">
        <v>Morocco</v>
      </c>
      <c r="I777" s="481" t="str">
        <v>Australia</v>
      </c>
      <c r="J777" s="481" t="str">
        <v>Germany</v>
      </c>
      <c r="K777" s="481" t="str">
        <v>Netherlands</v>
      </c>
      <c r="L777" s="481" t="str">
        <v>Belgium</v>
      </c>
      <c r="M777" s="481" t="str">
        <v>Spain</v>
      </c>
      <c r="N777" s="481" t="str">
        <v>Norway</v>
      </c>
      <c r="O777" s="481" t="str">
        <v>Algeria</v>
      </c>
      <c r="P777" s="481" t="str">
        <v>Portugal</v>
      </c>
      <c r="Q777" s="490" t="str">
        <v>England</v>
      </c>
    </row>
    <row r="778" spans="1:17" x14ac:dyDescent="0.2">
      <c r="A778" s="489">
        <v>775</v>
      </c>
      <c r="B778" s="481" t="str">
        <v>Morocco</v>
      </c>
      <c r="C778" s="481" t="str">
        <v>England</v>
      </c>
      <c r="D778" s="481" t="str">
        <v>Egypt</v>
      </c>
      <c r="E778" s="481" t="str">
        <v>Japan</v>
      </c>
      <c r="F778" s="481" t="str">
        <v>Mexico</v>
      </c>
      <c r="G778" s="481" t="str">
        <v>Canada</v>
      </c>
      <c r="H778" s="481" t="str">
        <v>Brazil</v>
      </c>
      <c r="I778" s="481" t="str">
        <v>Australia</v>
      </c>
      <c r="J778" s="481" t="str">
        <v>Germany</v>
      </c>
      <c r="K778" s="481" t="str">
        <v>Japan</v>
      </c>
      <c r="L778" s="481" t="str">
        <v>IR Iran</v>
      </c>
      <c r="M778" s="481" t="str">
        <v>Spain</v>
      </c>
      <c r="N778" s="481" t="str">
        <v>France</v>
      </c>
      <c r="O778" s="481" t="str">
        <v>Argentina</v>
      </c>
      <c r="P778" s="481" t="str">
        <v>Portugal</v>
      </c>
      <c r="Q778" s="490" t="str">
        <v>England</v>
      </c>
    </row>
    <row r="779" spans="1:17" x14ac:dyDescent="0.2">
      <c r="A779" s="489">
        <v>776</v>
      </c>
      <c r="B779" s="481" t="str">
        <v>France</v>
      </c>
      <c r="C779" s="481" t="str">
        <v>France</v>
      </c>
      <c r="D779" s="481" t="str">
        <v>England</v>
      </c>
      <c r="E779" s="481" t="str">
        <v>Switzerland</v>
      </c>
      <c r="F779" s="481" t="str">
        <v>Mexico</v>
      </c>
      <c r="G779" s="481" t="str">
        <v>Switzerland</v>
      </c>
      <c r="H779" s="481" t="str">
        <v>Morocco</v>
      </c>
      <c r="I779" s="481" t="str">
        <v>USA</v>
      </c>
      <c r="J779" s="481" t="str">
        <v>Germany</v>
      </c>
      <c r="K779" s="481" t="str">
        <v>Japan</v>
      </c>
      <c r="L779" s="481" t="str">
        <v>Belgium</v>
      </c>
      <c r="M779" s="481" t="str">
        <v>Spain</v>
      </c>
      <c r="N779" s="481" t="str">
        <v>Norway</v>
      </c>
      <c r="O779" s="481" t="str">
        <v>Argentina</v>
      </c>
      <c r="P779" s="481" t="str">
        <v>Colombia</v>
      </c>
      <c r="Q779" s="490" t="str">
        <v>England</v>
      </c>
    </row>
    <row r="780" spans="1:17" x14ac:dyDescent="0.2">
      <c r="A780" s="489">
        <v>777</v>
      </c>
      <c r="B780" s="481" t="str">
        <v>France</v>
      </c>
      <c r="C780" s="481" t="str">
        <v>Brazil</v>
      </c>
      <c r="D780" s="481" t="str">
        <v>France</v>
      </c>
      <c r="E780" s="481" t="str">
        <v>Senegal</v>
      </c>
      <c r="F780" s="481" t="str">
        <v>Korea Republic</v>
      </c>
      <c r="G780" s="481" t="str">
        <v>Switzerland</v>
      </c>
      <c r="H780" s="481" t="str">
        <v>Brazil</v>
      </c>
      <c r="I780" s="481" t="str">
        <v>USA</v>
      </c>
      <c r="J780" s="481" t="str">
        <v>Germany</v>
      </c>
      <c r="K780" s="481" t="str">
        <v>Sweden</v>
      </c>
      <c r="L780" s="481" t="str">
        <v>Belgium</v>
      </c>
      <c r="M780" s="481" t="str">
        <v>Saudi Arabia</v>
      </c>
      <c r="N780" s="481" t="str">
        <v>Senegal</v>
      </c>
      <c r="O780" s="481" t="str">
        <v>Algeria</v>
      </c>
      <c r="P780" s="481" t="str">
        <v>Portugal</v>
      </c>
      <c r="Q780" s="490" t="str">
        <v>Croatia</v>
      </c>
    </row>
    <row r="781" spans="1:17" x14ac:dyDescent="0.2">
      <c r="A781" s="489">
        <v>778</v>
      </c>
      <c r="B781" s="481" t="str">
        <v>Germany</v>
      </c>
      <c r="C781" s="481" t="str">
        <v>France</v>
      </c>
      <c r="D781" s="481" t="str">
        <v>Brazil</v>
      </c>
      <c r="E781" s="481" t="str">
        <v>Germany</v>
      </c>
      <c r="F781" s="481" t="str">
        <v>Mexico</v>
      </c>
      <c r="G781" s="481" t="str">
        <v>Switzerland</v>
      </c>
      <c r="H781" s="481" t="str">
        <v>Morocco</v>
      </c>
      <c r="I781" s="481" t="str">
        <v>USA</v>
      </c>
      <c r="J781" s="481" t="str">
        <v>Germany</v>
      </c>
      <c r="K781" s="481" t="str">
        <v>Japan</v>
      </c>
      <c r="L781" s="481" t="str">
        <v>IR Iran</v>
      </c>
      <c r="M781" s="481" t="str">
        <v>Spain</v>
      </c>
      <c r="N781" s="481" t="str">
        <v>France</v>
      </c>
      <c r="O781" s="481" t="str">
        <v>Argentina</v>
      </c>
      <c r="P781" s="481" t="str">
        <v>Uzbekistan</v>
      </c>
      <c r="Q781" s="490" t="str">
        <v>Croatia</v>
      </c>
    </row>
    <row r="782" spans="1:17" x14ac:dyDescent="0.2">
      <c r="A782" s="489">
        <v>779</v>
      </c>
      <c r="B782" s="481" t="str">
        <v>Portugal</v>
      </c>
      <c r="C782" s="481" t="str">
        <v>Belgium</v>
      </c>
      <c r="D782" s="481" t="str">
        <v>Japan</v>
      </c>
      <c r="E782" s="481" t="str">
        <v>Norway</v>
      </c>
      <c r="F782" s="481" t="str">
        <v>Korea Republic</v>
      </c>
      <c r="G782" s="481" t="str">
        <v>Bosnia-Herzegovina</v>
      </c>
      <c r="H782" s="481" t="str">
        <v>Morocco</v>
      </c>
      <c r="I782" s="481" t="str">
        <v>USA</v>
      </c>
      <c r="J782" s="481" t="str">
        <v>Germany</v>
      </c>
      <c r="K782" s="481" t="str">
        <v>Netherlands</v>
      </c>
      <c r="L782" s="481" t="str">
        <v>Egypt</v>
      </c>
      <c r="M782" s="481" t="str">
        <v>Uruguay</v>
      </c>
      <c r="N782" s="481" t="str">
        <v>Senegal</v>
      </c>
      <c r="O782" s="481" t="str">
        <v>Argentina</v>
      </c>
      <c r="P782" s="481" t="str">
        <v>Portugal</v>
      </c>
      <c r="Q782" s="490" t="str">
        <v>Croatia</v>
      </c>
    </row>
    <row r="783" spans="1:17" x14ac:dyDescent="0.2">
      <c r="A783" s="489">
        <v>780</v>
      </c>
      <c r="B783" s="481" t="str">
        <v>England</v>
      </c>
      <c r="C783" s="481" t="str">
        <v>Colombia</v>
      </c>
      <c r="D783" s="481" t="str">
        <v>Germany</v>
      </c>
      <c r="E783" s="481" t="str">
        <v>USA</v>
      </c>
      <c r="F783" s="481" t="str">
        <v>Korea Republic</v>
      </c>
      <c r="G783" s="481" t="str">
        <v>Switzerland</v>
      </c>
      <c r="H783" s="481" t="str">
        <v>Brazil</v>
      </c>
      <c r="I783" s="481" t="str">
        <v>USA</v>
      </c>
      <c r="J783" s="481" t="str">
        <v>Germany</v>
      </c>
      <c r="K783" s="481" t="str">
        <v>Netherlands</v>
      </c>
      <c r="L783" s="481" t="str">
        <v>Egypt</v>
      </c>
      <c r="M783" s="481" t="str">
        <v>Spain</v>
      </c>
      <c r="N783" s="481" t="str">
        <v>France</v>
      </c>
      <c r="O783" s="481" t="str">
        <v>Argentina</v>
      </c>
      <c r="P783" s="481" t="str">
        <v>Portugal</v>
      </c>
      <c r="Q783" s="490" t="str">
        <v>England</v>
      </c>
    </row>
    <row r="784" spans="1:17" x14ac:dyDescent="0.2">
      <c r="A784" s="489">
        <v>781</v>
      </c>
      <c r="B784" s="481" t="str">
        <v>USA</v>
      </c>
      <c r="C784" s="481" t="str">
        <v>Argentina</v>
      </c>
      <c r="D784" s="481" t="str">
        <v>Switzerland</v>
      </c>
      <c r="E784" s="481" t="str">
        <v>Netherlands</v>
      </c>
      <c r="F784" s="481" t="str">
        <v>Mexico</v>
      </c>
      <c r="G784" s="481" t="str">
        <v>Bosnia-Herzegovina</v>
      </c>
      <c r="H784" s="481" t="str">
        <v>Morocco</v>
      </c>
      <c r="I784" s="481" t="str">
        <v>USA</v>
      </c>
      <c r="J784" s="481" t="str">
        <v>Germany</v>
      </c>
      <c r="K784" s="481" t="str">
        <v>Netherlands</v>
      </c>
      <c r="L784" s="481" t="str">
        <v>Egypt</v>
      </c>
      <c r="M784" s="481" t="str">
        <v>Uruguay</v>
      </c>
      <c r="N784" s="481" t="str">
        <v>France</v>
      </c>
      <c r="O784" s="481" t="str">
        <v>Argentina</v>
      </c>
      <c r="P784" s="481" t="str">
        <v>Colombia</v>
      </c>
      <c r="Q784" s="490" t="str">
        <v>Panama</v>
      </c>
    </row>
    <row r="785" spans="1:17" x14ac:dyDescent="0.2">
      <c r="A785" s="489">
        <v>782</v>
      </c>
      <c r="B785" s="481" t="str">
        <v>England</v>
      </c>
      <c r="C785" s="481" t="str">
        <v>Spain</v>
      </c>
      <c r="D785" s="481" t="str">
        <v>Morocco</v>
      </c>
      <c r="E785" s="481" t="str">
        <v>Sweden</v>
      </c>
      <c r="F785" s="481" t="str">
        <v>Korea Republic</v>
      </c>
      <c r="G785" s="481" t="str">
        <v>Switzerland</v>
      </c>
      <c r="H785" s="481" t="str">
        <v>Morocco</v>
      </c>
      <c r="I785" s="481" t="str">
        <v>Australia</v>
      </c>
      <c r="J785" s="481" t="str">
        <v>Germany</v>
      </c>
      <c r="K785" s="481" t="str">
        <v>Netherlands</v>
      </c>
      <c r="L785" s="481" t="str">
        <v>Belgium</v>
      </c>
      <c r="M785" s="481" t="str">
        <v>Saudi Arabia</v>
      </c>
      <c r="N785" s="481" t="str">
        <v>France</v>
      </c>
      <c r="O785" s="481" t="str">
        <v>Austria</v>
      </c>
      <c r="P785" s="481" t="str">
        <v>Portugal</v>
      </c>
      <c r="Q785" s="490" t="str">
        <v>Croatia</v>
      </c>
    </row>
    <row r="786" spans="1:17" x14ac:dyDescent="0.2">
      <c r="A786" s="489">
        <v>783</v>
      </c>
      <c r="B786" s="481" t="str">
        <v>Spain</v>
      </c>
      <c r="C786" s="481" t="str">
        <v>France</v>
      </c>
      <c r="D786" s="481" t="str">
        <v>France</v>
      </c>
      <c r="E786" s="481" t="str">
        <v>Brazil</v>
      </c>
      <c r="F786" s="481" t="str">
        <v>Korea Republic</v>
      </c>
      <c r="G786" s="481" t="str">
        <v>Canada</v>
      </c>
      <c r="H786" s="481" t="str">
        <v>Brazil</v>
      </c>
      <c r="I786" s="481" t="str">
        <v>Paraguay</v>
      </c>
      <c r="J786" s="481" t="str">
        <v>Germany</v>
      </c>
      <c r="K786" s="481" t="str">
        <v>Sweden</v>
      </c>
      <c r="L786" s="481" t="str">
        <v>Belgium</v>
      </c>
      <c r="M786" s="481" t="str">
        <v>Spain</v>
      </c>
      <c r="N786" s="481" t="str">
        <v>Senegal</v>
      </c>
      <c r="O786" s="481" t="str">
        <v>Argentina</v>
      </c>
      <c r="P786" s="481" t="str">
        <v>Colombia</v>
      </c>
      <c r="Q786" s="490" t="str">
        <v>Ghana</v>
      </c>
    </row>
    <row r="787" spans="1:17" x14ac:dyDescent="0.2">
      <c r="A787" s="489">
        <v>784</v>
      </c>
      <c r="B787" s="481" t="str">
        <v>France</v>
      </c>
      <c r="C787" s="481" t="str">
        <v>Switzerland</v>
      </c>
      <c r="D787" s="481" t="str">
        <v>Mexico</v>
      </c>
      <c r="E787" s="481" t="str">
        <v>Morocco</v>
      </c>
      <c r="F787" s="481" t="str">
        <v>Korea Republic</v>
      </c>
      <c r="G787" s="481" t="str">
        <v>Switzerland</v>
      </c>
      <c r="H787" s="481" t="str">
        <v>Morocco</v>
      </c>
      <c r="I787" s="481" t="str">
        <v>USA</v>
      </c>
      <c r="J787" s="481" t="str">
        <v>Cote d'Ivorie</v>
      </c>
      <c r="K787" s="481" t="str">
        <v>Sweden</v>
      </c>
      <c r="L787" s="481" t="str">
        <v>Belgium</v>
      </c>
      <c r="M787" s="481" t="str">
        <v>Spain</v>
      </c>
      <c r="N787" s="481" t="str">
        <v>Norway</v>
      </c>
      <c r="O787" s="481" t="str">
        <v>Argentina</v>
      </c>
      <c r="P787" s="481" t="str">
        <v>Portugal</v>
      </c>
      <c r="Q787" s="490" t="str">
        <v>England</v>
      </c>
    </row>
    <row r="788" spans="1:17" x14ac:dyDescent="0.2">
      <c r="A788" s="489">
        <v>785</v>
      </c>
      <c r="B788" s="481" t="str">
        <v>Germany</v>
      </c>
      <c r="C788" s="481" t="str">
        <v>France</v>
      </c>
      <c r="D788" s="481" t="str">
        <v>Spain</v>
      </c>
      <c r="E788" s="481" t="str">
        <v>Croatia</v>
      </c>
      <c r="F788" s="481" t="str">
        <v>Mexico</v>
      </c>
      <c r="G788" s="481" t="str">
        <v>Switzerland</v>
      </c>
      <c r="H788" s="481" t="str">
        <v>Brazil</v>
      </c>
      <c r="I788" s="481" t="str">
        <v>USA</v>
      </c>
      <c r="J788" s="481" t="str">
        <v>Cote d'Ivorie</v>
      </c>
      <c r="K788" s="481" t="str">
        <v>Japan</v>
      </c>
      <c r="L788" s="481" t="str">
        <v>Belgium</v>
      </c>
      <c r="M788" s="481" t="str">
        <v>Spain</v>
      </c>
      <c r="N788" s="481" t="str">
        <v>France</v>
      </c>
      <c r="O788" s="481" t="str">
        <v>Argentina</v>
      </c>
      <c r="P788" s="481" t="str">
        <v>Colombia</v>
      </c>
      <c r="Q788" s="490" t="str">
        <v>England</v>
      </c>
    </row>
    <row r="789" spans="1:17" x14ac:dyDescent="0.2">
      <c r="A789" s="489">
        <v>786</v>
      </c>
      <c r="B789" s="481" t="str">
        <v>Portugal</v>
      </c>
      <c r="C789" s="481" t="str">
        <v>Brazil</v>
      </c>
      <c r="D789" s="481" t="str">
        <v>Portugal</v>
      </c>
      <c r="E789" s="481" t="str">
        <v>Japan</v>
      </c>
      <c r="F789" s="481" t="str">
        <v>Mexico</v>
      </c>
      <c r="G789" s="481" t="str">
        <v>Qatar</v>
      </c>
      <c r="H789" s="481" t="str">
        <v>Brazil</v>
      </c>
      <c r="I789" s="481" t="str">
        <v>Australia</v>
      </c>
      <c r="J789" s="481" t="str">
        <v>Germany</v>
      </c>
      <c r="K789" s="481" t="str">
        <v>Netherlands</v>
      </c>
      <c r="L789" s="481" t="str">
        <v>Belgium</v>
      </c>
      <c r="M789" s="481" t="str">
        <v>Spain</v>
      </c>
      <c r="N789" s="481" t="str">
        <v>France</v>
      </c>
      <c r="O789" s="481" t="str">
        <v>Argentina</v>
      </c>
      <c r="P789" s="481" t="str">
        <v>Portugal</v>
      </c>
      <c r="Q789" s="490" t="str">
        <v>Croatia</v>
      </c>
    </row>
    <row r="790" spans="1:17" x14ac:dyDescent="0.2">
      <c r="A790" s="489">
        <v>787</v>
      </c>
      <c r="B790" s="481" t="str">
        <v>Germany</v>
      </c>
      <c r="C790" s="481" t="str">
        <v>France</v>
      </c>
      <c r="D790" s="481" t="str">
        <v>England</v>
      </c>
      <c r="E790" s="481" t="str">
        <v>Korea Republic</v>
      </c>
      <c r="F790" s="481" t="str">
        <v>Mexico</v>
      </c>
      <c r="G790" s="481" t="str">
        <v>Qatar</v>
      </c>
      <c r="H790" s="481" t="str">
        <v>Morocco</v>
      </c>
      <c r="I790" s="481" t="str">
        <v>USA</v>
      </c>
      <c r="J790" s="481" t="str">
        <v>Germany</v>
      </c>
      <c r="K790" s="481" t="str">
        <v>Japan</v>
      </c>
      <c r="L790" s="481" t="str">
        <v>Belgium</v>
      </c>
      <c r="M790" s="481" t="str">
        <v>Spain</v>
      </c>
      <c r="N790" s="481" t="str">
        <v>Norway</v>
      </c>
      <c r="O790" s="481" t="str">
        <v>Argentina</v>
      </c>
      <c r="P790" s="481" t="str">
        <v>Portugal</v>
      </c>
      <c r="Q790" s="490" t="str">
        <v>Croatia</v>
      </c>
    </row>
    <row r="791" spans="1:17" x14ac:dyDescent="0.2">
      <c r="A791" s="489">
        <v>788</v>
      </c>
      <c r="B791" s="481" t="str">
        <v>Austria</v>
      </c>
      <c r="C791" s="481" t="str">
        <v>Spain</v>
      </c>
      <c r="D791" s="481" t="str">
        <v>USA</v>
      </c>
      <c r="E791" s="481" t="str">
        <v>Australia</v>
      </c>
      <c r="F791" s="481" t="str">
        <v>Mexico</v>
      </c>
      <c r="G791" s="481" t="str">
        <v>Bosnia-Herzegovina</v>
      </c>
      <c r="H791" s="481" t="str">
        <v>Brazil</v>
      </c>
      <c r="I791" s="481" t="str">
        <v>USA</v>
      </c>
      <c r="J791" s="481" t="str">
        <v>Germany</v>
      </c>
      <c r="K791" s="481" t="str">
        <v>Netherlands</v>
      </c>
      <c r="L791" s="481" t="str">
        <v>IR Iran</v>
      </c>
      <c r="M791" s="481" t="str">
        <v>Spain</v>
      </c>
      <c r="N791" s="481" t="str">
        <v>France</v>
      </c>
      <c r="O791" s="481" t="str">
        <v>Argentina</v>
      </c>
      <c r="P791" s="481" t="str">
        <v>Portugal</v>
      </c>
      <c r="Q791" s="490" t="str">
        <v>England</v>
      </c>
    </row>
    <row r="792" spans="1:17" x14ac:dyDescent="0.2">
      <c r="A792" s="489">
        <v>789</v>
      </c>
      <c r="B792" s="481" t="str">
        <v>England</v>
      </c>
      <c r="C792" s="481" t="str">
        <v>Senegal</v>
      </c>
      <c r="D792" s="481" t="str">
        <v>France</v>
      </c>
      <c r="E792" s="481" t="str">
        <v>Brazil</v>
      </c>
      <c r="F792" s="481" t="str">
        <v>Korea Republic</v>
      </c>
      <c r="G792" s="481" t="str">
        <v>Qatar</v>
      </c>
      <c r="H792" s="481" t="str">
        <v>Morocco</v>
      </c>
      <c r="I792" s="481" t="str">
        <v>USA</v>
      </c>
      <c r="J792" s="481" t="str">
        <v>Germany</v>
      </c>
      <c r="K792" s="481" t="str">
        <v>Japan</v>
      </c>
      <c r="L792" s="481" t="str">
        <v>Belgium</v>
      </c>
      <c r="M792" s="481" t="str">
        <v>Spain</v>
      </c>
      <c r="N792" s="481" t="str">
        <v>France</v>
      </c>
      <c r="O792" s="481" t="str">
        <v>Argentina</v>
      </c>
      <c r="P792" s="481" t="str">
        <v>Portugal</v>
      </c>
      <c r="Q792" s="490" t="str">
        <v>England</v>
      </c>
    </row>
    <row r="793" spans="1:17" x14ac:dyDescent="0.2">
      <c r="A793" s="489">
        <v>790</v>
      </c>
      <c r="B793" s="481" t="str">
        <v>Brazil</v>
      </c>
      <c r="C793" s="481" t="str">
        <v>France</v>
      </c>
      <c r="D793" s="481" t="str">
        <v>France</v>
      </c>
      <c r="E793" s="481" t="str">
        <v>Spain</v>
      </c>
      <c r="F793" s="481" t="str">
        <v>Mexico</v>
      </c>
      <c r="G793" s="481" t="str">
        <v>Qatar</v>
      </c>
      <c r="H793" s="481" t="str">
        <v>Brazil</v>
      </c>
      <c r="I793" s="481" t="str">
        <v>USA</v>
      </c>
      <c r="J793" s="481" t="str">
        <v>Germany</v>
      </c>
      <c r="K793" s="481" t="str">
        <v>Netherlands</v>
      </c>
      <c r="L793" s="481" t="str">
        <v>Belgium</v>
      </c>
      <c r="M793" s="481" t="str">
        <v>Spain</v>
      </c>
      <c r="N793" s="481" t="str">
        <v>France</v>
      </c>
      <c r="O793" s="481" t="str">
        <v>Austria</v>
      </c>
      <c r="P793" s="481" t="str">
        <v>Portugal</v>
      </c>
      <c r="Q793" s="490" t="str">
        <v>Croatia</v>
      </c>
    </row>
    <row r="794" spans="1:17" x14ac:dyDescent="0.2">
      <c r="A794" s="489">
        <v>791</v>
      </c>
      <c r="B794" s="481" t="str">
        <v>Spain</v>
      </c>
      <c r="C794" s="481" t="str">
        <v>Spain</v>
      </c>
      <c r="D794" s="481" t="str">
        <v>Ecuador</v>
      </c>
      <c r="E794" s="481" t="str">
        <v>Ecuador</v>
      </c>
      <c r="F794" s="481" t="str">
        <v>Mexico</v>
      </c>
      <c r="G794" s="481" t="str">
        <v>Switzerland</v>
      </c>
      <c r="H794" s="481" t="str">
        <v>Brazil</v>
      </c>
      <c r="I794" s="481" t="str">
        <v>USA</v>
      </c>
      <c r="J794" s="481" t="str">
        <v>Germany</v>
      </c>
      <c r="K794" s="481" t="str">
        <v>Netherlands</v>
      </c>
      <c r="L794" s="481" t="str">
        <v>IR Iran</v>
      </c>
      <c r="M794" s="481" t="str">
        <v>Spain</v>
      </c>
      <c r="N794" s="481" t="str">
        <v>France</v>
      </c>
      <c r="O794" s="481" t="str">
        <v>Argentina</v>
      </c>
      <c r="P794" s="481" t="str">
        <v>Portugal</v>
      </c>
      <c r="Q794" s="490" t="str">
        <v>Panama</v>
      </c>
    </row>
    <row r="795" spans="1:17" x14ac:dyDescent="0.2">
      <c r="A795" s="489">
        <v>792</v>
      </c>
      <c r="B795" s="481" t="str">
        <v>England</v>
      </c>
      <c r="C795" s="481" t="str">
        <v>Egypt</v>
      </c>
      <c r="D795" s="481" t="str">
        <v>Portugal</v>
      </c>
      <c r="E795" s="481" t="str">
        <v>Portugal</v>
      </c>
      <c r="F795" s="481" t="str">
        <v>Korea Republic</v>
      </c>
      <c r="G795" s="481" t="str">
        <v>Switzerland</v>
      </c>
      <c r="H795" s="481" t="str">
        <v>Brazil</v>
      </c>
      <c r="I795" s="481" t="str">
        <v>Turkiye</v>
      </c>
      <c r="J795" s="481" t="str">
        <v>Cote d'Ivorie</v>
      </c>
      <c r="K795" s="481" t="str">
        <v>Sweden</v>
      </c>
      <c r="L795" s="481" t="str">
        <v>Belgium</v>
      </c>
      <c r="M795" s="481" t="str">
        <v>Spain</v>
      </c>
      <c r="N795" s="481" t="str">
        <v>France</v>
      </c>
      <c r="O795" s="481" t="str">
        <v>Argentina</v>
      </c>
      <c r="P795" s="481" t="str">
        <v>Colombia</v>
      </c>
      <c r="Q795" s="490" t="str">
        <v>Croatia</v>
      </c>
    </row>
    <row r="796" spans="1:17" x14ac:dyDescent="0.2">
      <c r="A796" s="489">
        <v>793</v>
      </c>
      <c r="B796" s="481" t="str">
        <v>USA</v>
      </c>
      <c r="C796" s="481" t="str">
        <v>Morocco</v>
      </c>
      <c r="D796" s="481" t="str">
        <v>France</v>
      </c>
      <c r="E796" s="481" t="str">
        <v>Belgium</v>
      </c>
      <c r="F796" s="481" t="str">
        <v>Mexico</v>
      </c>
      <c r="G796" s="481" t="str">
        <v>Bosnia-Herzegovina</v>
      </c>
      <c r="H796" s="481" t="str">
        <v>Morocco</v>
      </c>
      <c r="I796" s="481" t="str">
        <v>Australia</v>
      </c>
      <c r="J796" s="481" t="str">
        <v>Germany</v>
      </c>
      <c r="K796" s="481" t="str">
        <v>Japan</v>
      </c>
      <c r="L796" s="481" t="str">
        <v>IR Iran</v>
      </c>
      <c r="M796" s="481" t="str">
        <v>Spain</v>
      </c>
      <c r="N796" s="481" t="str">
        <v>France</v>
      </c>
      <c r="O796" s="481" t="str">
        <v>Austria</v>
      </c>
      <c r="P796" s="481" t="str">
        <v>Portugal</v>
      </c>
      <c r="Q796" s="490" t="str">
        <v>England</v>
      </c>
    </row>
    <row r="797" spans="1:17" x14ac:dyDescent="0.2">
      <c r="A797" s="489">
        <v>794</v>
      </c>
      <c r="B797" s="481" t="str">
        <v>Portugal</v>
      </c>
      <c r="C797" s="481" t="str">
        <v>Portugal</v>
      </c>
      <c r="D797" s="481" t="str">
        <v>Germany</v>
      </c>
      <c r="E797" s="481" t="str">
        <v>France</v>
      </c>
      <c r="F797" s="481" t="str">
        <v>Mexico</v>
      </c>
      <c r="G797" s="481" t="str">
        <v>Qatar</v>
      </c>
      <c r="H797" s="481" t="str">
        <v>Morocco</v>
      </c>
      <c r="I797" s="481" t="str">
        <v>USA</v>
      </c>
      <c r="J797" s="481" t="str">
        <v>Ecuador</v>
      </c>
      <c r="K797" s="481" t="str">
        <v>Japan</v>
      </c>
      <c r="L797" s="481" t="str">
        <v>Belgium</v>
      </c>
      <c r="M797" s="481" t="str">
        <v>Spain</v>
      </c>
      <c r="N797" s="481" t="str">
        <v>France</v>
      </c>
      <c r="O797" s="481" t="str">
        <v>Argentina</v>
      </c>
      <c r="P797" s="481" t="str">
        <v>Portugal</v>
      </c>
      <c r="Q797" s="490" t="str">
        <v>England</v>
      </c>
    </row>
    <row r="798" spans="1:17" x14ac:dyDescent="0.2">
      <c r="A798" s="489">
        <v>795</v>
      </c>
      <c r="B798" s="481" t="str">
        <v>Spain</v>
      </c>
      <c r="C798" s="481" t="str">
        <v>Germany</v>
      </c>
      <c r="D798" s="481" t="str">
        <v>England</v>
      </c>
      <c r="E798" s="481" t="str">
        <v>Brazil</v>
      </c>
      <c r="F798" s="481" t="str">
        <v>Korea Republic</v>
      </c>
      <c r="G798" s="481" t="str">
        <v>Qatar</v>
      </c>
      <c r="H798" s="481" t="str">
        <v>Brazil</v>
      </c>
      <c r="I798" s="481" t="str">
        <v>USA</v>
      </c>
      <c r="J798" s="481" t="str">
        <v>Ecuador</v>
      </c>
      <c r="K798" s="481" t="str">
        <v>Sweden</v>
      </c>
      <c r="L798" s="481" t="str">
        <v>Belgium</v>
      </c>
      <c r="M798" s="481" t="str">
        <v>Spain</v>
      </c>
      <c r="N798" s="481" t="str">
        <v>France</v>
      </c>
      <c r="O798" s="481" t="str">
        <v>Argentina</v>
      </c>
      <c r="P798" s="481" t="str">
        <v>Colombia</v>
      </c>
      <c r="Q798" s="490" t="str">
        <v>Croatia</v>
      </c>
    </row>
    <row r="799" spans="1:17" x14ac:dyDescent="0.2">
      <c r="A799" s="489">
        <v>796</v>
      </c>
      <c r="B799" s="481" t="str">
        <v>Belgium</v>
      </c>
      <c r="C799" s="481" t="str">
        <v>Argentina</v>
      </c>
      <c r="D799" s="481" t="str">
        <v>Korea Republic</v>
      </c>
      <c r="E799" s="481" t="str">
        <v>Colombia</v>
      </c>
      <c r="F799" s="481" t="str">
        <v>Mexico</v>
      </c>
      <c r="G799" s="481" t="str">
        <v>Bosnia-Herzegovina</v>
      </c>
      <c r="H799" s="481" t="str">
        <v>Brazil</v>
      </c>
      <c r="I799" s="481" t="str">
        <v>USA</v>
      </c>
      <c r="J799" s="481" t="str">
        <v>Germany</v>
      </c>
      <c r="K799" s="481" t="str">
        <v>Japan</v>
      </c>
      <c r="L799" s="481" t="str">
        <v>Egypt</v>
      </c>
      <c r="M799" s="481" t="str">
        <v>Uruguay</v>
      </c>
      <c r="N799" s="481" t="str">
        <v>France</v>
      </c>
      <c r="O799" s="481" t="str">
        <v>Argentina</v>
      </c>
      <c r="P799" s="481" t="str">
        <v>Portugal</v>
      </c>
      <c r="Q799" s="490" t="str">
        <v>Croatia</v>
      </c>
    </row>
    <row r="800" spans="1:17" x14ac:dyDescent="0.2">
      <c r="A800" s="489">
        <v>797</v>
      </c>
      <c r="B800" s="481" t="str">
        <v>Netherlands</v>
      </c>
      <c r="C800" s="481" t="str">
        <v>Croatia</v>
      </c>
      <c r="D800" s="481" t="str">
        <v>Brazil</v>
      </c>
      <c r="E800" s="481" t="str">
        <v>USA</v>
      </c>
      <c r="F800" s="481" t="str">
        <v>Mexico</v>
      </c>
      <c r="G800" s="481" t="str">
        <v>Switzerland</v>
      </c>
      <c r="H800" s="481" t="str">
        <v>Brazil</v>
      </c>
      <c r="I800" s="481" t="str">
        <v>Turkiye</v>
      </c>
      <c r="J800" s="481" t="str">
        <v>Germany</v>
      </c>
      <c r="K800" s="481" t="str">
        <v>Sweden</v>
      </c>
      <c r="L800" s="481" t="str">
        <v>New Zealand</v>
      </c>
      <c r="M800" s="481" t="str">
        <v>Spain</v>
      </c>
      <c r="N800" s="481" t="str">
        <v>Norway</v>
      </c>
      <c r="O800" s="481" t="str">
        <v>Argentina</v>
      </c>
      <c r="P800" s="481" t="str">
        <v>Portugal</v>
      </c>
      <c r="Q800" s="490" t="str">
        <v>England</v>
      </c>
    </row>
    <row r="801" spans="1:17" x14ac:dyDescent="0.2">
      <c r="A801" s="489">
        <v>798</v>
      </c>
      <c r="B801" s="481" t="str">
        <v>France</v>
      </c>
      <c r="C801" s="481" t="str">
        <v>Colombia</v>
      </c>
      <c r="D801" s="481" t="str">
        <v>Portugal</v>
      </c>
      <c r="E801" s="481" t="str">
        <v>France</v>
      </c>
      <c r="F801" s="481" t="str">
        <v>Korea Republic</v>
      </c>
      <c r="G801" s="481" t="str">
        <v>Switzerland</v>
      </c>
      <c r="H801" s="481" t="str">
        <v>Scotland</v>
      </c>
      <c r="I801" s="481" t="str">
        <v>Australia</v>
      </c>
      <c r="J801" s="481" t="str">
        <v>Germany</v>
      </c>
      <c r="K801" s="481" t="str">
        <v>Netherlands</v>
      </c>
      <c r="L801" s="481" t="str">
        <v>Belgium</v>
      </c>
      <c r="M801" s="481" t="str">
        <v>Uruguay</v>
      </c>
      <c r="N801" s="481" t="str">
        <v>Norway</v>
      </c>
      <c r="O801" s="481" t="str">
        <v>Argentina</v>
      </c>
      <c r="P801" s="481" t="str">
        <v>Congo DR</v>
      </c>
      <c r="Q801" s="490" t="str">
        <v>Panama</v>
      </c>
    </row>
    <row r="802" spans="1:17" x14ac:dyDescent="0.2">
      <c r="A802" s="489">
        <v>799</v>
      </c>
      <c r="B802" s="481" t="str">
        <v>Mexico</v>
      </c>
      <c r="C802" s="481" t="str">
        <v>Germany</v>
      </c>
      <c r="D802" s="481" t="str">
        <v>Japan</v>
      </c>
      <c r="E802" s="481" t="str">
        <v>France</v>
      </c>
      <c r="F802" s="481" t="str">
        <v>Czechia</v>
      </c>
      <c r="G802" s="481" t="str">
        <v>Switzerland</v>
      </c>
      <c r="H802" s="481" t="str">
        <v>Morocco</v>
      </c>
      <c r="I802" s="481" t="str">
        <v>Australia</v>
      </c>
      <c r="J802" s="481" t="str">
        <v>Germany</v>
      </c>
      <c r="K802" s="481" t="str">
        <v>Japan</v>
      </c>
      <c r="L802" s="481" t="str">
        <v>IR Iran</v>
      </c>
      <c r="M802" s="481" t="str">
        <v>Spain</v>
      </c>
      <c r="N802" s="481" t="str">
        <v>France</v>
      </c>
      <c r="O802" s="481" t="str">
        <v>Argentina</v>
      </c>
      <c r="P802" s="481" t="str">
        <v>Portugal</v>
      </c>
      <c r="Q802" s="490" t="str">
        <v>England</v>
      </c>
    </row>
    <row r="803" spans="1:17" x14ac:dyDescent="0.2">
      <c r="A803" s="489">
        <v>800</v>
      </c>
      <c r="B803" s="481" t="str">
        <v>Spain</v>
      </c>
      <c r="C803" s="481" t="str">
        <v>Spain</v>
      </c>
      <c r="D803" s="481" t="str">
        <v>Uruguay</v>
      </c>
      <c r="E803" s="481" t="str">
        <v>Brazil</v>
      </c>
      <c r="F803" s="481" t="str">
        <v>Korea Republic</v>
      </c>
      <c r="G803" s="481" t="str">
        <v>Canada</v>
      </c>
      <c r="H803" s="481" t="str">
        <v>Brazil</v>
      </c>
      <c r="I803" s="481" t="str">
        <v>USA</v>
      </c>
      <c r="J803" s="481" t="str">
        <v>Germany</v>
      </c>
      <c r="K803" s="481" t="str">
        <v>Netherlands</v>
      </c>
      <c r="L803" s="481" t="str">
        <v>Egypt</v>
      </c>
      <c r="M803" s="481" t="str">
        <v>Uruguay</v>
      </c>
      <c r="N803" s="481" t="str">
        <v>Senegal</v>
      </c>
      <c r="O803" s="481" t="str">
        <v>Algeria</v>
      </c>
      <c r="P803" s="481" t="str">
        <v>Congo DR</v>
      </c>
      <c r="Q803" s="490" t="str">
        <v>England</v>
      </c>
    </row>
    <row r="804" spans="1:17" x14ac:dyDescent="0.2">
      <c r="A804" s="489">
        <v>801</v>
      </c>
      <c r="B804" s="481" t="str">
        <v>Germany</v>
      </c>
      <c r="C804" s="481" t="str">
        <v>Brazil</v>
      </c>
      <c r="D804" s="481" t="str">
        <v>France</v>
      </c>
      <c r="E804" s="481" t="str">
        <v>Mexico</v>
      </c>
      <c r="F804" s="481" t="str">
        <v>Mexico</v>
      </c>
      <c r="G804" s="481" t="str">
        <v>Switzerland</v>
      </c>
      <c r="H804" s="481" t="str">
        <v>Brazil</v>
      </c>
      <c r="I804" s="481" t="str">
        <v>USA</v>
      </c>
      <c r="J804" s="481" t="str">
        <v>Cote d'Ivorie</v>
      </c>
      <c r="K804" s="481" t="str">
        <v>Netherlands</v>
      </c>
      <c r="L804" s="481" t="str">
        <v>Egypt</v>
      </c>
      <c r="M804" s="481" t="str">
        <v>Spain</v>
      </c>
      <c r="N804" s="481" t="str">
        <v>France</v>
      </c>
      <c r="O804" s="481" t="str">
        <v>Argentina</v>
      </c>
      <c r="P804" s="481" t="str">
        <v>Portugal</v>
      </c>
      <c r="Q804" s="490" t="str">
        <v>England</v>
      </c>
    </row>
    <row r="805" spans="1:17" x14ac:dyDescent="0.2">
      <c r="A805" s="489">
        <v>802</v>
      </c>
      <c r="B805" s="481" t="str">
        <v>Germany</v>
      </c>
      <c r="C805" s="481" t="str">
        <v>Switzerland</v>
      </c>
      <c r="D805" s="481" t="str">
        <v>Croatia</v>
      </c>
      <c r="E805" s="481" t="str">
        <v>Colombia</v>
      </c>
      <c r="F805" s="481" t="str">
        <v>Korea Republic</v>
      </c>
      <c r="G805" s="481" t="str">
        <v>Switzerland</v>
      </c>
      <c r="H805" s="481" t="str">
        <v>Brazil</v>
      </c>
      <c r="I805" s="481" t="str">
        <v>Australia</v>
      </c>
      <c r="J805" s="481" t="str">
        <v>Germany</v>
      </c>
      <c r="K805" s="481" t="str">
        <v>Netherlands</v>
      </c>
      <c r="L805" s="481" t="str">
        <v>Belgium</v>
      </c>
      <c r="M805" s="481" t="str">
        <v>Spain</v>
      </c>
      <c r="N805" s="481" t="str">
        <v>France</v>
      </c>
      <c r="O805" s="481" t="str">
        <v>Argentina</v>
      </c>
      <c r="P805" s="481" t="str">
        <v>Colombia</v>
      </c>
      <c r="Q805" s="490" t="str">
        <v>Panama</v>
      </c>
    </row>
    <row r="806" spans="1:17" x14ac:dyDescent="0.2">
      <c r="A806" s="489">
        <v>803</v>
      </c>
      <c r="B806" s="481" t="str">
        <v>Colombia</v>
      </c>
      <c r="C806" s="481" t="str">
        <v>Portugal</v>
      </c>
      <c r="D806" s="481" t="str">
        <v>Brazil</v>
      </c>
      <c r="E806" s="481" t="str">
        <v>Belgium</v>
      </c>
      <c r="F806" s="481" t="str">
        <v>Mexico</v>
      </c>
      <c r="G806" s="481" t="str">
        <v>Qatar</v>
      </c>
      <c r="H806" s="481" t="str">
        <v>Morocco</v>
      </c>
      <c r="I806" s="481" t="str">
        <v>Australia</v>
      </c>
      <c r="J806" s="481" t="str">
        <v>Germany</v>
      </c>
      <c r="K806" s="481" t="str">
        <v>Netherlands</v>
      </c>
      <c r="L806" s="481" t="str">
        <v>Belgium</v>
      </c>
      <c r="M806" s="481" t="str">
        <v>Spain</v>
      </c>
      <c r="N806" s="481" t="str">
        <v>France</v>
      </c>
      <c r="O806" s="481" t="str">
        <v>Algeria</v>
      </c>
      <c r="P806" s="481" t="str">
        <v>Portugal</v>
      </c>
      <c r="Q806" s="490" t="str">
        <v>England</v>
      </c>
    </row>
    <row r="807" spans="1:17" x14ac:dyDescent="0.2">
      <c r="A807" s="489">
        <v>804</v>
      </c>
      <c r="B807" s="481" t="str">
        <v>Spain</v>
      </c>
      <c r="C807" s="481" t="str">
        <v>Panama</v>
      </c>
      <c r="D807" s="481" t="str">
        <v>France</v>
      </c>
      <c r="E807" s="481" t="str">
        <v>Ecuador</v>
      </c>
      <c r="F807" s="481" t="str">
        <v>Korea Republic</v>
      </c>
      <c r="G807" s="481" t="str">
        <v>Canada</v>
      </c>
      <c r="H807" s="481" t="str">
        <v>Brazil</v>
      </c>
      <c r="I807" s="481" t="str">
        <v>Australia</v>
      </c>
      <c r="J807" s="481" t="str">
        <v>Germany</v>
      </c>
      <c r="K807" s="481" t="str">
        <v>Netherlands</v>
      </c>
      <c r="L807" s="481" t="str">
        <v>New Zealand</v>
      </c>
      <c r="M807" s="481" t="str">
        <v>Spain</v>
      </c>
      <c r="N807" s="481" t="str">
        <v>France</v>
      </c>
      <c r="O807" s="481" t="str">
        <v>Argentina</v>
      </c>
      <c r="P807" s="481" t="str">
        <v>Portugal</v>
      </c>
      <c r="Q807" s="490" t="str">
        <v>England</v>
      </c>
    </row>
    <row r="808" spans="1:17" x14ac:dyDescent="0.2">
      <c r="A808" s="489">
        <v>805</v>
      </c>
      <c r="B808" s="481" t="str">
        <v>France</v>
      </c>
      <c r="C808" s="481" t="str">
        <v>England</v>
      </c>
      <c r="D808" s="481" t="str">
        <v>Japan</v>
      </c>
      <c r="E808" s="481" t="str">
        <v>Ecuador</v>
      </c>
      <c r="F808" s="481" t="str">
        <v>Mexico</v>
      </c>
      <c r="G808" s="481" t="str">
        <v>Qatar</v>
      </c>
      <c r="H808" s="481" t="str">
        <v>Scotland</v>
      </c>
      <c r="I808" s="481" t="str">
        <v>Australia</v>
      </c>
      <c r="J808" s="481" t="str">
        <v>Germany</v>
      </c>
      <c r="K808" s="481" t="str">
        <v>Netherlands</v>
      </c>
      <c r="L808" s="481" t="str">
        <v>Belgium</v>
      </c>
      <c r="M808" s="481" t="str">
        <v>Uruguay</v>
      </c>
      <c r="N808" s="481" t="str">
        <v>France</v>
      </c>
      <c r="O808" s="481" t="str">
        <v>Jordan</v>
      </c>
      <c r="P808" s="481" t="str">
        <v>Portugal</v>
      </c>
      <c r="Q808" s="490" t="str">
        <v>England</v>
      </c>
    </row>
    <row r="809" spans="1:17" x14ac:dyDescent="0.2">
      <c r="A809" s="489">
        <v>806</v>
      </c>
      <c r="B809" s="481" t="str">
        <v>Portugal</v>
      </c>
      <c r="C809" s="481" t="str">
        <v>Brazil</v>
      </c>
      <c r="D809" s="481" t="str">
        <v>Spain</v>
      </c>
      <c r="E809" s="481" t="str">
        <v>Mexico</v>
      </c>
      <c r="F809" s="481" t="str">
        <v>Mexico</v>
      </c>
      <c r="G809" s="481" t="str">
        <v>Switzerland</v>
      </c>
      <c r="H809" s="481" t="str">
        <v>Brazil</v>
      </c>
      <c r="I809" s="481" t="str">
        <v>USA</v>
      </c>
      <c r="J809" s="481" t="str">
        <v>Germany</v>
      </c>
      <c r="K809" s="481" t="str">
        <v>Sweden</v>
      </c>
      <c r="L809" s="481" t="str">
        <v>Belgium</v>
      </c>
      <c r="M809" s="481" t="str">
        <v>Uruguay</v>
      </c>
      <c r="N809" s="481" t="str">
        <v>Senegal</v>
      </c>
      <c r="O809" s="481" t="str">
        <v>Argentina</v>
      </c>
      <c r="P809" s="481" t="str">
        <v>Uzbekistan</v>
      </c>
      <c r="Q809" s="490" t="str">
        <v>England</v>
      </c>
    </row>
    <row r="810" spans="1:17" x14ac:dyDescent="0.2">
      <c r="A810" s="489">
        <v>807</v>
      </c>
      <c r="B810" s="481" t="str">
        <v>Colombia</v>
      </c>
      <c r="C810" s="481" t="str">
        <v>Brazil</v>
      </c>
      <c r="D810" s="481" t="str">
        <v>Mexico</v>
      </c>
      <c r="E810" s="481" t="str">
        <v>England</v>
      </c>
      <c r="F810" s="481" t="str">
        <v>Korea Republic</v>
      </c>
      <c r="G810" s="481" t="str">
        <v>Switzerland</v>
      </c>
      <c r="H810" s="481" t="str">
        <v>Brazil</v>
      </c>
      <c r="I810" s="481" t="str">
        <v>USA</v>
      </c>
      <c r="J810" s="481" t="str">
        <v>Germany</v>
      </c>
      <c r="K810" s="481" t="str">
        <v>Netherlands</v>
      </c>
      <c r="L810" s="481" t="str">
        <v>Belgium</v>
      </c>
      <c r="M810" s="481" t="str">
        <v>Spain</v>
      </c>
      <c r="N810" s="481" t="str">
        <v>Norway</v>
      </c>
      <c r="O810" s="481" t="str">
        <v>Argentina</v>
      </c>
      <c r="P810" s="481" t="str">
        <v>Colombia</v>
      </c>
      <c r="Q810" s="490" t="str">
        <v>England</v>
      </c>
    </row>
    <row r="811" spans="1:17" x14ac:dyDescent="0.2">
      <c r="A811" s="489">
        <v>808</v>
      </c>
      <c r="B811" s="481" t="str">
        <v>Brazil</v>
      </c>
      <c r="C811" s="481" t="str">
        <v>Belgium</v>
      </c>
      <c r="D811" s="481" t="str">
        <v>Austria</v>
      </c>
      <c r="E811" s="481" t="str">
        <v>England</v>
      </c>
      <c r="F811" s="481" t="str">
        <v>Mexico</v>
      </c>
      <c r="G811" s="481" t="str">
        <v>Canada</v>
      </c>
      <c r="H811" s="481" t="str">
        <v>Scotland</v>
      </c>
      <c r="I811" s="481" t="str">
        <v>USA</v>
      </c>
      <c r="J811" s="481" t="str">
        <v>Germany</v>
      </c>
      <c r="K811" s="481" t="str">
        <v>Japan</v>
      </c>
      <c r="L811" s="481" t="str">
        <v>Belgium</v>
      </c>
      <c r="M811" s="481" t="str">
        <v>Spain</v>
      </c>
      <c r="N811" s="481" t="str">
        <v>France</v>
      </c>
      <c r="O811" s="481" t="str">
        <v>Argentina</v>
      </c>
      <c r="P811" s="481" t="str">
        <v>Portugal</v>
      </c>
      <c r="Q811" s="490" t="str">
        <v>England</v>
      </c>
    </row>
    <row r="812" spans="1:17" x14ac:dyDescent="0.2">
      <c r="A812" s="489">
        <v>809</v>
      </c>
      <c r="B812" s="481" t="str">
        <v>France</v>
      </c>
      <c r="C812" s="481" t="str">
        <v>Morocco</v>
      </c>
      <c r="D812" s="481" t="str">
        <v>Spain</v>
      </c>
      <c r="E812" s="481" t="str">
        <v>Ecuador</v>
      </c>
      <c r="F812" s="481" t="str">
        <v>Korea Republic</v>
      </c>
      <c r="G812" s="481" t="str">
        <v>Canada</v>
      </c>
      <c r="H812" s="481" t="str">
        <v>Brazil</v>
      </c>
      <c r="I812" s="481" t="str">
        <v>USA</v>
      </c>
      <c r="J812" s="481" t="str">
        <v>Germany</v>
      </c>
      <c r="K812" s="481" t="str">
        <v>Netherlands</v>
      </c>
      <c r="L812" s="481" t="str">
        <v>Egypt</v>
      </c>
      <c r="M812" s="481" t="str">
        <v>Uruguay</v>
      </c>
      <c r="N812" s="481" t="str">
        <v>Norway</v>
      </c>
      <c r="O812" s="481" t="str">
        <v>Algeria</v>
      </c>
      <c r="P812" s="481" t="str">
        <v>Congo DR</v>
      </c>
      <c r="Q812" s="490" t="str">
        <v>England</v>
      </c>
    </row>
    <row r="813" spans="1:17" x14ac:dyDescent="0.2">
      <c r="A813" s="489">
        <v>810</v>
      </c>
      <c r="B813" s="481" t="str">
        <v>Portugal</v>
      </c>
      <c r="C813" s="481" t="str">
        <v>USA</v>
      </c>
      <c r="D813" s="481" t="str">
        <v>France</v>
      </c>
      <c r="E813" s="481" t="str">
        <v>Ecuador</v>
      </c>
      <c r="F813" s="481" t="str">
        <v>Mexico</v>
      </c>
      <c r="G813" s="481" t="str">
        <v>Switzerland</v>
      </c>
      <c r="H813" s="481" t="str">
        <v>Brazil</v>
      </c>
      <c r="I813" s="481" t="str">
        <v>USA</v>
      </c>
      <c r="J813" s="481" t="str">
        <v>Germany</v>
      </c>
      <c r="K813" s="481" t="str">
        <v>Japan</v>
      </c>
      <c r="L813" s="481" t="str">
        <v>Egypt</v>
      </c>
      <c r="M813" s="481" t="str">
        <v>Uruguay</v>
      </c>
      <c r="N813" s="481" t="str">
        <v>France</v>
      </c>
      <c r="O813" s="481" t="str">
        <v>Austria</v>
      </c>
      <c r="P813" s="481" t="str">
        <v>Colombia</v>
      </c>
      <c r="Q813" s="490" t="str">
        <v>Croatia</v>
      </c>
    </row>
    <row r="814" spans="1:17" x14ac:dyDescent="0.2">
      <c r="A814" s="489">
        <v>811</v>
      </c>
      <c r="B814" s="481" t="str">
        <v>Portugal</v>
      </c>
      <c r="C814" s="481" t="str">
        <v>Netherlands</v>
      </c>
      <c r="D814" s="481" t="str">
        <v>Germany</v>
      </c>
      <c r="E814" s="481" t="str">
        <v>Belgium</v>
      </c>
      <c r="F814" s="481" t="str">
        <v>Mexico</v>
      </c>
      <c r="G814" s="481" t="str">
        <v>Switzerland</v>
      </c>
      <c r="H814" s="481" t="str">
        <v>Morocco</v>
      </c>
      <c r="I814" s="481" t="str">
        <v>USA</v>
      </c>
      <c r="J814" s="481" t="str">
        <v>Germany</v>
      </c>
      <c r="K814" s="481" t="str">
        <v>Netherlands</v>
      </c>
      <c r="L814" s="481" t="str">
        <v>Belgium</v>
      </c>
      <c r="M814" s="481" t="str">
        <v>Cabo Verde</v>
      </c>
      <c r="N814" s="481" t="str">
        <v>France</v>
      </c>
      <c r="O814" s="481" t="str">
        <v>Argentina</v>
      </c>
      <c r="P814" s="481" t="str">
        <v>Portugal</v>
      </c>
      <c r="Q814" s="490" t="str">
        <v>England</v>
      </c>
    </row>
    <row r="815" spans="1:17" x14ac:dyDescent="0.2">
      <c r="A815" s="489">
        <v>812</v>
      </c>
      <c r="B815" s="481" t="str">
        <v>Germany</v>
      </c>
      <c r="C815" s="481" t="str">
        <v>Korea Republic</v>
      </c>
      <c r="D815" s="481" t="str">
        <v>Algeria</v>
      </c>
      <c r="E815" s="481" t="str">
        <v>Spain</v>
      </c>
      <c r="F815" s="481" t="str">
        <v>Mexico</v>
      </c>
      <c r="G815" s="481" t="str">
        <v>Qatar</v>
      </c>
      <c r="H815" s="481" t="str">
        <v>Brazil</v>
      </c>
      <c r="I815" s="481" t="str">
        <v>USA</v>
      </c>
      <c r="J815" s="481" t="str">
        <v>Germany</v>
      </c>
      <c r="K815" s="481" t="str">
        <v>Netherlands</v>
      </c>
      <c r="L815" s="481" t="str">
        <v>Belgium</v>
      </c>
      <c r="M815" s="481" t="str">
        <v>Uruguay</v>
      </c>
      <c r="N815" s="481" t="str">
        <v>France</v>
      </c>
      <c r="O815" s="481" t="str">
        <v>Argentina</v>
      </c>
      <c r="P815" s="481" t="str">
        <v>Uzbekistan</v>
      </c>
      <c r="Q815" s="490" t="str">
        <v>Croatia</v>
      </c>
    </row>
    <row r="816" spans="1:17" x14ac:dyDescent="0.2">
      <c r="A816" s="489">
        <v>813</v>
      </c>
      <c r="B816" s="481" t="str">
        <v>Spain</v>
      </c>
      <c r="C816" s="481" t="str">
        <v>Canada</v>
      </c>
      <c r="D816" s="481" t="str">
        <v>Portugal</v>
      </c>
      <c r="E816" s="481" t="str">
        <v>Ecuador</v>
      </c>
      <c r="F816" s="481" t="str">
        <v>Mexico</v>
      </c>
      <c r="G816" s="481" t="str">
        <v>Canada</v>
      </c>
      <c r="H816" s="481" t="str">
        <v>Morocco</v>
      </c>
      <c r="I816" s="481" t="str">
        <v>USA</v>
      </c>
      <c r="J816" s="481" t="str">
        <v>Germany</v>
      </c>
      <c r="K816" s="481" t="str">
        <v>Netherlands</v>
      </c>
      <c r="L816" s="481" t="str">
        <v>IR Iran</v>
      </c>
      <c r="M816" s="481" t="str">
        <v>Uruguay</v>
      </c>
      <c r="N816" s="481" t="str">
        <v>France</v>
      </c>
      <c r="O816" s="481" t="str">
        <v>Algeria</v>
      </c>
      <c r="P816" s="481" t="str">
        <v>Portugal</v>
      </c>
      <c r="Q816" s="490" t="str">
        <v>Ghana</v>
      </c>
    </row>
    <row r="817" spans="1:17" x14ac:dyDescent="0.2">
      <c r="A817" s="489">
        <v>814</v>
      </c>
      <c r="B817" s="481" t="str">
        <v>Colombia</v>
      </c>
      <c r="C817" s="481" t="str">
        <v>Colombia</v>
      </c>
      <c r="D817" s="481" t="str">
        <v>Mexico</v>
      </c>
      <c r="E817" s="481" t="str">
        <v>Egypt</v>
      </c>
      <c r="F817" s="481" t="str">
        <v>Korea Republic</v>
      </c>
      <c r="G817" s="481" t="str">
        <v>Switzerland</v>
      </c>
      <c r="H817" s="481" t="str">
        <v>Brazil</v>
      </c>
      <c r="I817" s="481" t="str">
        <v>Australia</v>
      </c>
      <c r="J817" s="481" t="str">
        <v>Germany</v>
      </c>
      <c r="K817" s="481" t="str">
        <v>Netherlands</v>
      </c>
      <c r="L817" s="481" t="str">
        <v>Belgium</v>
      </c>
      <c r="M817" s="481" t="str">
        <v>Uruguay</v>
      </c>
      <c r="N817" s="481" t="str">
        <v>Norway</v>
      </c>
      <c r="O817" s="481" t="str">
        <v>Argentina</v>
      </c>
      <c r="P817" s="481" t="str">
        <v>Congo DR</v>
      </c>
      <c r="Q817" s="490" t="str">
        <v>Croatia</v>
      </c>
    </row>
    <row r="818" spans="1:17" x14ac:dyDescent="0.2">
      <c r="A818" s="489">
        <v>815</v>
      </c>
      <c r="B818" s="481" t="str">
        <v>Portugal</v>
      </c>
      <c r="C818" s="481" t="str">
        <v>Belgium</v>
      </c>
      <c r="D818" s="481" t="str">
        <v>Spain</v>
      </c>
      <c r="E818" s="481" t="str">
        <v>Switzerland</v>
      </c>
      <c r="F818" s="481" t="str">
        <v>Korea Republic</v>
      </c>
      <c r="G818" s="481" t="str">
        <v>Switzerland</v>
      </c>
      <c r="H818" s="481" t="str">
        <v>Morocco</v>
      </c>
      <c r="I818" s="481" t="str">
        <v>USA</v>
      </c>
      <c r="J818" s="481" t="str">
        <v>Ecuador</v>
      </c>
      <c r="K818" s="481" t="str">
        <v>Sweden</v>
      </c>
      <c r="L818" s="481" t="str">
        <v>Egypt</v>
      </c>
      <c r="M818" s="481" t="str">
        <v>Spain</v>
      </c>
      <c r="N818" s="481" t="str">
        <v>France</v>
      </c>
      <c r="O818" s="481" t="str">
        <v>Argentina</v>
      </c>
      <c r="P818" s="481" t="str">
        <v>Portugal</v>
      </c>
      <c r="Q818" s="490" t="str">
        <v>Panama</v>
      </c>
    </row>
    <row r="819" spans="1:17" x14ac:dyDescent="0.2">
      <c r="A819" s="489">
        <v>816</v>
      </c>
      <c r="B819" s="481" t="str">
        <v>Germany</v>
      </c>
      <c r="C819" s="481" t="str">
        <v>Portugal</v>
      </c>
      <c r="D819" s="481" t="str">
        <v>Ecuador</v>
      </c>
      <c r="E819" s="481" t="str">
        <v>Korea Republic</v>
      </c>
      <c r="F819" s="481" t="str">
        <v>Mexico</v>
      </c>
      <c r="G819" s="481" t="str">
        <v>Bosnia-Herzegovina</v>
      </c>
      <c r="H819" s="481" t="str">
        <v>Brazil</v>
      </c>
      <c r="I819" s="481" t="str">
        <v>Australia</v>
      </c>
      <c r="J819" s="481" t="str">
        <v>Germany</v>
      </c>
      <c r="K819" s="481" t="str">
        <v>Netherlands</v>
      </c>
      <c r="L819" s="481" t="str">
        <v>Belgium</v>
      </c>
      <c r="M819" s="481" t="str">
        <v>Uruguay</v>
      </c>
      <c r="N819" s="481" t="str">
        <v>France</v>
      </c>
      <c r="O819" s="481" t="str">
        <v>Argentina</v>
      </c>
      <c r="P819" s="481" t="str">
        <v>Colombia</v>
      </c>
      <c r="Q819" s="490" t="str">
        <v>England</v>
      </c>
    </row>
    <row r="820" spans="1:17" x14ac:dyDescent="0.2">
      <c r="A820" s="489">
        <v>817</v>
      </c>
      <c r="B820" s="481" t="str">
        <v>Germany</v>
      </c>
      <c r="C820" s="481" t="str">
        <v>USA</v>
      </c>
      <c r="D820" s="481" t="str">
        <v>Brazil</v>
      </c>
      <c r="E820" s="481" t="str">
        <v>Austria</v>
      </c>
      <c r="F820" s="481" t="str">
        <v>Mexico</v>
      </c>
      <c r="G820" s="481" t="str">
        <v>Canada</v>
      </c>
      <c r="H820" s="481" t="str">
        <v>Morocco</v>
      </c>
      <c r="I820" s="481" t="str">
        <v>USA</v>
      </c>
      <c r="J820" s="481" t="str">
        <v>Germany</v>
      </c>
      <c r="K820" s="481" t="str">
        <v>Sweden</v>
      </c>
      <c r="L820" s="481" t="str">
        <v>Belgium</v>
      </c>
      <c r="M820" s="481" t="str">
        <v>Uruguay</v>
      </c>
      <c r="N820" s="481" t="str">
        <v>France</v>
      </c>
      <c r="O820" s="481" t="str">
        <v>Austria</v>
      </c>
      <c r="P820" s="481" t="str">
        <v>Portugal</v>
      </c>
      <c r="Q820" s="490" t="str">
        <v>England</v>
      </c>
    </row>
    <row r="821" spans="1:17" x14ac:dyDescent="0.2">
      <c r="A821" s="489">
        <v>818</v>
      </c>
      <c r="B821" s="481" t="str">
        <v>Croatia</v>
      </c>
      <c r="C821" s="481" t="str">
        <v>Croatia</v>
      </c>
      <c r="D821" s="481" t="str">
        <v>Japan</v>
      </c>
      <c r="E821" s="481" t="str">
        <v>Japan</v>
      </c>
      <c r="F821" s="481" t="str">
        <v>Mexico</v>
      </c>
      <c r="G821" s="481" t="str">
        <v>Switzerland</v>
      </c>
      <c r="H821" s="481" t="str">
        <v>Morocco</v>
      </c>
      <c r="I821" s="481" t="str">
        <v>USA</v>
      </c>
      <c r="J821" s="481" t="str">
        <v>Cote d'Ivorie</v>
      </c>
      <c r="K821" s="481" t="str">
        <v>Japan</v>
      </c>
      <c r="L821" s="481" t="str">
        <v>Belgium</v>
      </c>
      <c r="M821" s="481" t="str">
        <v>Spain</v>
      </c>
      <c r="N821" s="481" t="str">
        <v>France</v>
      </c>
      <c r="O821" s="481" t="str">
        <v>Argentina</v>
      </c>
      <c r="P821" s="481" t="str">
        <v>Portugal</v>
      </c>
      <c r="Q821" s="490" t="str">
        <v>England</v>
      </c>
    </row>
    <row r="822" spans="1:17" x14ac:dyDescent="0.2">
      <c r="A822" s="489">
        <v>819</v>
      </c>
      <c r="B822" s="481" t="str">
        <v>Spain</v>
      </c>
      <c r="C822" s="481" t="str">
        <v>Mexico</v>
      </c>
      <c r="D822" s="481" t="str">
        <v>USA</v>
      </c>
      <c r="E822" s="481" t="str">
        <v>Senegal</v>
      </c>
      <c r="F822" s="481" t="str">
        <v>Mexico</v>
      </c>
      <c r="G822" s="481" t="str">
        <v>Switzerland</v>
      </c>
      <c r="H822" s="481" t="str">
        <v>Brazil</v>
      </c>
      <c r="I822" s="481" t="str">
        <v>USA</v>
      </c>
      <c r="J822" s="481" t="str">
        <v>Cote d'Ivorie</v>
      </c>
      <c r="K822" s="481" t="str">
        <v>Netherlands</v>
      </c>
      <c r="L822" s="481" t="str">
        <v>Egypt</v>
      </c>
      <c r="M822" s="481" t="str">
        <v>Cabo Verde</v>
      </c>
      <c r="N822" s="481" t="str">
        <v>Senegal</v>
      </c>
      <c r="O822" s="481" t="str">
        <v>Austria</v>
      </c>
      <c r="P822" s="481" t="str">
        <v>Portugal</v>
      </c>
      <c r="Q822" s="490" t="str">
        <v>England</v>
      </c>
    </row>
    <row r="823" spans="1:17" x14ac:dyDescent="0.2">
      <c r="A823" s="489">
        <v>820</v>
      </c>
      <c r="B823" s="481" t="str">
        <v>Belgium</v>
      </c>
      <c r="C823" s="481" t="str">
        <v>Australia</v>
      </c>
      <c r="D823" s="481" t="str">
        <v>France</v>
      </c>
      <c r="E823" s="481" t="str">
        <v>Brazil</v>
      </c>
      <c r="F823" s="481" t="str">
        <v>Mexico</v>
      </c>
      <c r="G823" s="481" t="str">
        <v>Bosnia-Herzegovina</v>
      </c>
      <c r="H823" s="481" t="str">
        <v>Brazil</v>
      </c>
      <c r="I823" s="481" t="str">
        <v>Australia</v>
      </c>
      <c r="J823" s="481" t="str">
        <v>Germany</v>
      </c>
      <c r="K823" s="481" t="str">
        <v>Japan</v>
      </c>
      <c r="L823" s="481" t="str">
        <v>Belgium</v>
      </c>
      <c r="M823" s="481" t="str">
        <v>Spain</v>
      </c>
      <c r="N823" s="481" t="str">
        <v>France</v>
      </c>
      <c r="O823" s="481" t="str">
        <v>Argentina</v>
      </c>
      <c r="P823" s="481" t="str">
        <v>Portugal</v>
      </c>
      <c r="Q823" s="490" t="str">
        <v>England</v>
      </c>
    </row>
    <row r="824" spans="1:17" x14ac:dyDescent="0.2">
      <c r="A824" s="489">
        <v>821</v>
      </c>
      <c r="B824" s="481" t="str">
        <v>France</v>
      </c>
      <c r="C824" s="481" t="str">
        <v>Japan</v>
      </c>
      <c r="D824" s="481" t="str">
        <v>Belgium</v>
      </c>
      <c r="E824" s="481" t="str">
        <v>Brazil</v>
      </c>
      <c r="F824" s="481" t="str">
        <v>Mexico</v>
      </c>
      <c r="G824" s="481" t="str">
        <v>Bosnia-Herzegovina</v>
      </c>
      <c r="H824" s="481" t="str">
        <v>Brazil</v>
      </c>
      <c r="I824" s="481" t="str">
        <v>USA</v>
      </c>
      <c r="J824" s="481" t="str">
        <v>Germany</v>
      </c>
      <c r="K824" s="481" t="str">
        <v>Sweden</v>
      </c>
      <c r="L824" s="481" t="str">
        <v>Belgium</v>
      </c>
      <c r="M824" s="481" t="str">
        <v>Spain</v>
      </c>
      <c r="N824" s="481" t="str">
        <v>Senegal</v>
      </c>
      <c r="O824" s="481" t="str">
        <v>Austria</v>
      </c>
      <c r="P824" s="481" t="str">
        <v>Portugal</v>
      </c>
      <c r="Q824" s="490" t="str">
        <v>England</v>
      </c>
    </row>
    <row r="825" spans="1:17" x14ac:dyDescent="0.2">
      <c r="A825" s="489">
        <v>822</v>
      </c>
      <c r="B825" s="481" t="str">
        <v>England</v>
      </c>
      <c r="C825" s="481" t="str">
        <v>Austria</v>
      </c>
      <c r="D825" s="481" t="str">
        <v>Spain</v>
      </c>
      <c r="E825" s="481" t="str">
        <v>Germany</v>
      </c>
      <c r="F825" s="481" t="str">
        <v>Korea Republic</v>
      </c>
      <c r="G825" s="481" t="str">
        <v>Canada</v>
      </c>
      <c r="H825" s="481" t="str">
        <v>Scotland</v>
      </c>
      <c r="I825" s="481" t="str">
        <v>USA</v>
      </c>
      <c r="J825" s="481" t="str">
        <v>Germany</v>
      </c>
      <c r="K825" s="481" t="str">
        <v>Sweden</v>
      </c>
      <c r="L825" s="481" t="str">
        <v>Egypt</v>
      </c>
      <c r="M825" s="481" t="str">
        <v>Spain</v>
      </c>
      <c r="N825" s="481" t="str">
        <v>Norway</v>
      </c>
      <c r="O825" s="481" t="str">
        <v>Argentina</v>
      </c>
      <c r="P825" s="481" t="str">
        <v>Colombia</v>
      </c>
      <c r="Q825" s="490" t="str">
        <v>England</v>
      </c>
    </row>
    <row r="826" spans="1:17" x14ac:dyDescent="0.2">
      <c r="A826" s="489">
        <v>823</v>
      </c>
      <c r="B826" s="481" t="str">
        <v>England</v>
      </c>
      <c r="C826" s="481" t="str">
        <v>Argentina</v>
      </c>
      <c r="D826" s="481" t="str">
        <v>Portugal</v>
      </c>
      <c r="E826" s="481" t="str">
        <v>Colombia</v>
      </c>
      <c r="F826" s="481" t="str">
        <v>Mexico</v>
      </c>
      <c r="G826" s="481" t="str">
        <v>Canada</v>
      </c>
      <c r="H826" s="481" t="str">
        <v>Morocco</v>
      </c>
      <c r="I826" s="481" t="str">
        <v>Australia</v>
      </c>
      <c r="J826" s="481" t="str">
        <v>Germany</v>
      </c>
      <c r="K826" s="481" t="str">
        <v>Sweden</v>
      </c>
      <c r="L826" s="481" t="str">
        <v>Belgium</v>
      </c>
      <c r="M826" s="481" t="str">
        <v>Spain</v>
      </c>
      <c r="N826" s="481" t="str">
        <v>France</v>
      </c>
      <c r="O826" s="481" t="str">
        <v>Argentina</v>
      </c>
      <c r="P826" s="481" t="str">
        <v>Colombia</v>
      </c>
      <c r="Q826" s="490" t="str">
        <v>Croatia</v>
      </c>
    </row>
    <row r="827" spans="1:17" x14ac:dyDescent="0.2">
      <c r="A827" s="489">
        <v>824</v>
      </c>
      <c r="B827" s="481" t="str">
        <v>Argentina</v>
      </c>
      <c r="C827" s="481" t="str">
        <v>Argentina</v>
      </c>
      <c r="D827" s="481" t="str">
        <v>IR Iran</v>
      </c>
      <c r="E827" s="481" t="str">
        <v>Senegal</v>
      </c>
      <c r="F827" s="481" t="str">
        <v>Mexico</v>
      </c>
      <c r="G827" s="481" t="str">
        <v>Canada</v>
      </c>
      <c r="H827" s="481" t="str">
        <v>Morocco</v>
      </c>
      <c r="I827" s="481" t="str">
        <v>USA</v>
      </c>
      <c r="J827" s="481" t="str">
        <v>Germany</v>
      </c>
      <c r="K827" s="481" t="str">
        <v>Japan</v>
      </c>
      <c r="L827" s="481" t="str">
        <v>Egypt</v>
      </c>
      <c r="M827" s="481" t="str">
        <v>Spain</v>
      </c>
      <c r="N827" s="481" t="str">
        <v>Senegal</v>
      </c>
      <c r="O827" s="481" t="str">
        <v>Argentina</v>
      </c>
      <c r="P827" s="481" t="str">
        <v>Colombia</v>
      </c>
      <c r="Q827" s="490" t="str">
        <v>England</v>
      </c>
    </row>
    <row r="828" spans="1:17" x14ac:dyDescent="0.2">
      <c r="A828" s="489">
        <v>825</v>
      </c>
      <c r="B828" s="481" t="str">
        <v>Netherlands</v>
      </c>
      <c r="C828" s="481" t="str">
        <v>Brazil</v>
      </c>
      <c r="D828" s="481" t="str">
        <v>Netherlands</v>
      </c>
      <c r="E828" s="481" t="str">
        <v>Portugal</v>
      </c>
      <c r="F828" s="481" t="str">
        <v>Mexico</v>
      </c>
      <c r="G828" s="481" t="str">
        <v>Switzerland</v>
      </c>
      <c r="H828" s="481" t="str">
        <v>Brazil</v>
      </c>
      <c r="I828" s="481" t="str">
        <v>Australia</v>
      </c>
      <c r="J828" s="481" t="str">
        <v>Germany</v>
      </c>
      <c r="K828" s="481" t="str">
        <v>Japan</v>
      </c>
      <c r="L828" s="481" t="str">
        <v>Belgium</v>
      </c>
      <c r="M828" s="481" t="str">
        <v>Uruguay</v>
      </c>
      <c r="N828" s="481" t="str">
        <v>France</v>
      </c>
      <c r="O828" s="481" t="str">
        <v>Algeria</v>
      </c>
      <c r="P828" s="481" t="str">
        <v>Colombia</v>
      </c>
      <c r="Q828" s="490" t="str">
        <v>England</v>
      </c>
    </row>
    <row r="829" spans="1:17" x14ac:dyDescent="0.2">
      <c r="A829" s="489">
        <v>826</v>
      </c>
      <c r="B829" s="481" t="str">
        <v>Colombia</v>
      </c>
      <c r="C829" s="481" t="str">
        <v>France</v>
      </c>
      <c r="D829" s="481" t="str">
        <v>Mexico</v>
      </c>
      <c r="E829" s="481" t="str">
        <v>Morocco</v>
      </c>
      <c r="F829" s="481" t="str">
        <v>Mexico</v>
      </c>
      <c r="G829" s="481" t="str">
        <v>Qatar</v>
      </c>
      <c r="H829" s="481" t="str">
        <v>Brazil</v>
      </c>
      <c r="I829" s="481" t="str">
        <v>Australia</v>
      </c>
      <c r="J829" s="481" t="str">
        <v>Germany</v>
      </c>
      <c r="K829" s="481" t="str">
        <v>Netherlands</v>
      </c>
      <c r="L829" s="481" t="str">
        <v>Egypt</v>
      </c>
      <c r="M829" s="481" t="str">
        <v>Cabo Verde</v>
      </c>
      <c r="N829" s="481" t="str">
        <v>France</v>
      </c>
      <c r="O829" s="481" t="str">
        <v>Argentina</v>
      </c>
      <c r="P829" s="481" t="str">
        <v>Portugal</v>
      </c>
      <c r="Q829" s="490" t="str">
        <v>Croatia</v>
      </c>
    </row>
    <row r="830" spans="1:17" x14ac:dyDescent="0.2">
      <c r="A830" s="489">
        <v>827</v>
      </c>
      <c r="B830" s="481" t="str">
        <v>Argentina</v>
      </c>
      <c r="C830" s="481" t="str">
        <v>Mexico</v>
      </c>
      <c r="D830" s="481" t="str">
        <v>Belgium</v>
      </c>
      <c r="E830" s="481" t="str">
        <v>Brazil</v>
      </c>
      <c r="F830" s="481" t="str">
        <v>Mexico</v>
      </c>
      <c r="G830" s="481" t="str">
        <v>Switzerland</v>
      </c>
      <c r="H830" s="481" t="str">
        <v>Brazil</v>
      </c>
      <c r="I830" s="481" t="str">
        <v>Australia</v>
      </c>
      <c r="J830" s="481" t="str">
        <v>Germany</v>
      </c>
      <c r="K830" s="481" t="str">
        <v>Japan</v>
      </c>
      <c r="L830" s="481" t="str">
        <v>Belgium</v>
      </c>
      <c r="M830" s="481" t="str">
        <v>Spain</v>
      </c>
      <c r="N830" s="481" t="str">
        <v>Senegal</v>
      </c>
      <c r="O830" s="481" t="str">
        <v>Algeria</v>
      </c>
      <c r="P830" s="481" t="str">
        <v>Portugal</v>
      </c>
      <c r="Q830" s="490" t="str">
        <v>Croatia</v>
      </c>
    </row>
    <row r="831" spans="1:17" x14ac:dyDescent="0.2">
      <c r="A831" s="489">
        <v>828</v>
      </c>
      <c r="B831" s="481" t="str">
        <v>Spain</v>
      </c>
      <c r="C831" s="481" t="str">
        <v>Germany</v>
      </c>
      <c r="D831" s="481" t="str">
        <v>Morocco</v>
      </c>
      <c r="E831" s="481" t="str">
        <v>IR Iran</v>
      </c>
      <c r="F831" s="481" t="str">
        <v>Korea Republic</v>
      </c>
      <c r="G831" s="481" t="str">
        <v>Qatar</v>
      </c>
      <c r="H831" s="481" t="str">
        <v>Morocco</v>
      </c>
      <c r="I831" s="481" t="str">
        <v>USA</v>
      </c>
      <c r="J831" s="481" t="str">
        <v>Germany</v>
      </c>
      <c r="K831" s="481" t="str">
        <v>Sweden</v>
      </c>
      <c r="L831" s="481" t="str">
        <v>Egypt</v>
      </c>
      <c r="M831" s="481" t="str">
        <v>Uruguay</v>
      </c>
      <c r="N831" s="481" t="str">
        <v>Norway</v>
      </c>
      <c r="O831" s="481" t="str">
        <v>Argentina</v>
      </c>
      <c r="P831" s="481" t="str">
        <v>Portugal</v>
      </c>
      <c r="Q831" s="490" t="str">
        <v>England</v>
      </c>
    </row>
    <row r="832" spans="1:17" x14ac:dyDescent="0.2">
      <c r="A832" s="489">
        <v>829</v>
      </c>
      <c r="B832" s="481" t="str">
        <v>Brazil</v>
      </c>
      <c r="C832" s="481" t="str">
        <v>England</v>
      </c>
      <c r="D832" s="481" t="str">
        <v>Uruguay</v>
      </c>
      <c r="E832" s="481" t="str">
        <v>USA</v>
      </c>
      <c r="F832" s="481" t="str">
        <v>Mexico</v>
      </c>
      <c r="G832" s="481" t="str">
        <v>Switzerland</v>
      </c>
      <c r="H832" s="481" t="str">
        <v>Brazil</v>
      </c>
      <c r="I832" s="481" t="str">
        <v>Australia</v>
      </c>
      <c r="J832" s="481" t="str">
        <v>Germany</v>
      </c>
      <c r="K832" s="481" t="str">
        <v>Netherlands</v>
      </c>
      <c r="L832" s="481" t="str">
        <v>Belgium</v>
      </c>
      <c r="M832" s="481" t="str">
        <v>Uruguay</v>
      </c>
      <c r="N832" s="481" t="str">
        <v>France</v>
      </c>
      <c r="O832" s="481" t="str">
        <v>Algeria</v>
      </c>
      <c r="P832" s="481" t="str">
        <v>Colombia</v>
      </c>
      <c r="Q832" s="490" t="str">
        <v>England</v>
      </c>
    </row>
    <row r="833" spans="1:17" x14ac:dyDescent="0.2">
      <c r="A833" s="489">
        <v>830</v>
      </c>
      <c r="B833" s="481" t="str">
        <v>Argentina</v>
      </c>
      <c r="C833" s="481" t="str">
        <v>Colombia</v>
      </c>
      <c r="D833" s="481" t="str">
        <v>Egypt</v>
      </c>
      <c r="E833" s="481" t="str">
        <v>Brazil</v>
      </c>
      <c r="F833" s="481" t="str">
        <v>Korea Republic</v>
      </c>
      <c r="G833" s="481" t="str">
        <v>Qatar</v>
      </c>
      <c r="H833" s="481" t="str">
        <v>Morocco</v>
      </c>
      <c r="I833" s="481" t="str">
        <v>Australia</v>
      </c>
      <c r="J833" s="481" t="str">
        <v>Cote d'Ivorie</v>
      </c>
      <c r="K833" s="481" t="str">
        <v>Netherlands</v>
      </c>
      <c r="L833" s="481" t="str">
        <v>Egypt</v>
      </c>
      <c r="M833" s="481" t="str">
        <v>Saudi Arabia</v>
      </c>
      <c r="N833" s="481" t="str">
        <v>France</v>
      </c>
      <c r="O833" s="481" t="str">
        <v>Austria</v>
      </c>
      <c r="P833" s="481" t="str">
        <v>Colombia</v>
      </c>
      <c r="Q833" s="490" t="str">
        <v>England</v>
      </c>
    </row>
    <row r="834" spans="1:17" x14ac:dyDescent="0.2">
      <c r="A834" s="489">
        <v>831</v>
      </c>
      <c r="B834" s="481" t="str">
        <v>Portugal</v>
      </c>
      <c r="C834" s="481" t="str">
        <v>Portugal</v>
      </c>
      <c r="D834" s="481" t="str">
        <v>Germany</v>
      </c>
      <c r="E834" s="481" t="str">
        <v>Norway</v>
      </c>
      <c r="F834" s="481" t="str">
        <v>Mexico</v>
      </c>
      <c r="G834" s="481" t="str">
        <v>Canada</v>
      </c>
      <c r="H834" s="481" t="str">
        <v>Brazil</v>
      </c>
      <c r="I834" s="481" t="str">
        <v>USA</v>
      </c>
      <c r="J834" s="481" t="str">
        <v>Germany</v>
      </c>
      <c r="K834" s="481" t="str">
        <v>Netherlands</v>
      </c>
      <c r="L834" s="481" t="str">
        <v>Egypt</v>
      </c>
      <c r="M834" s="481" t="str">
        <v>Uruguay</v>
      </c>
      <c r="N834" s="481" t="str">
        <v>France</v>
      </c>
      <c r="O834" s="481" t="str">
        <v>Argentina</v>
      </c>
      <c r="P834" s="481" t="str">
        <v>Colombia</v>
      </c>
      <c r="Q834" s="490" t="str">
        <v>England</v>
      </c>
    </row>
    <row r="835" spans="1:17" x14ac:dyDescent="0.2">
      <c r="A835" s="489">
        <v>832</v>
      </c>
      <c r="B835" s="481" t="str">
        <v>England</v>
      </c>
      <c r="C835" s="481" t="str">
        <v>Morocco</v>
      </c>
      <c r="D835" s="481" t="str">
        <v>USA</v>
      </c>
      <c r="E835" s="481" t="str">
        <v>Switzerland</v>
      </c>
      <c r="F835" s="481" t="str">
        <v>Korea Republic</v>
      </c>
      <c r="G835" s="481" t="str">
        <v>Bosnia-Herzegovina</v>
      </c>
      <c r="H835" s="481" t="str">
        <v>Brazil</v>
      </c>
      <c r="I835" s="481" t="str">
        <v>Australia</v>
      </c>
      <c r="J835" s="481" t="str">
        <v>Germany</v>
      </c>
      <c r="K835" s="481" t="str">
        <v>Japan</v>
      </c>
      <c r="L835" s="481" t="str">
        <v>Belgium</v>
      </c>
      <c r="M835" s="481" t="str">
        <v>Uruguay</v>
      </c>
      <c r="N835" s="481" t="str">
        <v>France</v>
      </c>
      <c r="O835" s="481" t="str">
        <v>Austria</v>
      </c>
      <c r="P835" s="481" t="str">
        <v>Colombia</v>
      </c>
      <c r="Q835" s="490" t="str">
        <v>England</v>
      </c>
    </row>
    <row r="836" spans="1:17" x14ac:dyDescent="0.2">
      <c r="A836" s="489">
        <v>833</v>
      </c>
      <c r="B836" s="481" t="str">
        <v>Brazil</v>
      </c>
      <c r="C836" s="481" t="str">
        <v>France</v>
      </c>
      <c r="D836" s="481" t="str">
        <v>Germany</v>
      </c>
      <c r="E836" s="481" t="str">
        <v>Panama</v>
      </c>
      <c r="F836" s="481" t="str">
        <v>Mexico</v>
      </c>
      <c r="G836" s="481" t="str">
        <v>Switzerland</v>
      </c>
      <c r="H836" s="481" t="str">
        <v>Morocco</v>
      </c>
      <c r="I836" s="481" t="str">
        <v>USA</v>
      </c>
      <c r="J836" s="481" t="str">
        <v>Germany</v>
      </c>
      <c r="K836" s="481" t="str">
        <v>Sweden</v>
      </c>
      <c r="L836" s="481" t="str">
        <v>Belgium</v>
      </c>
      <c r="M836" s="481" t="str">
        <v>Spain</v>
      </c>
      <c r="N836" s="481" t="str">
        <v>France</v>
      </c>
      <c r="O836" s="481" t="str">
        <v>Austria</v>
      </c>
      <c r="P836" s="481" t="str">
        <v>Colombia</v>
      </c>
      <c r="Q836" s="490" t="str">
        <v>England</v>
      </c>
    </row>
    <row r="837" spans="1:17" x14ac:dyDescent="0.2">
      <c r="A837" s="489">
        <v>834</v>
      </c>
      <c r="B837" s="481" t="str">
        <v>Mexico</v>
      </c>
      <c r="C837" s="481" t="str">
        <v>Argentina</v>
      </c>
      <c r="D837" s="481" t="str">
        <v>France</v>
      </c>
      <c r="E837" s="481" t="str">
        <v>Spain</v>
      </c>
      <c r="F837" s="481" t="str">
        <v>Mexico</v>
      </c>
      <c r="G837" s="481" t="str">
        <v>Bosnia-Herzegovina</v>
      </c>
      <c r="H837" s="481" t="str">
        <v>Morocco</v>
      </c>
      <c r="I837" s="481" t="str">
        <v>USA</v>
      </c>
      <c r="J837" s="481" t="str">
        <v>Germany</v>
      </c>
      <c r="K837" s="481" t="str">
        <v>Netherlands</v>
      </c>
      <c r="L837" s="481" t="str">
        <v>Egypt</v>
      </c>
      <c r="M837" s="481" t="str">
        <v>Spain</v>
      </c>
      <c r="N837" s="481" t="str">
        <v>France</v>
      </c>
      <c r="O837" s="481" t="str">
        <v>Argentina</v>
      </c>
      <c r="P837" s="481" t="str">
        <v>Portugal</v>
      </c>
      <c r="Q837" s="490" t="str">
        <v>England</v>
      </c>
    </row>
    <row r="838" spans="1:17" x14ac:dyDescent="0.2">
      <c r="A838" s="489">
        <v>835</v>
      </c>
      <c r="B838" s="481" t="str">
        <v>Morocco</v>
      </c>
      <c r="C838" s="481" t="str">
        <v>Korea Republic</v>
      </c>
      <c r="D838" s="481" t="str">
        <v>Netherlands</v>
      </c>
      <c r="E838" s="481" t="str">
        <v>Scotland</v>
      </c>
      <c r="F838" s="481" t="str">
        <v>Mexico</v>
      </c>
      <c r="G838" s="481" t="str">
        <v>Switzerland</v>
      </c>
      <c r="H838" s="481" t="str">
        <v>Brazil</v>
      </c>
      <c r="I838" s="481" t="str">
        <v>USA</v>
      </c>
      <c r="J838" s="481" t="str">
        <v>Germany</v>
      </c>
      <c r="K838" s="481" t="str">
        <v>Sweden</v>
      </c>
      <c r="L838" s="481" t="str">
        <v>Belgium</v>
      </c>
      <c r="M838" s="481" t="str">
        <v>Saudi Arabia</v>
      </c>
      <c r="N838" s="481" t="str">
        <v>Senegal</v>
      </c>
      <c r="O838" s="481" t="str">
        <v>Argentina</v>
      </c>
      <c r="P838" s="481" t="str">
        <v>Portugal</v>
      </c>
      <c r="Q838" s="490" t="str">
        <v>England</v>
      </c>
    </row>
    <row r="839" spans="1:17" x14ac:dyDescent="0.2">
      <c r="A839" s="489">
        <v>836</v>
      </c>
      <c r="B839" s="481" t="str">
        <v>Spain</v>
      </c>
      <c r="C839" s="481" t="str">
        <v>Argentina</v>
      </c>
      <c r="D839" s="481" t="str">
        <v>England</v>
      </c>
      <c r="E839" s="481" t="str">
        <v>Colombia</v>
      </c>
      <c r="F839" s="481" t="str">
        <v>Korea Republic</v>
      </c>
      <c r="G839" s="481" t="str">
        <v>Switzerland</v>
      </c>
      <c r="H839" s="481" t="str">
        <v>Brazil</v>
      </c>
      <c r="I839" s="481" t="str">
        <v>Australia</v>
      </c>
      <c r="J839" s="481" t="str">
        <v>Germany</v>
      </c>
      <c r="K839" s="481" t="str">
        <v>Sweden</v>
      </c>
      <c r="L839" s="481" t="str">
        <v>Belgium</v>
      </c>
      <c r="M839" s="481" t="str">
        <v>Spain</v>
      </c>
      <c r="N839" s="481" t="str">
        <v>Senegal</v>
      </c>
      <c r="O839" s="481" t="str">
        <v>Argentina</v>
      </c>
      <c r="P839" s="481" t="str">
        <v>Portugal</v>
      </c>
      <c r="Q839" s="490" t="str">
        <v>England</v>
      </c>
    </row>
    <row r="840" spans="1:17" x14ac:dyDescent="0.2">
      <c r="A840" s="489">
        <v>837</v>
      </c>
      <c r="B840" s="481" t="str">
        <v>Morocco</v>
      </c>
      <c r="C840" s="481" t="str">
        <v>Belgium</v>
      </c>
      <c r="D840" s="481" t="str">
        <v>Belgium</v>
      </c>
      <c r="E840" s="481" t="str">
        <v>England</v>
      </c>
      <c r="F840" s="481" t="str">
        <v>Mexico</v>
      </c>
      <c r="G840" s="481" t="str">
        <v>Bosnia-Herzegovina</v>
      </c>
      <c r="H840" s="481" t="str">
        <v>Brazil</v>
      </c>
      <c r="I840" s="481" t="str">
        <v>Australia</v>
      </c>
      <c r="J840" s="481" t="str">
        <v>Germany</v>
      </c>
      <c r="K840" s="481" t="str">
        <v>Netherlands</v>
      </c>
      <c r="L840" s="481" t="str">
        <v>Belgium</v>
      </c>
      <c r="M840" s="481" t="str">
        <v>Spain</v>
      </c>
      <c r="N840" s="481" t="str">
        <v>France</v>
      </c>
      <c r="O840" s="481" t="str">
        <v>Argentina</v>
      </c>
      <c r="P840" s="481" t="str">
        <v>Portugal</v>
      </c>
      <c r="Q840" s="490" t="str">
        <v>England</v>
      </c>
    </row>
    <row r="841" spans="1:17" x14ac:dyDescent="0.2">
      <c r="A841" s="489">
        <v>838</v>
      </c>
      <c r="B841" s="481" t="str">
        <v>Portugal</v>
      </c>
      <c r="C841" s="481" t="str">
        <v>England</v>
      </c>
      <c r="D841" s="481" t="str">
        <v>Argentina</v>
      </c>
      <c r="E841" s="481" t="str">
        <v>Canada</v>
      </c>
      <c r="F841" s="481" t="str">
        <v>Mexico</v>
      </c>
      <c r="G841" s="481" t="str">
        <v>Switzerland</v>
      </c>
      <c r="H841" s="481" t="str">
        <v>Morocco</v>
      </c>
      <c r="I841" s="481" t="str">
        <v>USA</v>
      </c>
      <c r="J841" s="481" t="str">
        <v>Germany</v>
      </c>
      <c r="K841" s="481" t="str">
        <v>Sweden</v>
      </c>
      <c r="L841" s="481" t="str">
        <v>Belgium</v>
      </c>
      <c r="M841" s="481" t="str">
        <v>Spain</v>
      </c>
      <c r="N841" s="481" t="str">
        <v>Norway</v>
      </c>
      <c r="O841" s="481" t="str">
        <v>Argentina</v>
      </c>
      <c r="P841" s="481" t="str">
        <v>Portugal</v>
      </c>
      <c r="Q841" s="490" t="str">
        <v>England</v>
      </c>
    </row>
    <row r="842" spans="1:17" x14ac:dyDescent="0.2">
      <c r="A842" s="489">
        <v>839</v>
      </c>
      <c r="B842" s="481" t="str">
        <v>Croatia</v>
      </c>
      <c r="C842" s="481" t="str">
        <v>Uzbekistan</v>
      </c>
      <c r="D842" s="481" t="str">
        <v>Germany</v>
      </c>
      <c r="E842" s="481" t="str">
        <v>Egypt</v>
      </c>
      <c r="F842" s="481" t="str">
        <v>Mexico</v>
      </c>
      <c r="G842" s="481" t="str">
        <v>Canada</v>
      </c>
      <c r="H842" s="481" t="str">
        <v>Morocco</v>
      </c>
      <c r="I842" s="481" t="str">
        <v>USA</v>
      </c>
      <c r="J842" s="481" t="str">
        <v>Germany</v>
      </c>
      <c r="K842" s="481" t="str">
        <v>Netherlands</v>
      </c>
      <c r="L842" s="481" t="str">
        <v>Belgium</v>
      </c>
      <c r="M842" s="481" t="str">
        <v>Spain</v>
      </c>
      <c r="N842" s="481" t="str">
        <v>France</v>
      </c>
      <c r="O842" s="481" t="str">
        <v>Argentina</v>
      </c>
      <c r="P842" s="481" t="str">
        <v>Portugal</v>
      </c>
      <c r="Q842" s="490" t="str">
        <v>Croatia</v>
      </c>
    </row>
    <row r="843" spans="1:17" x14ac:dyDescent="0.2">
      <c r="A843" s="489">
        <v>840</v>
      </c>
      <c r="B843" s="481" t="str">
        <v>France</v>
      </c>
      <c r="C843" s="481" t="str">
        <v>Argentina</v>
      </c>
      <c r="D843" s="481" t="str">
        <v>Spain</v>
      </c>
      <c r="E843" s="481" t="str">
        <v>Portugal</v>
      </c>
      <c r="F843" s="481" t="str">
        <v>Korea Republic</v>
      </c>
      <c r="G843" s="481" t="str">
        <v>Bosnia-Herzegovina</v>
      </c>
      <c r="H843" s="481" t="str">
        <v>Brazil</v>
      </c>
      <c r="I843" s="481" t="str">
        <v>Australia</v>
      </c>
      <c r="J843" s="481" t="str">
        <v>Germany</v>
      </c>
      <c r="K843" s="481" t="str">
        <v>Japan</v>
      </c>
      <c r="L843" s="481" t="str">
        <v>Belgium</v>
      </c>
      <c r="M843" s="481" t="str">
        <v>Spain</v>
      </c>
      <c r="N843" s="481" t="str">
        <v>Iraq</v>
      </c>
      <c r="O843" s="481" t="str">
        <v>Argentina</v>
      </c>
      <c r="P843" s="481" t="str">
        <v>Portugal</v>
      </c>
      <c r="Q843" s="490" t="str">
        <v>England</v>
      </c>
    </row>
    <row r="844" spans="1:17" x14ac:dyDescent="0.2">
      <c r="A844" s="489">
        <v>841</v>
      </c>
      <c r="B844" s="481" t="str">
        <v>Brazil</v>
      </c>
      <c r="C844" s="481" t="str">
        <v>Uruguay</v>
      </c>
      <c r="D844" s="481" t="str">
        <v>Switzerland</v>
      </c>
      <c r="E844" s="481" t="str">
        <v>Netherlands</v>
      </c>
      <c r="F844" s="481" t="str">
        <v>Mexico</v>
      </c>
      <c r="G844" s="481" t="str">
        <v>Qatar</v>
      </c>
      <c r="H844" s="481" t="str">
        <v>Morocco</v>
      </c>
      <c r="I844" s="481" t="str">
        <v>Australia</v>
      </c>
      <c r="J844" s="481" t="str">
        <v>Germany</v>
      </c>
      <c r="K844" s="481" t="str">
        <v>Japan</v>
      </c>
      <c r="L844" s="481" t="str">
        <v>IR Iran</v>
      </c>
      <c r="M844" s="481" t="str">
        <v>Spain</v>
      </c>
      <c r="N844" s="481" t="str">
        <v>Norway</v>
      </c>
      <c r="O844" s="481" t="str">
        <v>Argentina</v>
      </c>
      <c r="P844" s="481" t="str">
        <v>Congo DR</v>
      </c>
      <c r="Q844" s="490" t="str">
        <v>England</v>
      </c>
    </row>
    <row r="845" spans="1:17" x14ac:dyDescent="0.2">
      <c r="A845" s="489">
        <v>842</v>
      </c>
      <c r="B845" s="481" t="str">
        <v>Spain</v>
      </c>
      <c r="C845" s="481" t="str">
        <v>Uruguay</v>
      </c>
      <c r="D845" s="481" t="str">
        <v>Saudi Arabia</v>
      </c>
      <c r="E845" s="481" t="str">
        <v>Ecuador</v>
      </c>
      <c r="F845" s="481" t="str">
        <v>Mexico</v>
      </c>
      <c r="G845" s="481" t="str">
        <v>Qatar</v>
      </c>
      <c r="H845" s="481" t="str">
        <v>Brazil</v>
      </c>
      <c r="I845" s="481" t="str">
        <v>Australia</v>
      </c>
      <c r="J845" s="481" t="str">
        <v>Ecuador</v>
      </c>
      <c r="K845" s="481" t="str">
        <v>Sweden</v>
      </c>
      <c r="L845" s="481" t="str">
        <v>Belgium</v>
      </c>
      <c r="M845" s="481" t="str">
        <v>Spain</v>
      </c>
      <c r="N845" s="481" t="str">
        <v>France</v>
      </c>
      <c r="O845" s="481" t="str">
        <v>Austria</v>
      </c>
      <c r="P845" s="481" t="str">
        <v>Colombia</v>
      </c>
      <c r="Q845" s="490" t="str">
        <v>England</v>
      </c>
    </row>
    <row r="846" spans="1:17" x14ac:dyDescent="0.2">
      <c r="A846" s="489">
        <v>843</v>
      </c>
      <c r="B846" s="481" t="str">
        <v>Argentina</v>
      </c>
      <c r="C846" s="481" t="str">
        <v>Colombia</v>
      </c>
      <c r="D846" s="481" t="str">
        <v>France</v>
      </c>
      <c r="E846" s="481" t="str">
        <v>Croatia</v>
      </c>
      <c r="F846" s="481" t="str">
        <v>Mexico</v>
      </c>
      <c r="G846" s="481" t="str">
        <v>Qatar</v>
      </c>
      <c r="H846" s="481" t="str">
        <v>Brazil</v>
      </c>
      <c r="I846" s="481" t="str">
        <v>USA</v>
      </c>
      <c r="J846" s="481" t="str">
        <v>Germany</v>
      </c>
      <c r="K846" s="481" t="str">
        <v>Netherlands</v>
      </c>
      <c r="L846" s="481" t="str">
        <v>Egypt</v>
      </c>
      <c r="M846" s="481" t="str">
        <v>Spain</v>
      </c>
      <c r="N846" s="481" t="str">
        <v>France</v>
      </c>
      <c r="O846" s="481" t="str">
        <v>Argentina</v>
      </c>
      <c r="P846" s="481" t="str">
        <v>Portugal</v>
      </c>
      <c r="Q846" s="490" t="str">
        <v>England</v>
      </c>
    </row>
    <row r="847" spans="1:17" x14ac:dyDescent="0.2">
      <c r="A847" s="489">
        <v>844</v>
      </c>
      <c r="B847" s="481" t="str">
        <v>Portugal</v>
      </c>
      <c r="C847" s="481" t="str">
        <v>Croatia</v>
      </c>
      <c r="D847" s="481" t="str">
        <v>Brazil</v>
      </c>
      <c r="E847" s="481" t="str">
        <v>Germany</v>
      </c>
      <c r="F847" s="481" t="str">
        <v>Mexico</v>
      </c>
      <c r="G847" s="481" t="str">
        <v>Switzerland</v>
      </c>
      <c r="H847" s="481" t="str">
        <v>Brazil</v>
      </c>
      <c r="I847" s="481" t="str">
        <v>USA</v>
      </c>
      <c r="J847" s="481" t="str">
        <v>Germany</v>
      </c>
      <c r="K847" s="481" t="str">
        <v>Japan</v>
      </c>
      <c r="L847" s="481" t="str">
        <v>Egypt</v>
      </c>
      <c r="M847" s="481" t="str">
        <v>Spain</v>
      </c>
      <c r="N847" s="481" t="str">
        <v>France</v>
      </c>
      <c r="O847" s="481" t="str">
        <v>Argentina</v>
      </c>
      <c r="P847" s="481" t="str">
        <v>Colombia</v>
      </c>
      <c r="Q847" s="490" t="str">
        <v>England</v>
      </c>
    </row>
    <row r="848" spans="1:17" x14ac:dyDescent="0.2">
      <c r="A848" s="489">
        <v>845</v>
      </c>
      <c r="B848" s="481" t="str">
        <v>France</v>
      </c>
      <c r="C848" s="481" t="str">
        <v>Argentina</v>
      </c>
      <c r="D848" s="481" t="str">
        <v>Spain</v>
      </c>
      <c r="E848" s="481" t="str">
        <v>Ghana</v>
      </c>
      <c r="F848" s="481" t="str">
        <v>Mexico</v>
      </c>
      <c r="G848" s="481" t="str">
        <v>Canada</v>
      </c>
      <c r="H848" s="481" t="str">
        <v>Morocco</v>
      </c>
      <c r="I848" s="481" t="str">
        <v>USA</v>
      </c>
      <c r="J848" s="481" t="str">
        <v>Germany</v>
      </c>
      <c r="K848" s="481" t="str">
        <v>Netherlands</v>
      </c>
      <c r="L848" s="481" t="str">
        <v>Belgium</v>
      </c>
      <c r="M848" s="481" t="str">
        <v>Saudi Arabia</v>
      </c>
      <c r="N848" s="481" t="str">
        <v>Norway</v>
      </c>
      <c r="O848" s="481" t="str">
        <v>Argentina</v>
      </c>
      <c r="P848" s="481" t="str">
        <v>Portugal</v>
      </c>
      <c r="Q848" s="490" t="str">
        <v>Croatia</v>
      </c>
    </row>
    <row r="849" spans="1:17" x14ac:dyDescent="0.2">
      <c r="A849" s="489">
        <v>846</v>
      </c>
      <c r="B849" s="481" t="str">
        <v>Croatia</v>
      </c>
      <c r="C849" s="481" t="str">
        <v>Korea Republic</v>
      </c>
      <c r="D849" s="481" t="str">
        <v>France</v>
      </c>
      <c r="E849" s="481" t="str">
        <v>IR Iran</v>
      </c>
      <c r="F849" s="481" t="str">
        <v>Mexico</v>
      </c>
      <c r="G849" s="481" t="str">
        <v>Qatar</v>
      </c>
      <c r="H849" s="481" t="str">
        <v>Brazil</v>
      </c>
      <c r="I849" s="481" t="str">
        <v>Australia</v>
      </c>
      <c r="J849" s="481" t="str">
        <v>Germany</v>
      </c>
      <c r="K849" s="481" t="str">
        <v>Japan</v>
      </c>
      <c r="L849" s="481" t="str">
        <v>Egypt</v>
      </c>
      <c r="M849" s="481" t="str">
        <v>Spain</v>
      </c>
      <c r="N849" s="481" t="str">
        <v>France</v>
      </c>
      <c r="O849" s="481" t="str">
        <v>Argentina</v>
      </c>
      <c r="P849" s="481" t="str">
        <v>Colombia</v>
      </c>
      <c r="Q849" s="490" t="str">
        <v>Panama</v>
      </c>
    </row>
    <row r="850" spans="1:17" x14ac:dyDescent="0.2">
      <c r="A850" s="489">
        <v>847</v>
      </c>
      <c r="B850" s="481" t="str">
        <v>Brazil</v>
      </c>
      <c r="C850" s="481" t="str">
        <v>Senegal</v>
      </c>
      <c r="D850" s="481" t="str">
        <v>Belgium</v>
      </c>
      <c r="E850" s="481" t="str">
        <v>Spain</v>
      </c>
      <c r="F850" s="481" t="str">
        <v>Korea Republic</v>
      </c>
      <c r="G850" s="481" t="str">
        <v>Switzerland</v>
      </c>
      <c r="H850" s="481" t="str">
        <v>Brazil</v>
      </c>
      <c r="I850" s="481" t="str">
        <v>Turkiye</v>
      </c>
      <c r="J850" s="481" t="str">
        <v>Germany</v>
      </c>
      <c r="K850" s="481" t="str">
        <v>Sweden</v>
      </c>
      <c r="L850" s="481" t="str">
        <v>Egypt</v>
      </c>
      <c r="M850" s="481" t="str">
        <v>Spain</v>
      </c>
      <c r="N850" s="481" t="str">
        <v>France</v>
      </c>
      <c r="O850" s="481" t="str">
        <v>Argentina</v>
      </c>
      <c r="P850" s="481" t="str">
        <v>Portugal</v>
      </c>
      <c r="Q850" s="490" t="str">
        <v>Croatia</v>
      </c>
    </row>
    <row r="851" spans="1:17" x14ac:dyDescent="0.2">
      <c r="A851" s="489">
        <v>848</v>
      </c>
      <c r="B851" s="481" t="str">
        <v>Netherlands</v>
      </c>
      <c r="C851" s="481" t="str">
        <v>Brazil</v>
      </c>
      <c r="D851" s="481" t="str">
        <v>Argentina</v>
      </c>
      <c r="E851" s="481" t="str">
        <v>Colombia</v>
      </c>
      <c r="F851" s="481" t="str">
        <v>Korea Republic</v>
      </c>
      <c r="G851" s="481" t="str">
        <v>Switzerland</v>
      </c>
      <c r="H851" s="481" t="str">
        <v>Brazil</v>
      </c>
      <c r="I851" s="481" t="str">
        <v>USA</v>
      </c>
      <c r="J851" s="481" t="str">
        <v>Germany</v>
      </c>
      <c r="K851" s="481" t="str">
        <v>Japan</v>
      </c>
      <c r="L851" s="481" t="str">
        <v>Egypt</v>
      </c>
      <c r="M851" s="481" t="str">
        <v>Spain</v>
      </c>
      <c r="N851" s="481" t="str">
        <v>France</v>
      </c>
      <c r="O851" s="481" t="str">
        <v>Argentina</v>
      </c>
      <c r="P851" s="481" t="str">
        <v>Portugal</v>
      </c>
      <c r="Q851" s="490" t="str">
        <v>Croatia</v>
      </c>
    </row>
    <row r="852" spans="1:17" x14ac:dyDescent="0.2">
      <c r="A852" s="489">
        <v>849</v>
      </c>
      <c r="B852" s="481" t="str">
        <v>Belgium</v>
      </c>
      <c r="C852" s="481" t="str">
        <v>France</v>
      </c>
      <c r="D852" s="481" t="str">
        <v>Portugal</v>
      </c>
      <c r="E852" s="481" t="str">
        <v>Japan</v>
      </c>
      <c r="F852" s="481" t="str">
        <v>Mexico</v>
      </c>
      <c r="G852" s="481" t="str">
        <v>Bosnia-Herzegovina</v>
      </c>
      <c r="H852" s="481" t="str">
        <v>Brazil</v>
      </c>
      <c r="I852" s="481" t="str">
        <v>USA</v>
      </c>
      <c r="J852" s="481" t="str">
        <v>Germany</v>
      </c>
      <c r="K852" s="481" t="str">
        <v>Japan</v>
      </c>
      <c r="L852" s="481" t="str">
        <v>Egypt</v>
      </c>
      <c r="M852" s="481" t="str">
        <v>Uruguay</v>
      </c>
      <c r="N852" s="481" t="str">
        <v>France</v>
      </c>
      <c r="O852" s="481" t="str">
        <v>Algeria</v>
      </c>
      <c r="P852" s="481" t="str">
        <v>Colombia</v>
      </c>
      <c r="Q852" s="490" t="str">
        <v>Croatia</v>
      </c>
    </row>
    <row r="853" spans="1:17" x14ac:dyDescent="0.2">
      <c r="A853" s="489">
        <v>850</v>
      </c>
      <c r="B853" s="481" t="str">
        <v>Spain</v>
      </c>
      <c r="C853" s="481" t="str">
        <v>Portugal</v>
      </c>
      <c r="D853" s="481" t="str">
        <v>France</v>
      </c>
      <c r="E853" s="481" t="str">
        <v>Belgium</v>
      </c>
      <c r="F853" s="481" t="str">
        <v>Mexico</v>
      </c>
      <c r="G853" s="481" t="str">
        <v>Switzerland</v>
      </c>
      <c r="H853" s="481" t="str">
        <v>Morocco</v>
      </c>
      <c r="I853" s="481" t="str">
        <v>USA</v>
      </c>
      <c r="J853" s="481" t="str">
        <v>Germany</v>
      </c>
      <c r="K853" s="481" t="str">
        <v>Sweden</v>
      </c>
      <c r="L853" s="481" t="str">
        <v>Belgium</v>
      </c>
      <c r="M853" s="481" t="str">
        <v>Spain</v>
      </c>
      <c r="N853" s="481" t="str">
        <v>France</v>
      </c>
      <c r="O853" s="481" t="str">
        <v>Argentina</v>
      </c>
      <c r="P853" s="481" t="str">
        <v>Portugal</v>
      </c>
      <c r="Q853" s="490" t="str">
        <v>England</v>
      </c>
    </row>
    <row r="854" spans="1:17" x14ac:dyDescent="0.2">
      <c r="A854" s="489">
        <v>851</v>
      </c>
      <c r="B854" s="481" t="str">
        <v>Belgium</v>
      </c>
      <c r="C854" s="481" t="str">
        <v>Argentina</v>
      </c>
      <c r="D854" s="481" t="str">
        <v>Portugal</v>
      </c>
      <c r="E854" s="481" t="str">
        <v>Australia</v>
      </c>
      <c r="F854" s="481" t="str">
        <v>Czechia</v>
      </c>
      <c r="G854" s="481" t="str">
        <v>Qatar</v>
      </c>
      <c r="H854" s="481" t="str">
        <v>Morocco</v>
      </c>
      <c r="I854" s="481" t="str">
        <v>Australia</v>
      </c>
      <c r="J854" s="481" t="str">
        <v>Germany</v>
      </c>
      <c r="K854" s="481" t="str">
        <v>Netherlands</v>
      </c>
      <c r="L854" s="481" t="str">
        <v>Belgium</v>
      </c>
      <c r="M854" s="481" t="str">
        <v>Spain</v>
      </c>
      <c r="N854" s="481" t="str">
        <v>Norway</v>
      </c>
      <c r="O854" s="481" t="str">
        <v>Austria</v>
      </c>
      <c r="P854" s="481" t="str">
        <v>Portugal</v>
      </c>
      <c r="Q854" s="490" t="str">
        <v>England</v>
      </c>
    </row>
    <row r="855" spans="1:17" x14ac:dyDescent="0.2">
      <c r="A855" s="489">
        <v>852</v>
      </c>
      <c r="B855" s="481" t="str">
        <v>Belgium</v>
      </c>
      <c r="C855" s="481" t="str">
        <v>Portugal</v>
      </c>
      <c r="D855" s="481" t="str">
        <v>Spain</v>
      </c>
      <c r="E855" s="481" t="str">
        <v>Australia</v>
      </c>
      <c r="F855" s="481" t="str">
        <v>Mexico</v>
      </c>
      <c r="G855" s="481" t="str">
        <v>Switzerland</v>
      </c>
      <c r="H855" s="481" t="str">
        <v>Morocco</v>
      </c>
      <c r="I855" s="481" t="str">
        <v>USA</v>
      </c>
      <c r="J855" s="481" t="str">
        <v>Germany</v>
      </c>
      <c r="K855" s="481" t="str">
        <v>Netherlands</v>
      </c>
      <c r="L855" s="481" t="str">
        <v>IR Iran</v>
      </c>
      <c r="M855" s="481" t="str">
        <v>Spain</v>
      </c>
      <c r="N855" s="481" t="str">
        <v>France</v>
      </c>
      <c r="O855" s="481" t="str">
        <v>Austria</v>
      </c>
      <c r="P855" s="481" t="str">
        <v>Portugal</v>
      </c>
      <c r="Q855" s="490" t="str">
        <v>England</v>
      </c>
    </row>
    <row r="856" spans="1:17" x14ac:dyDescent="0.2">
      <c r="A856" s="489">
        <v>853</v>
      </c>
      <c r="B856" s="481" t="str">
        <v>Korea Republic</v>
      </c>
      <c r="C856" s="481" t="str">
        <v>Morocco</v>
      </c>
      <c r="D856" s="481" t="str">
        <v>Uruguay</v>
      </c>
      <c r="E856" s="481" t="str">
        <v>Brazil</v>
      </c>
      <c r="F856" s="481" t="str">
        <v>Mexico</v>
      </c>
      <c r="G856" s="481" t="str">
        <v>Switzerland</v>
      </c>
      <c r="H856" s="481" t="str">
        <v>Brazil</v>
      </c>
      <c r="I856" s="481" t="str">
        <v>USA</v>
      </c>
      <c r="J856" s="481" t="str">
        <v>Germany</v>
      </c>
      <c r="K856" s="481" t="str">
        <v>Netherlands</v>
      </c>
      <c r="L856" s="481" t="str">
        <v>Belgium</v>
      </c>
      <c r="M856" s="481" t="str">
        <v>Uruguay</v>
      </c>
      <c r="N856" s="481" t="str">
        <v>France</v>
      </c>
      <c r="O856" s="481" t="str">
        <v>Argentina</v>
      </c>
      <c r="P856" s="481" t="str">
        <v>Portugal</v>
      </c>
      <c r="Q856" s="490" t="str">
        <v>England</v>
      </c>
    </row>
    <row r="857" spans="1:17" x14ac:dyDescent="0.2">
      <c r="A857" s="489">
        <v>854</v>
      </c>
      <c r="B857" s="481" t="str">
        <v>Netherlands</v>
      </c>
      <c r="C857" s="481" t="str">
        <v>Brazil</v>
      </c>
      <c r="D857" s="481" t="str">
        <v>Netherlands</v>
      </c>
      <c r="E857" s="481" t="str">
        <v>Brazil</v>
      </c>
      <c r="F857" s="481" t="str">
        <v>Mexico</v>
      </c>
      <c r="G857" s="481" t="str">
        <v>Switzerland</v>
      </c>
      <c r="H857" s="481" t="str">
        <v>Morocco</v>
      </c>
      <c r="I857" s="481" t="str">
        <v>USA</v>
      </c>
      <c r="J857" s="481" t="str">
        <v>Ecuador</v>
      </c>
      <c r="K857" s="481" t="str">
        <v>Sweden</v>
      </c>
      <c r="L857" s="481" t="str">
        <v>Belgium</v>
      </c>
      <c r="M857" s="481" t="str">
        <v>Spain</v>
      </c>
      <c r="N857" s="481" t="str">
        <v>France</v>
      </c>
      <c r="O857" s="481" t="str">
        <v>Argentina</v>
      </c>
      <c r="P857" s="481" t="str">
        <v>Portugal</v>
      </c>
      <c r="Q857" s="490" t="str">
        <v>Croatia</v>
      </c>
    </row>
    <row r="858" spans="1:17" x14ac:dyDescent="0.2">
      <c r="A858" s="489">
        <v>855</v>
      </c>
      <c r="B858" s="481" t="str">
        <v>England</v>
      </c>
      <c r="C858" s="481" t="str">
        <v>England</v>
      </c>
      <c r="D858" s="481" t="str">
        <v>Mexico</v>
      </c>
      <c r="E858" s="481" t="str">
        <v>England</v>
      </c>
      <c r="F858" s="481" t="str">
        <v>Mexico</v>
      </c>
      <c r="G858" s="481" t="str">
        <v>Qatar</v>
      </c>
      <c r="H858" s="481" t="str">
        <v>Morocco</v>
      </c>
      <c r="I858" s="481" t="str">
        <v>Australia</v>
      </c>
      <c r="J858" s="481" t="str">
        <v>Germany</v>
      </c>
      <c r="K858" s="481" t="str">
        <v>Netherlands</v>
      </c>
      <c r="L858" s="481" t="str">
        <v>Belgium</v>
      </c>
      <c r="M858" s="481" t="str">
        <v>Uruguay</v>
      </c>
      <c r="N858" s="481" t="str">
        <v>Senegal</v>
      </c>
      <c r="O858" s="481" t="str">
        <v>Argentina</v>
      </c>
      <c r="P858" s="481" t="str">
        <v>Colombia</v>
      </c>
      <c r="Q858" s="490" t="str">
        <v>Croatia</v>
      </c>
    </row>
    <row r="859" spans="1:17" x14ac:dyDescent="0.2">
      <c r="A859" s="489">
        <v>856</v>
      </c>
      <c r="B859" s="481" t="str">
        <v>Brazil</v>
      </c>
      <c r="C859" s="481" t="str">
        <v>Japan</v>
      </c>
      <c r="D859" s="481" t="str">
        <v>Brazil</v>
      </c>
      <c r="E859" s="481" t="str">
        <v>Argentina</v>
      </c>
      <c r="F859" s="481" t="str">
        <v>Mexico</v>
      </c>
      <c r="G859" s="481" t="str">
        <v>Canada</v>
      </c>
      <c r="H859" s="481" t="str">
        <v>Brazil</v>
      </c>
      <c r="I859" s="481" t="str">
        <v>Australia</v>
      </c>
      <c r="J859" s="481" t="str">
        <v>Germany</v>
      </c>
      <c r="K859" s="481" t="str">
        <v>Japan</v>
      </c>
      <c r="L859" s="481" t="str">
        <v>IR Iran</v>
      </c>
      <c r="M859" s="481" t="str">
        <v>Saudi Arabia</v>
      </c>
      <c r="N859" s="481" t="str">
        <v>Norway</v>
      </c>
      <c r="O859" s="481" t="str">
        <v>Argentina</v>
      </c>
      <c r="P859" s="481" t="str">
        <v>Congo DR</v>
      </c>
      <c r="Q859" s="490" t="str">
        <v>Panama</v>
      </c>
    </row>
    <row r="860" spans="1:17" x14ac:dyDescent="0.2">
      <c r="A860" s="489">
        <v>857</v>
      </c>
      <c r="B860" s="481" t="str">
        <v>Netherlands</v>
      </c>
      <c r="C860" s="481" t="str">
        <v>Portugal</v>
      </c>
      <c r="D860" s="481" t="str">
        <v>Brazil</v>
      </c>
      <c r="E860" s="481" t="str">
        <v>Belgium</v>
      </c>
      <c r="F860" s="481" t="str">
        <v>Korea Republic</v>
      </c>
      <c r="G860" s="481" t="str">
        <v>Canada</v>
      </c>
      <c r="H860" s="481" t="str">
        <v>Morocco</v>
      </c>
      <c r="I860" s="481" t="str">
        <v>Australia</v>
      </c>
      <c r="J860" s="481" t="str">
        <v>Ecuador</v>
      </c>
      <c r="K860" s="481" t="str">
        <v>Netherlands</v>
      </c>
      <c r="L860" s="481" t="str">
        <v>IR Iran</v>
      </c>
      <c r="M860" s="481" t="str">
        <v>Spain</v>
      </c>
      <c r="N860" s="481" t="str">
        <v>Senegal</v>
      </c>
      <c r="O860" s="481" t="str">
        <v>Argentina</v>
      </c>
      <c r="P860" s="481" t="str">
        <v>Portugal</v>
      </c>
      <c r="Q860" s="490" t="str">
        <v>Panama</v>
      </c>
    </row>
    <row r="861" spans="1:17" x14ac:dyDescent="0.2">
      <c r="A861" s="489">
        <v>858</v>
      </c>
      <c r="B861" s="481" t="str">
        <v>Austria</v>
      </c>
      <c r="C861" s="481" t="str">
        <v>Uruguay</v>
      </c>
      <c r="D861" s="481" t="str">
        <v>Spain</v>
      </c>
      <c r="E861" s="481" t="str">
        <v>Brazil</v>
      </c>
      <c r="F861" s="481" t="str">
        <v>Mexico</v>
      </c>
      <c r="G861" s="481" t="str">
        <v>Switzerland</v>
      </c>
      <c r="H861" s="481" t="str">
        <v>Morocco</v>
      </c>
      <c r="I861" s="481" t="str">
        <v>Turkiye</v>
      </c>
      <c r="J861" s="481" t="str">
        <v>Germany</v>
      </c>
      <c r="K861" s="481" t="str">
        <v>Sweden</v>
      </c>
      <c r="L861" s="481" t="str">
        <v>Belgium</v>
      </c>
      <c r="M861" s="481" t="str">
        <v>Uruguay</v>
      </c>
      <c r="N861" s="481" t="str">
        <v>France</v>
      </c>
      <c r="O861" s="481" t="str">
        <v>Argentina</v>
      </c>
      <c r="P861" s="481" t="str">
        <v>Colombia</v>
      </c>
      <c r="Q861" s="490" t="str">
        <v>Croatia</v>
      </c>
    </row>
    <row r="862" spans="1:17" x14ac:dyDescent="0.2">
      <c r="A862" s="489">
        <v>859</v>
      </c>
      <c r="B862" s="481" t="str">
        <v>USA</v>
      </c>
      <c r="C862" s="481" t="str">
        <v>Morocco</v>
      </c>
      <c r="D862" s="481" t="str">
        <v>Morocco</v>
      </c>
      <c r="E862" s="481" t="str">
        <v>Germany</v>
      </c>
      <c r="F862" s="481" t="str">
        <v>Korea Republic</v>
      </c>
      <c r="G862" s="481" t="str">
        <v>Bosnia-Herzegovina</v>
      </c>
      <c r="H862" s="481" t="str">
        <v>Morocco</v>
      </c>
      <c r="I862" s="481" t="str">
        <v>Australia</v>
      </c>
      <c r="J862" s="481" t="str">
        <v>Germany</v>
      </c>
      <c r="K862" s="481" t="str">
        <v>Netherlands</v>
      </c>
      <c r="L862" s="481" t="str">
        <v>Belgium</v>
      </c>
      <c r="M862" s="481" t="str">
        <v>Spain</v>
      </c>
      <c r="N862" s="481" t="str">
        <v>Senegal</v>
      </c>
      <c r="O862" s="481" t="str">
        <v>Austria</v>
      </c>
      <c r="P862" s="481" t="str">
        <v>Colombia</v>
      </c>
      <c r="Q862" s="490" t="str">
        <v>Croatia</v>
      </c>
    </row>
    <row r="863" spans="1:17" x14ac:dyDescent="0.2">
      <c r="A863" s="489">
        <v>860</v>
      </c>
      <c r="B863" s="481" t="str">
        <v>Germany</v>
      </c>
      <c r="C863" s="481" t="str">
        <v>Portugal</v>
      </c>
      <c r="D863" s="481" t="str">
        <v>Colombia</v>
      </c>
      <c r="E863" s="481" t="str">
        <v>France</v>
      </c>
      <c r="F863" s="481" t="str">
        <v>Mexico</v>
      </c>
      <c r="G863" s="481" t="str">
        <v>Switzerland</v>
      </c>
      <c r="H863" s="481" t="str">
        <v>Morocco</v>
      </c>
      <c r="I863" s="481" t="str">
        <v>USA</v>
      </c>
      <c r="J863" s="481" t="str">
        <v>Germany</v>
      </c>
      <c r="K863" s="481" t="str">
        <v>Sweden</v>
      </c>
      <c r="L863" s="481" t="str">
        <v>Belgium</v>
      </c>
      <c r="M863" s="481" t="str">
        <v>Spain</v>
      </c>
      <c r="N863" s="481" t="str">
        <v>Iraq</v>
      </c>
      <c r="O863" s="481" t="str">
        <v>Argentina</v>
      </c>
      <c r="P863" s="481" t="str">
        <v>Congo DR</v>
      </c>
      <c r="Q863" s="490" t="str">
        <v>Croatia</v>
      </c>
    </row>
    <row r="864" spans="1:17" x14ac:dyDescent="0.2">
      <c r="A864" s="489">
        <v>861</v>
      </c>
      <c r="B864" s="481" t="str">
        <v>England</v>
      </c>
      <c r="C864" s="481" t="str">
        <v>Spain</v>
      </c>
      <c r="D864" s="481" t="str">
        <v>France</v>
      </c>
      <c r="E864" s="481" t="str">
        <v>Portugal</v>
      </c>
      <c r="F864" s="481" t="str">
        <v>Mexico</v>
      </c>
      <c r="G864" s="481" t="str">
        <v>Canada</v>
      </c>
      <c r="H864" s="481" t="str">
        <v>Brazil</v>
      </c>
      <c r="I864" s="481" t="str">
        <v>Australia</v>
      </c>
      <c r="J864" s="481" t="str">
        <v>Ecuador</v>
      </c>
      <c r="K864" s="481" t="str">
        <v>Netherlands</v>
      </c>
      <c r="L864" s="481" t="str">
        <v>Egypt</v>
      </c>
      <c r="M864" s="481" t="str">
        <v>Cabo Verde</v>
      </c>
      <c r="N864" s="481" t="str">
        <v>France</v>
      </c>
      <c r="O864" s="481" t="str">
        <v>Algeria</v>
      </c>
      <c r="P864" s="481" t="str">
        <v>Portugal</v>
      </c>
      <c r="Q864" s="490" t="str">
        <v>England</v>
      </c>
    </row>
    <row r="865" spans="1:17" x14ac:dyDescent="0.2">
      <c r="A865" s="489">
        <v>862</v>
      </c>
      <c r="B865" s="481" t="str">
        <v>Colombia</v>
      </c>
      <c r="C865" s="481" t="str">
        <v>Croatia</v>
      </c>
      <c r="D865" s="481" t="str">
        <v>France</v>
      </c>
      <c r="E865" s="481" t="str">
        <v>IR Iran</v>
      </c>
      <c r="F865" s="481" t="str">
        <v>Korea Republic</v>
      </c>
      <c r="G865" s="481" t="str">
        <v>Qatar</v>
      </c>
      <c r="H865" s="481" t="str">
        <v>Brazil</v>
      </c>
      <c r="I865" s="481" t="str">
        <v>Paraguay</v>
      </c>
      <c r="J865" s="481" t="str">
        <v>Germany</v>
      </c>
      <c r="K865" s="481" t="str">
        <v>Netherlands</v>
      </c>
      <c r="L865" s="481" t="str">
        <v>Belgium</v>
      </c>
      <c r="M865" s="481" t="str">
        <v>Spain</v>
      </c>
      <c r="N865" s="481" t="str">
        <v>France</v>
      </c>
      <c r="O865" s="481" t="str">
        <v>Austria</v>
      </c>
      <c r="P865" s="481" t="str">
        <v>Portugal</v>
      </c>
      <c r="Q865" s="490" t="str">
        <v>England</v>
      </c>
    </row>
    <row r="866" spans="1:17" x14ac:dyDescent="0.2">
      <c r="A866" s="489">
        <v>863</v>
      </c>
      <c r="B866" s="481" t="str">
        <v>France</v>
      </c>
      <c r="C866" s="481" t="str">
        <v>Switzerland</v>
      </c>
      <c r="D866" s="481" t="str">
        <v>Argentina</v>
      </c>
      <c r="E866" s="481" t="str">
        <v>Spain</v>
      </c>
      <c r="F866" s="481" t="str">
        <v>Mexico</v>
      </c>
      <c r="G866" s="481" t="str">
        <v>Canada</v>
      </c>
      <c r="H866" s="481" t="str">
        <v>Morocco</v>
      </c>
      <c r="I866" s="481" t="str">
        <v>USA</v>
      </c>
      <c r="J866" s="481" t="str">
        <v>Germany</v>
      </c>
      <c r="K866" s="481" t="str">
        <v>Netherlands</v>
      </c>
      <c r="L866" s="481" t="str">
        <v>IR Iran</v>
      </c>
      <c r="M866" s="481" t="str">
        <v>Spain</v>
      </c>
      <c r="N866" s="481" t="str">
        <v>France</v>
      </c>
      <c r="O866" s="481" t="str">
        <v>Algeria</v>
      </c>
      <c r="P866" s="481" t="str">
        <v>Portugal</v>
      </c>
      <c r="Q866" s="490" t="str">
        <v>England</v>
      </c>
    </row>
    <row r="867" spans="1:17" x14ac:dyDescent="0.2">
      <c r="A867" s="489">
        <v>864</v>
      </c>
      <c r="B867" s="481" t="str">
        <v>Spain</v>
      </c>
      <c r="C867" s="481" t="str">
        <v>France</v>
      </c>
      <c r="D867" s="481" t="str">
        <v>Portugal</v>
      </c>
      <c r="E867" s="481" t="str">
        <v>Belgium</v>
      </c>
      <c r="F867" s="481" t="str">
        <v>Korea Republic</v>
      </c>
      <c r="G867" s="481" t="str">
        <v>Switzerland</v>
      </c>
      <c r="H867" s="481" t="str">
        <v>Brazil</v>
      </c>
      <c r="I867" s="481" t="str">
        <v>Turkiye</v>
      </c>
      <c r="J867" s="481" t="str">
        <v>Germany</v>
      </c>
      <c r="K867" s="481" t="str">
        <v>Sweden</v>
      </c>
      <c r="L867" s="481" t="str">
        <v>Belgium</v>
      </c>
      <c r="M867" s="481" t="str">
        <v>Spain</v>
      </c>
      <c r="N867" s="481" t="str">
        <v>France</v>
      </c>
      <c r="O867" s="481" t="str">
        <v>Argentina</v>
      </c>
      <c r="P867" s="481" t="str">
        <v>Portugal</v>
      </c>
      <c r="Q867" s="490" t="str">
        <v>England</v>
      </c>
    </row>
    <row r="868" spans="1:17" x14ac:dyDescent="0.2">
      <c r="A868" s="489">
        <v>865</v>
      </c>
      <c r="B868" s="481" t="str">
        <v>IR Iran</v>
      </c>
      <c r="C868" s="481" t="str">
        <v>England</v>
      </c>
      <c r="D868" s="481" t="str">
        <v>Belgium</v>
      </c>
      <c r="E868" s="481" t="str">
        <v>Germany</v>
      </c>
      <c r="F868" s="481" t="str">
        <v>Mexico</v>
      </c>
      <c r="G868" s="481" t="str">
        <v>Qatar</v>
      </c>
      <c r="H868" s="481" t="str">
        <v>Brazil</v>
      </c>
      <c r="I868" s="481" t="str">
        <v>Turkiye</v>
      </c>
      <c r="J868" s="481" t="str">
        <v>Cote d'Ivorie</v>
      </c>
      <c r="K868" s="481" t="str">
        <v>Netherlands</v>
      </c>
      <c r="L868" s="481" t="str">
        <v>Belgium</v>
      </c>
      <c r="M868" s="481" t="str">
        <v>Spain</v>
      </c>
      <c r="N868" s="481" t="str">
        <v>France</v>
      </c>
      <c r="O868" s="481" t="str">
        <v>Argentina</v>
      </c>
      <c r="P868" s="481" t="str">
        <v>Colombia</v>
      </c>
      <c r="Q868" s="490" t="str">
        <v>England</v>
      </c>
    </row>
    <row r="869" spans="1:17" x14ac:dyDescent="0.2">
      <c r="A869" s="489">
        <v>866</v>
      </c>
      <c r="B869" s="481" t="str">
        <v>Brazil</v>
      </c>
      <c r="C869" s="481" t="str">
        <v>England</v>
      </c>
      <c r="D869" s="481" t="str">
        <v>Brazil</v>
      </c>
      <c r="E869" s="481" t="str">
        <v>Morocco</v>
      </c>
      <c r="F869" s="481" t="str">
        <v>Mexico</v>
      </c>
      <c r="G869" s="481" t="str">
        <v>Canada</v>
      </c>
      <c r="H869" s="481" t="str">
        <v>Brazil</v>
      </c>
      <c r="I869" s="481" t="str">
        <v>Turkiye</v>
      </c>
      <c r="J869" s="481" t="str">
        <v>Germany</v>
      </c>
      <c r="K869" s="481" t="str">
        <v>Netherlands</v>
      </c>
      <c r="L869" s="481" t="str">
        <v>IR Iran</v>
      </c>
      <c r="M869" s="481" t="str">
        <v>Uruguay</v>
      </c>
      <c r="N869" s="481" t="str">
        <v>France</v>
      </c>
      <c r="O869" s="481" t="str">
        <v>Algeria</v>
      </c>
      <c r="P869" s="481" t="str">
        <v>Portugal</v>
      </c>
      <c r="Q869" s="490" t="str">
        <v>England</v>
      </c>
    </row>
    <row r="870" spans="1:17" x14ac:dyDescent="0.2">
      <c r="A870" s="489">
        <v>867</v>
      </c>
      <c r="B870" s="481" t="str">
        <v>Argentina</v>
      </c>
      <c r="C870" s="481" t="str">
        <v>Argentina</v>
      </c>
      <c r="D870" s="481" t="str">
        <v>Australia</v>
      </c>
      <c r="E870" s="481" t="str">
        <v>Netherlands</v>
      </c>
      <c r="F870" s="481" t="str">
        <v>Mexico</v>
      </c>
      <c r="G870" s="481" t="str">
        <v>Canada</v>
      </c>
      <c r="H870" s="481" t="str">
        <v>Brazil</v>
      </c>
      <c r="I870" s="481" t="str">
        <v>Australia</v>
      </c>
      <c r="J870" s="481" t="str">
        <v>Cote d'Ivorie</v>
      </c>
      <c r="K870" s="481" t="str">
        <v>Netherlands</v>
      </c>
      <c r="L870" s="481" t="str">
        <v>Belgium</v>
      </c>
      <c r="M870" s="481" t="str">
        <v>Spain</v>
      </c>
      <c r="N870" s="481" t="str">
        <v>France</v>
      </c>
      <c r="O870" s="481" t="str">
        <v>Argentina</v>
      </c>
      <c r="P870" s="481" t="str">
        <v>Portugal</v>
      </c>
      <c r="Q870" s="490" t="str">
        <v>England</v>
      </c>
    </row>
    <row r="871" spans="1:17" x14ac:dyDescent="0.2">
      <c r="A871" s="489">
        <v>868</v>
      </c>
      <c r="B871" s="481" t="str">
        <v>Argentina</v>
      </c>
      <c r="C871" s="481" t="str">
        <v>Netherlands</v>
      </c>
      <c r="D871" s="481" t="str">
        <v>Sweden</v>
      </c>
      <c r="E871" s="481" t="str">
        <v>Morocco</v>
      </c>
      <c r="F871" s="481" t="str">
        <v>Korea Republic</v>
      </c>
      <c r="G871" s="481" t="str">
        <v>Switzerland</v>
      </c>
      <c r="H871" s="481" t="str">
        <v>Brazil</v>
      </c>
      <c r="I871" s="481" t="str">
        <v>USA</v>
      </c>
      <c r="J871" s="481" t="str">
        <v>Ecuador</v>
      </c>
      <c r="K871" s="481" t="str">
        <v>Japan</v>
      </c>
      <c r="L871" s="481" t="str">
        <v>New Zealand</v>
      </c>
      <c r="M871" s="481" t="str">
        <v>Spain</v>
      </c>
      <c r="N871" s="481" t="str">
        <v>France</v>
      </c>
      <c r="O871" s="481" t="str">
        <v>Austria</v>
      </c>
      <c r="P871" s="481" t="str">
        <v>Portugal</v>
      </c>
      <c r="Q871" s="490" t="str">
        <v>England</v>
      </c>
    </row>
    <row r="872" spans="1:17" x14ac:dyDescent="0.2">
      <c r="A872" s="489">
        <v>869</v>
      </c>
      <c r="B872" s="481" t="str">
        <v>Colombia</v>
      </c>
      <c r="C872" s="481" t="str">
        <v>Brazil</v>
      </c>
      <c r="D872" s="481" t="str">
        <v>England</v>
      </c>
      <c r="E872" s="481" t="str">
        <v>Netherlands</v>
      </c>
      <c r="F872" s="481" t="str">
        <v>Mexico</v>
      </c>
      <c r="G872" s="481" t="str">
        <v>Qatar</v>
      </c>
      <c r="H872" s="481" t="str">
        <v>Brazil</v>
      </c>
      <c r="I872" s="481" t="str">
        <v>USA</v>
      </c>
      <c r="J872" s="481" t="str">
        <v>Cote d'Ivorie</v>
      </c>
      <c r="K872" s="481" t="str">
        <v>Netherlands</v>
      </c>
      <c r="L872" s="481" t="str">
        <v>Egypt</v>
      </c>
      <c r="M872" s="481" t="str">
        <v>Uruguay</v>
      </c>
      <c r="N872" s="481" t="str">
        <v>France</v>
      </c>
      <c r="O872" s="481" t="str">
        <v>Algeria</v>
      </c>
      <c r="P872" s="481" t="str">
        <v>Colombia</v>
      </c>
      <c r="Q872" s="490" t="str">
        <v>England</v>
      </c>
    </row>
    <row r="873" spans="1:17" x14ac:dyDescent="0.2">
      <c r="A873" s="489">
        <v>870</v>
      </c>
      <c r="B873" s="481" t="str">
        <v>Belgium</v>
      </c>
      <c r="C873" s="481" t="str">
        <v>France</v>
      </c>
      <c r="D873" s="481" t="str">
        <v>Spain</v>
      </c>
      <c r="E873" s="481" t="str">
        <v>Croatia</v>
      </c>
      <c r="F873" s="481" t="str">
        <v>Mexico</v>
      </c>
      <c r="G873" s="481" t="str">
        <v>Switzerland</v>
      </c>
      <c r="H873" s="481" t="str">
        <v>Morocco</v>
      </c>
      <c r="I873" s="481" t="str">
        <v>USA</v>
      </c>
      <c r="J873" s="481" t="str">
        <v>Germany</v>
      </c>
      <c r="K873" s="481" t="str">
        <v>Japan</v>
      </c>
      <c r="L873" s="481" t="str">
        <v>Egypt</v>
      </c>
      <c r="M873" s="481" t="str">
        <v>Spain</v>
      </c>
      <c r="N873" s="481" t="str">
        <v>Senegal</v>
      </c>
      <c r="O873" s="481" t="str">
        <v>Argentina</v>
      </c>
      <c r="P873" s="481" t="str">
        <v>Portugal</v>
      </c>
      <c r="Q873" s="490" t="str">
        <v>England</v>
      </c>
    </row>
    <row r="874" spans="1:17" x14ac:dyDescent="0.2">
      <c r="A874" s="489">
        <v>871</v>
      </c>
      <c r="B874" s="481" t="str">
        <v>Spain</v>
      </c>
      <c r="C874" s="481" t="str">
        <v>France</v>
      </c>
      <c r="D874" s="481" t="str">
        <v>Portugal</v>
      </c>
      <c r="E874" s="481" t="str">
        <v>Portugal</v>
      </c>
      <c r="F874" s="481" t="str">
        <v>Korea Republic</v>
      </c>
      <c r="G874" s="481" t="str">
        <v>Switzerland</v>
      </c>
      <c r="H874" s="481" t="str">
        <v>Scotland</v>
      </c>
      <c r="I874" s="481" t="str">
        <v>USA</v>
      </c>
      <c r="J874" s="481" t="str">
        <v>Ecuador</v>
      </c>
      <c r="K874" s="481" t="str">
        <v>Netherlands</v>
      </c>
      <c r="L874" s="481" t="str">
        <v>IR Iran</v>
      </c>
      <c r="M874" s="481" t="str">
        <v>Spain</v>
      </c>
      <c r="N874" s="481" t="str">
        <v>France</v>
      </c>
      <c r="O874" s="481" t="str">
        <v>Argentina</v>
      </c>
      <c r="P874" s="481" t="str">
        <v>Portugal</v>
      </c>
      <c r="Q874" s="490" t="str">
        <v>England</v>
      </c>
    </row>
    <row r="875" spans="1:17" x14ac:dyDescent="0.2">
      <c r="A875" s="489">
        <v>872</v>
      </c>
      <c r="B875" s="481" t="str">
        <v>Mexico</v>
      </c>
      <c r="C875" s="481" t="str">
        <v>Colombia</v>
      </c>
      <c r="D875" s="481" t="str">
        <v>Mexico</v>
      </c>
      <c r="E875" s="481" t="str">
        <v>Austria</v>
      </c>
      <c r="F875" s="481" t="str">
        <v>Mexico</v>
      </c>
      <c r="G875" s="481" t="str">
        <v>Canada</v>
      </c>
      <c r="H875" s="481" t="str">
        <v>Brazil</v>
      </c>
      <c r="I875" s="481" t="str">
        <v>USA</v>
      </c>
      <c r="J875" s="481" t="str">
        <v>Germany</v>
      </c>
      <c r="K875" s="481" t="str">
        <v>Netherlands</v>
      </c>
      <c r="L875" s="481" t="str">
        <v>Egypt</v>
      </c>
      <c r="M875" s="481" t="str">
        <v>Uruguay</v>
      </c>
      <c r="N875" s="481" t="str">
        <v>France</v>
      </c>
      <c r="O875" s="481" t="str">
        <v>Argentina</v>
      </c>
      <c r="P875" s="481" t="str">
        <v>Portugal</v>
      </c>
      <c r="Q875" s="490" t="str">
        <v>Panama</v>
      </c>
    </row>
    <row r="876" spans="1:17" x14ac:dyDescent="0.2">
      <c r="A876" s="489">
        <v>873</v>
      </c>
      <c r="B876" s="481" t="str">
        <v>Netherlands</v>
      </c>
      <c r="C876" s="481" t="str">
        <v>Argentina</v>
      </c>
      <c r="D876" s="481" t="str">
        <v>England</v>
      </c>
      <c r="E876" s="481" t="str">
        <v>Turkiye</v>
      </c>
      <c r="F876" s="481" t="str">
        <v>Korea Republic</v>
      </c>
      <c r="G876" s="481" t="str">
        <v>Switzerland</v>
      </c>
      <c r="H876" s="481" t="str">
        <v>Morocco</v>
      </c>
      <c r="I876" s="481" t="str">
        <v>USA</v>
      </c>
      <c r="J876" s="481" t="str">
        <v>Ecuador</v>
      </c>
      <c r="K876" s="481" t="str">
        <v>Netherlands</v>
      </c>
      <c r="L876" s="481" t="str">
        <v>Belgium</v>
      </c>
      <c r="M876" s="481" t="str">
        <v>Uruguay</v>
      </c>
      <c r="N876" s="481" t="str">
        <v>Norway</v>
      </c>
      <c r="O876" s="481" t="str">
        <v>Algeria</v>
      </c>
      <c r="P876" s="481" t="str">
        <v>Colombia</v>
      </c>
      <c r="Q876" s="490" t="str">
        <v>England</v>
      </c>
    </row>
    <row r="877" spans="1:17" x14ac:dyDescent="0.2">
      <c r="A877" s="489">
        <v>874</v>
      </c>
      <c r="B877" s="481" t="str">
        <v>Uruguay</v>
      </c>
      <c r="C877" s="481" t="str">
        <v>France</v>
      </c>
      <c r="D877" s="481" t="str">
        <v>France</v>
      </c>
      <c r="E877" s="481" t="str">
        <v>Brazil</v>
      </c>
      <c r="F877" s="481" t="str">
        <v>Mexico</v>
      </c>
      <c r="G877" s="481" t="str">
        <v>Switzerland</v>
      </c>
      <c r="H877" s="481" t="str">
        <v>Morocco</v>
      </c>
      <c r="I877" s="481" t="str">
        <v>Australia</v>
      </c>
      <c r="J877" s="481" t="str">
        <v>Germany</v>
      </c>
      <c r="K877" s="481" t="str">
        <v>Sweden</v>
      </c>
      <c r="L877" s="481" t="str">
        <v>IR Iran</v>
      </c>
      <c r="M877" s="481" t="str">
        <v>Spain</v>
      </c>
      <c r="N877" s="481" t="str">
        <v>Norway</v>
      </c>
      <c r="O877" s="481" t="str">
        <v>Argentina</v>
      </c>
      <c r="P877" s="481" t="str">
        <v>Portugal</v>
      </c>
      <c r="Q877" s="490" t="str">
        <v>England</v>
      </c>
    </row>
    <row r="878" spans="1:17" x14ac:dyDescent="0.2">
      <c r="A878" s="489">
        <v>875</v>
      </c>
      <c r="B878" s="481" t="str">
        <v>Brazil</v>
      </c>
      <c r="C878" s="481" t="str">
        <v>Brazil</v>
      </c>
      <c r="D878" s="481" t="str">
        <v>England</v>
      </c>
      <c r="E878" s="481" t="str">
        <v>Colombia</v>
      </c>
      <c r="F878" s="481" t="str">
        <v>Mexico</v>
      </c>
      <c r="G878" s="481" t="str">
        <v>Qatar</v>
      </c>
      <c r="H878" s="481" t="str">
        <v>Scotland</v>
      </c>
      <c r="I878" s="481" t="str">
        <v>USA</v>
      </c>
      <c r="J878" s="481" t="str">
        <v>Germany</v>
      </c>
      <c r="K878" s="481" t="str">
        <v>Netherlands</v>
      </c>
      <c r="L878" s="481" t="str">
        <v>Belgium</v>
      </c>
      <c r="M878" s="481" t="str">
        <v>Saudi Arabia</v>
      </c>
      <c r="N878" s="481" t="str">
        <v>Senegal</v>
      </c>
      <c r="O878" s="481" t="str">
        <v>Argentina</v>
      </c>
      <c r="P878" s="481" t="str">
        <v>Portugal</v>
      </c>
      <c r="Q878" s="490" t="str">
        <v>Croatia</v>
      </c>
    </row>
    <row r="879" spans="1:17" x14ac:dyDescent="0.2">
      <c r="A879" s="489">
        <v>876</v>
      </c>
      <c r="B879" s="481" t="str">
        <v>England</v>
      </c>
      <c r="C879" s="481" t="str">
        <v>Spain</v>
      </c>
      <c r="D879" s="481" t="str">
        <v>Portugal</v>
      </c>
      <c r="E879" s="481" t="str">
        <v>Panama</v>
      </c>
      <c r="F879" s="481" t="str">
        <v>Mexico</v>
      </c>
      <c r="G879" s="481" t="str">
        <v>Canada</v>
      </c>
      <c r="H879" s="481" t="str">
        <v>Brazil</v>
      </c>
      <c r="I879" s="481" t="str">
        <v>USA</v>
      </c>
      <c r="J879" s="481" t="str">
        <v>Germany</v>
      </c>
      <c r="K879" s="481" t="str">
        <v>Netherlands</v>
      </c>
      <c r="L879" s="481" t="str">
        <v>Belgium</v>
      </c>
      <c r="M879" s="481" t="str">
        <v>Spain</v>
      </c>
      <c r="N879" s="481" t="str">
        <v>France</v>
      </c>
      <c r="O879" s="481" t="str">
        <v>Argentina</v>
      </c>
      <c r="P879" s="481" t="str">
        <v>Portugal</v>
      </c>
      <c r="Q879" s="490" t="str">
        <v>Croatia</v>
      </c>
    </row>
    <row r="880" spans="1:17" x14ac:dyDescent="0.2">
      <c r="A880" s="489">
        <v>877</v>
      </c>
      <c r="B880" s="481" t="str">
        <v>Spain</v>
      </c>
      <c r="C880" s="481" t="str">
        <v>Spain</v>
      </c>
      <c r="D880" s="481" t="str">
        <v>Portugal</v>
      </c>
      <c r="E880" s="481" t="str">
        <v>Mexico</v>
      </c>
      <c r="F880" s="481" t="str">
        <v>Korea Republic</v>
      </c>
      <c r="G880" s="481" t="str">
        <v>Switzerland</v>
      </c>
      <c r="H880" s="481" t="str">
        <v>Brazil</v>
      </c>
      <c r="I880" s="481" t="str">
        <v>Australia</v>
      </c>
      <c r="J880" s="481" t="str">
        <v>Germany</v>
      </c>
      <c r="K880" s="481" t="str">
        <v>Japan</v>
      </c>
      <c r="L880" s="481" t="str">
        <v>Belgium</v>
      </c>
      <c r="M880" s="481" t="str">
        <v>Uruguay</v>
      </c>
      <c r="N880" s="481" t="str">
        <v>France</v>
      </c>
      <c r="O880" s="481" t="str">
        <v>Argentina</v>
      </c>
      <c r="P880" s="481" t="str">
        <v>Portugal</v>
      </c>
      <c r="Q880" s="490" t="str">
        <v>England</v>
      </c>
    </row>
    <row r="881" spans="1:17" x14ac:dyDescent="0.2">
      <c r="A881" s="489">
        <v>878</v>
      </c>
      <c r="B881" s="481" t="str">
        <v>Uruguay</v>
      </c>
      <c r="C881" s="481" t="str">
        <v>Belgium</v>
      </c>
      <c r="D881" s="481" t="str">
        <v>Portugal</v>
      </c>
      <c r="E881" s="481" t="str">
        <v>Austria</v>
      </c>
      <c r="F881" s="481" t="str">
        <v>Mexico</v>
      </c>
      <c r="G881" s="481" t="str">
        <v>Canada</v>
      </c>
      <c r="H881" s="481" t="str">
        <v>Brazil</v>
      </c>
      <c r="I881" s="481" t="str">
        <v>USA</v>
      </c>
      <c r="J881" s="481" t="str">
        <v>Germany</v>
      </c>
      <c r="K881" s="481" t="str">
        <v>Sweden</v>
      </c>
      <c r="L881" s="481" t="str">
        <v>Egypt</v>
      </c>
      <c r="M881" s="481" t="str">
        <v>Spain</v>
      </c>
      <c r="N881" s="481" t="str">
        <v>France</v>
      </c>
      <c r="O881" s="481" t="str">
        <v>Argentina</v>
      </c>
      <c r="P881" s="481" t="str">
        <v>Congo DR</v>
      </c>
      <c r="Q881" s="490" t="str">
        <v>England</v>
      </c>
    </row>
    <row r="882" spans="1:17" x14ac:dyDescent="0.2">
      <c r="A882" s="489">
        <v>879</v>
      </c>
      <c r="B882" s="481" t="str">
        <v>England</v>
      </c>
      <c r="C882" s="481" t="str">
        <v>Portugal</v>
      </c>
      <c r="D882" s="481" t="str">
        <v>Brazil</v>
      </c>
      <c r="E882" s="481" t="str">
        <v>USA</v>
      </c>
      <c r="F882" s="481" t="str">
        <v>Korea Republic</v>
      </c>
      <c r="G882" s="481" t="str">
        <v>Canada</v>
      </c>
      <c r="H882" s="481" t="str">
        <v>Morocco</v>
      </c>
      <c r="I882" s="481" t="str">
        <v>Paraguay</v>
      </c>
      <c r="J882" s="481" t="str">
        <v>Germany</v>
      </c>
      <c r="K882" s="481" t="str">
        <v>Tunisia</v>
      </c>
      <c r="L882" s="481" t="str">
        <v>Belgium</v>
      </c>
      <c r="M882" s="481" t="str">
        <v>Spain</v>
      </c>
      <c r="N882" s="481" t="str">
        <v>France</v>
      </c>
      <c r="O882" s="481" t="str">
        <v>Austria</v>
      </c>
      <c r="P882" s="481" t="str">
        <v>Colombia</v>
      </c>
      <c r="Q882" s="490" t="str">
        <v>England</v>
      </c>
    </row>
    <row r="883" spans="1:17" x14ac:dyDescent="0.2">
      <c r="A883" s="489">
        <v>880</v>
      </c>
      <c r="B883" s="481" t="str">
        <v>France</v>
      </c>
      <c r="C883" s="481" t="str">
        <v>France</v>
      </c>
      <c r="D883" s="481" t="str">
        <v>Morocco</v>
      </c>
      <c r="E883" s="481" t="str">
        <v>Switzerland</v>
      </c>
      <c r="F883" s="481" t="str">
        <v>Mexico</v>
      </c>
      <c r="G883" s="481" t="str">
        <v>Switzerland</v>
      </c>
      <c r="H883" s="481" t="str">
        <v>Brazil</v>
      </c>
      <c r="I883" s="481" t="str">
        <v>Turkiye</v>
      </c>
      <c r="J883" s="481" t="str">
        <v>Germany</v>
      </c>
      <c r="K883" s="481" t="str">
        <v>Japan</v>
      </c>
      <c r="L883" s="481" t="str">
        <v>Belgium</v>
      </c>
      <c r="M883" s="481" t="str">
        <v>Spain</v>
      </c>
      <c r="N883" s="481" t="str">
        <v>Norway</v>
      </c>
      <c r="O883" s="481" t="str">
        <v>Argentina</v>
      </c>
      <c r="P883" s="481" t="str">
        <v>Portugal</v>
      </c>
      <c r="Q883" s="490" t="str">
        <v>Ghana</v>
      </c>
    </row>
    <row r="884" spans="1:17" x14ac:dyDescent="0.2">
      <c r="A884" s="489">
        <v>881</v>
      </c>
      <c r="B884" s="481" t="str">
        <v>Uruguay</v>
      </c>
      <c r="C884" s="481" t="str">
        <v>Ecuador</v>
      </c>
      <c r="D884" s="481" t="str">
        <v>Spain</v>
      </c>
      <c r="E884" s="481" t="str">
        <v>Morocco</v>
      </c>
      <c r="F884" s="481" t="str">
        <v>Korea Republic</v>
      </c>
      <c r="G884" s="481" t="str">
        <v>Canada</v>
      </c>
      <c r="H884" s="481" t="str">
        <v>Morocco</v>
      </c>
      <c r="I884" s="481" t="str">
        <v>Australia</v>
      </c>
      <c r="J884" s="481" t="str">
        <v>Germany</v>
      </c>
      <c r="K884" s="481" t="str">
        <v>Netherlands</v>
      </c>
      <c r="L884" s="481" t="str">
        <v>Belgium</v>
      </c>
      <c r="M884" s="481" t="str">
        <v>Uruguay</v>
      </c>
      <c r="N884" s="481" t="str">
        <v>France</v>
      </c>
      <c r="O884" s="481" t="str">
        <v>Argentina</v>
      </c>
      <c r="P884" s="481" t="str">
        <v>Portugal</v>
      </c>
      <c r="Q884" s="490" t="str">
        <v>England</v>
      </c>
    </row>
    <row r="885" spans="1:17" x14ac:dyDescent="0.2">
      <c r="A885" s="489">
        <v>882</v>
      </c>
      <c r="B885" s="481" t="str">
        <v>Germany</v>
      </c>
      <c r="C885" s="481" t="str">
        <v>Mexico</v>
      </c>
      <c r="D885" s="481" t="str">
        <v>Austria</v>
      </c>
      <c r="E885" s="481" t="str">
        <v>Algeria</v>
      </c>
      <c r="F885" s="481" t="str">
        <v>Korea Republic</v>
      </c>
      <c r="G885" s="481" t="str">
        <v>Canada</v>
      </c>
      <c r="H885" s="481" t="str">
        <v>Brazil</v>
      </c>
      <c r="I885" s="481" t="str">
        <v>Australia</v>
      </c>
      <c r="J885" s="481" t="str">
        <v>Germany</v>
      </c>
      <c r="K885" s="481" t="str">
        <v>Netherlands</v>
      </c>
      <c r="L885" s="481" t="str">
        <v>Belgium</v>
      </c>
      <c r="M885" s="481" t="str">
        <v>Spain</v>
      </c>
      <c r="N885" s="481" t="str">
        <v>France</v>
      </c>
      <c r="O885" s="481" t="str">
        <v>Austria</v>
      </c>
      <c r="P885" s="481" t="str">
        <v>Portugal</v>
      </c>
      <c r="Q885" s="490" t="str">
        <v>Ghana</v>
      </c>
    </row>
    <row r="886" spans="1:17" x14ac:dyDescent="0.2">
      <c r="A886" s="489">
        <v>883</v>
      </c>
      <c r="B886" s="481" t="str">
        <v>Japan</v>
      </c>
      <c r="C886" s="481" t="str">
        <v>Portugal</v>
      </c>
      <c r="D886" s="481" t="str">
        <v>Spain</v>
      </c>
      <c r="E886" s="481" t="str">
        <v>Colombia</v>
      </c>
      <c r="F886" s="481" t="str">
        <v>Czechia</v>
      </c>
      <c r="G886" s="481" t="str">
        <v>Canada</v>
      </c>
      <c r="H886" s="481" t="str">
        <v>Morocco</v>
      </c>
      <c r="I886" s="481" t="str">
        <v>USA</v>
      </c>
      <c r="J886" s="481" t="str">
        <v>Germany</v>
      </c>
      <c r="K886" s="481" t="str">
        <v>Sweden</v>
      </c>
      <c r="L886" s="481" t="str">
        <v>Belgium</v>
      </c>
      <c r="M886" s="481" t="str">
        <v>Spain</v>
      </c>
      <c r="N886" s="481" t="str">
        <v>Norway</v>
      </c>
      <c r="O886" s="481" t="str">
        <v>Argentina</v>
      </c>
      <c r="P886" s="481" t="str">
        <v>Colombia</v>
      </c>
      <c r="Q886" s="490" t="str">
        <v>Ghana</v>
      </c>
    </row>
    <row r="887" spans="1:17" x14ac:dyDescent="0.2">
      <c r="A887" s="489">
        <v>884</v>
      </c>
      <c r="B887" s="481" t="str">
        <v>Argentina</v>
      </c>
      <c r="C887" s="481" t="str">
        <v>Uruguay</v>
      </c>
      <c r="D887" s="481" t="str">
        <v>England</v>
      </c>
      <c r="E887" s="481" t="str">
        <v>Ghana</v>
      </c>
      <c r="F887" s="481" t="str">
        <v>Korea Republic</v>
      </c>
      <c r="G887" s="481" t="str">
        <v>Switzerland</v>
      </c>
      <c r="H887" s="481" t="str">
        <v>Brazil</v>
      </c>
      <c r="I887" s="481" t="str">
        <v>USA</v>
      </c>
      <c r="J887" s="481" t="str">
        <v>Germany</v>
      </c>
      <c r="K887" s="481" t="str">
        <v>Sweden</v>
      </c>
      <c r="L887" s="481" t="str">
        <v>Belgium</v>
      </c>
      <c r="M887" s="481" t="str">
        <v>Uruguay</v>
      </c>
      <c r="N887" s="481" t="str">
        <v>Norway</v>
      </c>
      <c r="O887" s="481" t="str">
        <v>Argentina</v>
      </c>
      <c r="P887" s="481" t="str">
        <v>Portugal</v>
      </c>
      <c r="Q887" s="490" t="str">
        <v>England</v>
      </c>
    </row>
    <row r="888" spans="1:17" x14ac:dyDescent="0.2">
      <c r="A888" s="489">
        <v>885</v>
      </c>
      <c r="B888" s="481" t="str">
        <v>Spain</v>
      </c>
      <c r="C888" s="481" t="str">
        <v>Colombia</v>
      </c>
      <c r="D888" s="481" t="str">
        <v>France</v>
      </c>
      <c r="E888" s="481" t="str">
        <v>Canada</v>
      </c>
      <c r="F888" s="481" t="str">
        <v>Mexico</v>
      </c>
      <c r="G888" s="481" t="str">
        <v>Canada</v>
      </c>
      <c r="H888" s="481" t="str">
        <v>Morocco</v>
      </c>
      <c r="I888" s="481" t="str">
        <v>Australia</v>
      </c>
      <c r="J888" s="481" t="str">
        <v>Cote d'Ivorie</v>
      </c>
      <c r="K888" s="481" t="str">
        <v>Japan</v>
      </c>
      <c r="L888" s="481" t="str">
        <v>Belgium</v>
      </c>
      <c r="M888" s="481" t="str">
        <v>Spain</v>
      </c>
      <c r="N888" s="481" t="str">
        <v>France</v>
      </c>
      <c r="O888" s="481" t="str">
        <v>Argentina</v>
      </c>
      <c r="P888" s="481" t="str">
        <v>Portugal</v>
      </c>
      <c r="Q888" s="490" t="str">
        <v>England</v>
      </c>
    </row>
    <row r="889" spans="1:17" x14ac:dyDescent="0.2">
      <c r="A889" s="489">
        <v>886</v>
      </c>
      <c r="B889" s="481" t="str">
        <v>Portugal</v>
      </c>
      <c r="C889" s="481" t="str">
        <v>England</v>
      </c>
      <c r="D889" s="481" t="str">
        <v>Ecuador</v>
      </c>
      <c r="E889" s="481" t="str">
        <v>Norway</v>
      </c>
      <c r="F889" s="481" t="str">
        <v>Korea Republic</v>
      </c>
      <c r="G889" s="481" t="str">
        <v>Switzerland</v>
      </c>
      <c r="H889" s="481" t="str">
        <v>Brazil</v>
      </c>
      <c r="I889" s="481" t="str">
        <v>Australia</v>
      </c>
      <c r="J889" s="481" t="str">
        <v>Germany</v>
      </c>
      <c r="K889" s="481" t="str">
        <v>Netherlands</v>
      </c>
      <c r="L889" s="481" t="str">
        <v>Belgium</v>
      </c>
      <c r="M889" s="481" t="str">
        <v>Spain</v>
      </c>
      <c r="N889" s="481" t="str">
        <v>Norway</v>
      </c>
      <c r="O889" s="481" t="str">
        <v>Austria</v>
      </c>
      <c r="P889" s="481" t="str">
        <v>Portugal</v>
      </c>
      <c r="Q889" s="490" t="str">
        <v>Croatia</v>
      </c>
    </row>
    <row r="890" spans="1:17" x14ac:dyDescent="0.2">
      <c r="A890" s="489">
        <v>887</v>
      </c>
      <c r="B890" s="481" t="str">
        <v>Netherlands</v>
      </c>
      <c r="C890" s="481" t="str">
        <v>Paraguay</v>
      </c>
      <c r="D890" s="481" t="str">
        <v>Sweden</v>
      </c>
      <c r="E890" s="481" t="str">
        <v>Colombia</v>
      </c>
      <c r="F890" s="481" t="str">
        <v>Mexico</v>
      </c>
      <c r="G890" s="481" t="str">
        <v>Qatar</v>
      </c>
      <c r="H890" s="481" t="str">
        <v>Brazil</v>
      </c>
      <c r="I890" s="481" t="str">
        <v>USA</v>
      </c>
      <c r="J890" s="481" t="str">
        <v>Germany</v>
      </c>
      <c r="K890" s="481" t="str">
        <v>Netherlands</v>
      </c>
      <c r="L890" s="481" t="str">
        <v>Belgium</v>
      </c>
      <c r="M890" s="481" t="str">
        <v>Uruguay</v>
      </c>
      <c r="N890" s="481" t="str">
        <v>France</v>
      </c>
      <c r="O890" s="481" t="str">
        <v>Algeria</v>
      </c>
      <c r="P890" s="481" t="str">
        <v>Uzbekistan</v>
      </c>
      <c r="Q890" s="490" t="str">
        <v>Croatia</v>
      </c>
    </row>
    <row r="891" spans="1:17" x14ac:dyDescent="0.2">
      <c r="A891" s="489">
        <v>888</v>
      </c>
      <c r="B891" s="481" t="str">
        <v>England</v>
      </c>
      <c r="C891" s="481" t="str">
        <v>Germany</v>
      </c>
      <c r="D891" s="481" t="str">
        <v>Spain</v>
      </c>
      <c r="E891" s="481" t="str">
        <v>Netherlands</v>
      </c>
      <c r="F891" s="481" t="str">
        <v>Mexico</v>
      </c>
      <c r="G891" s="481" t="str">
        <v>Canada</v>
      </c>
      <c r="H891" s="481" t="str">
        <v>Brazil</v>
      </c>
      <c r="I891" s="481" t="str">
        <v>USA</v>
      </c>
      <c r="J891" s="481" t="str">
        <v>Ecuador</v>
      </c>
      <c r="K891" s="481" t="str">
        <v>Netherlands</v>
      </c>
      <c r="L891" s="481" t="str">
        <v>Belgium</v>
      </c>
      <c r="M891" s="481" t="str">
        <v>Spain</v>
      </c>
      <c r="N891" s="481" t="str">
        <v>France</v>
      </c>
      <c r="O891" s="481" t="str">
        <v>Argentina</v>
      </c>
      <c r="P891" s="481" t="str">
        <v>Portugal</v>
      </c>
      <c r="Q891" s="490" t="str">
        <v>England</v>
      </c>
    </row>
    <row r="892" spans="1:17" x14ac:dyDescent="0.2">
      <c r="A892" s="489">
        <v>889</v>
      </c>
      <c r="B892" s="481" t="str">
        <v>Spain</v>
      </c>
      <c r="C892" s="481" t="str">
        <v>Switzerland</v>
      </c>
      <c r="D892" s="481" t="str">
        <v>Senegal</v>
      </c>
      <c r="E892" s="481" t="str">
        <v>Japan</v>
      </c>
      <c r="F892" s="481" t="str">
        <v>Mexico</v>
      </c>
      <c r="G892" s="481" t="str">
        <v>Qatar</v>
      </c>
      <c r="H892" s="481" t="str">
        <v>Morocco</v>
      </c>
      <c r="I892" s="481" t="str">
        <v>Australia</v>
      </c>
      <c r="J892" s="481" t="str">
        <v>Germany</v>
      </c>
      <c r="K892" s="481" t="str">
        <v>Japan</v>
      </c>
      <c r="L892" s="481" t="str">
        <v>Belgium</v>
      </c>
      <c r="M892" s="481" t="str">
        <v>Spain</v>
      </c>
      <c r="N892" s="481" t="str">
        <v>France</v>
      </c>
      <c r="O892" s="481" t="str">
        <v>Argentina</v>
      </c>
      <c r="P892" s="481" t="str">
        <v>Colombia</v>
      </c>
      <c r="Q892" s="490" t="str">
        <v>England</v>
      </c>
    </row>
    <row r="893" spans="1:17" x14ac:dyDescent="0.2">
      <c r="A893" s="489">
        <v>890</v>
      </c>
      <c r="B893" s="481" t="str">
        <v>France</v>
      </c>
      <c r="C893" s="481" t="str">
        <v>Germany</v>
      </c>
      <c r="D893" s="481" t="str">
        <v>England</v>
      </c>
      <c r="E893" s="481" t="str">
        <v>Brazil</v>
      </c>
      <c r="F893" s="481" t="str">
        <v>Korea Republic</v>
      </c>
      <c r="G893" s="481" t="str">
        <v>Canada</v>
      </c>
      <c r="H893" s="481" t="str">
        <v>Scotland</v>
      </c>
      <c r="I893" s="481" t="str">
        <v>USA</v>
      </c>
      <c r="J893" s="481" t="str">
        <v>Germany</v>
      </c>
      <c r="K893" s="481" t="str">
        <v>Japan</v>
      </c>
      <c r="L893" s="481" t="str">
        <v>Egypt</v>
      </c>
      <c r="M893" s="481" t="str">
        <v>Spain</v>
      </c>
      <c r="N893" s="481" t="str">
        <v>France</v>
      </c>
      <c r="O893" s="481" t="str">
        <v>Algeria</v>
      </c>
      <c r="P893" s="481" t="str">
        <v>Portugal</v>
      </c>
      <c r="Q893" s="490" t="str">
        <v>Croatia</v>
      </c>
    </row>
    <row r="894" spans="1:17" x14ac:dyDescent="0.2">
      <c r="A894" s="489">
        <v>891</v>
      </c>
      <c r="B894" s="481" t="str">
        <v>France</v>
      </c>
      <c r="C894" s="481" t="str">
        <v>Argentina</v>
      </c>
      <c r="D894" s="481" t="str">
        <v>USA</v>
      </c>
      <c r="E894" s="481" t="str">
        <v>Spain</v>
      </c>
      <c r="F894" s="481" t="str">
        <v>Korea Republic</v>
      </c>
      <c r="G894" s="481" t="str">
        <v>Switzerland</v>
      </c>
      <c r="H894" s="481" t="str">
        <v>Morocco</v>
      </c>
      <c r="I894" s="481" t="str">
        <v>Australia</v>
      </c>
      <c r="J894" s="481" t="str">
        <v>Germany</v>
      </c>
      <c r="K894" s="481" t="str">
        <v>Netherlands</v>
      </c>
      <c r="L894" s="481" t="str">
        <v>IR Iran</v>
      </c>
      <c r="M894" s="481" t="str">
        <v>Spain</v>
      </c>
      <c r="N894" s="481" t="str">
        <v>Senegal</v>
      </c>
      <c r="O894" s="481" t="str">
        <v>Algeria</v>
      </c>
      <c r="P894" s="481" t="str">
        <v>Portugal</v>
      </c>
      <c r="Q894" s="490" t="str">
        <v>England</v>
      </c>
    </row>
    <row r="895" spans="1:17" x14ac:dyDescent="0.2">
      <c r="A895" s="489">
        <v>892</v>
      </c>
      <c r="B895" s="481" t="str">
        <v>Spain</v>
      </c>
      <c r="C895" s="481" t="str">
        <v>Netherlands</v>
      </c>
      <c r="D895" s="481" t="str">
        <v>Colombia</v>
      </c>
      <c r="E895" s="481" t="str">
        <v>USA</v>
      </c>
      <c r="F895" s="481" t="str">
        <v>Korea Republic</v>
      </c>
      <c r="G895" s="481" t="str">
        <v>Qatar</v>
      </c>
      <c r="H895" s="481" t="str">
        <v>Brazil</v>
      </c>
      <c r="I895" s="481" t="str">
        <v>USA</v>
      </c>
      <c r="J895" s="481" t="str">
        <v>Germany</v>
      </c>
      <c r="K895" s="481" t="str">
        <v>Netherlands</v>
      </c>
      <c r="L895" s="481" t="str">
        <v>Belgium</v>
      </c>
      <c r="M895" s="481" t="str">
        <v>Spain</v>
      </c>
      <c r="N895" s="481" t="str">
        <v>France</v>
      </c>
      <c r="O895" s="481" t="str">
        <v>Algeria</v>
      </c>
      <c r="P895" s="481" t="str">
        <v>Colombia</v>
      </c>
      <c r="Q895" s="490" t="str">
        <v>England</v>
      </c>
    </row>
    <row r="896" spans="1:17" x14ac:dyDescent="0.2">
      <c r="A896" s="489">
        <v>893</v>
      </c>
      <c r="B896" s="481" t="str">
        <v>Senegal</v>
      </c>
      <c r="C896" s="481" t="str">
        <v>Belgium</v>
      </c>
      <c r="D896" s="481" t="str">
        <v>Brazil</v>
      </c>
      <c r="E896" s="481" t="str">
        <v>Senegal</v>
      </c>
      <c r="F896" s="481" t="str">
        <v>Mexico</v>
      </c>
      <c r="G896" s="481" t="str">
        <v>Canada</v>
      </c>
      <c r="H896" s="481" t="str">
        <v>Brazil</v>
      </c>
      <c r="I896" s="481" t="str">
        <v>Australia</v>
      </c>
      <c r="J896" s="481" t="str">
        <v>Germany</v>
      </c>
      <c r="K896" s="481" t="str">
        <v>Japan</v>
      </c>
      <c r="L896" s="481" t="str">
        <v>Belgium</v>
      </c>
      <c r="M896" s="481" t="str">
        <v>Spain</v>
      </c>
      <c r="N896" s="481" t="str">
        <v>France</v>
      </c>
      <c r="O896" s="481" t="str">
        <v>Argentina</v>
      </c>
      <c r="P896" s="481" t="str">
        <v>Portugal</v>
      </c>
      <c r="Q896" s="490" t="str">
        <v>England</v>
      </c>
    </row>
    <row r="897" spans="1:17" x14ac:dyDescent="0.2">
      <c r="A897" s="489">
        <v>894</v>
      </c>
      <c r="B897" s="481" t="str">
        <v>Argentina</v>
      </c>
      <c r="C897" s="481" t="str">
        <v>Portugal</v>
      </c>
      <c r="D897" s="481" t="str">
        <v>Japan</v>
      </c>
      <c r="E897" s="481" t="str">
        <v>Senegal</v>
      </c>
      <c r="F897" s="481" t="str">
        <v>Mexico</v>
      </c>
      <c r="G897" s="481" t="str">
        <v>Qatar</v>
      </c>
      <c r="H897" s="481" t="str">
        <v>Brazil</v>
      </c>
      <c r="I897" s="481" t="str">
        <v>USA</v>
      </c>
      <c r="J897" s="481" t="str">
        <v>Germany</v>
      </c>
      <c r="K897" s="481" t="str">
        <v>Sweden</v>
      </c>
      <c r="L897" s="481" t="str">
        <v>Belgium</v>
      </c>
      <c r="M897" s="481" t="str">
        <v>Uruguay</v>
      </c>
      <c r="N897" s="481" t="str">
        <v>France</v>
      </c>
      <c r="O897" s="481" t="str">
        <v>Argentina</v>
      </c>
      <c r="P897" s="481" t="str">
        <v>Colombia</v>
      </c>
      <c r="Q897" s="490" t="str">
        <v>England</v>
      </c>
    </row>
    <row r="898" spans="1:17" x14ac:dyDescent="0.2">
      <c r="A898" s="489">
        <v>895</v>
      </c>
      <c r="B898" s="481" t="str">
        <v>Argentina</v>
      </c>
      <c r="C898" s="481" t="str">
        <v>Brazil</v>
      </c>
      <c r="D898" s="481" t="str">
        <v>England</v>
      </c>
      <c r="E898" s="481" t="str">
        <v>Colombia</v>
      </c>
      <c r="F898" s="481" t="str">
        <v>Korea Republic</v>
      </c>
      <c r="G898" s="481" t="str">
        <v>Switzerland</v>
      </c>
      <c r="H898" s="481" t="str">
        <v>Brazil</v>
      </c>
      <c r="I898" s="481" t="str">
        <v>USA</v>
      </c>
      <c r="J898" s="481" t="str">
        <v>Germany</v>
      </c>
      <c r="K898" s="481" t="str">
        <v>Netherlands</v>
      </c>
      <c r="L898" s="481" t="str">
        <v>Egypt</v>
      </c>
      <c r="M898" s="481" t="str">
        <v>Uruguay</v>
      </c>
      <c r="N898" s="481" t="str">
        <v>France</v>
      </c>
      <c r="O898" s="481" t="str">
        <v>Austria</v>
      </c>
      <c r="P898" s="481" t="str">
        <v>Colombia</v>
      </c>
      <c r="Q898" s="490" t="str">
        <v>Croatia</v>
      </c>
    </row>
    <row r="899" spans="1:17" x14ac:dyDescent="0.2">
      <c r="A899" s="489">
        <v>896</v>
      </c>
      <c r="B899" s="481" t="str">
        <v>Spain</v>
      </c>
      <c r="C899" s="481" t="str">
        <v>Mexico</v>
      </c>
      <c r="D899" s="481" t="str">
        <v>Spain</v>
      </c>
      <c r="E899" s="481" t="str">
        <v>Morocco</v>
      </c>
      <c r="F899" s="481" t="str">
        <v>Korea Republic</v>
      </c>
      <c r="G899" s="481" t="str">
        <v>Switzerland</v>
      </c>
      <c r="H899" s="481" t="str">
        <v>Brazil</v>
      </c>
      <c r="I899" s="481" t="str">
        <v>USA</v>
      </c>
      <c r="J899" s="481" t="str">
        <v>Germany</v>
      </c>
      <c r="K899" s="481" t="str">
        <v>Netherlands</v>
      </c>
      <c r="L899" s="481" t="str">
        <v>New Zealand</v>
      </c>
      <c r="M899" s="481" t="str">
        <v>Spain</v>
      </c>
      <c r="N899" s="481" t="str">
        <v>France</v>
      </c>
      <c r="O899" s="481" t="str">
        <v>Argentina</v>
      </c>
      <c r="P899" s="481" t="str">
        <v>Colombia</v>
      </c>
      <c r="Q899" s="490" t="str">
        <v>England</v>
      </c>
    </row>
    <row r="900" spans="1:17" x14ac:dyDescent="0.2">
      <c r="A900" s="489">
        <v>897</v>
      </c>
      <c r="B900" s="481" t="str">
        <v>Germany</v>
      </c>
      <c r="C900" s="481" t="str">
        <v>Argentina</v>
      </c>
      <c r="D900" s="481" t="str">
        <v>Belgium</v>
      </c>
      <c r="E900" s="481" t="str">
        <v>Germany</v>
      </c>
      <c r="F900" s="481" t="str">
        <v>Korea Republic</v>
      </c>
      <c r="G900" s="481" t="str">
        <v>Canada</v>
      </c>
      <c r="H900" s="481" t="str">
        <v>Morocco</v>
      </c>
      <c r="I900" s="481" t="str">
        <v>USA</v>
      </c>
      <c r="J900" s="481" t="str">
        <v>Germany</v>
      </c>
      <c r="K900" s="481" t="str">
        <v>Netherlands</v>
      </c>
      <c r="L900" s="481" t="str">
        <v>Egypt</v>
      </c>
      <c r="M900" s="481" t="str">
        <v>Spain</v>
      </c>
      <c r="N900" s="481" t="str">
        <v>France</v>
      </c>
      <c r="O900" s="481" t="str">
        <v>Argentina</v>
      </c>
      <c r="P900" s="481" t="str">
        <v>Colombia</v>
      </c>
      <c r="Q900" s="490" t="str">
        <v>Panama</v>
      </c>
    </row>
    <row r="901" spans="1:17" x14ac:dyDescent="0.2">
      <c r="A901" s="489">
        <v>898</v>
      </c>
      <c r="B901" s="481" t="str">
        <v>Portugal</v>
      </c>
      <c r="C901" s="481" t="str">
        <v>England</v>
      </c>
      <c r="D901" s="481" t="str">
        <v>Belgium</v>
      </c>
      <c r="E901" s="481" t="str">
        <v>Norway</v>
      </c>
      <c r="F901" s="481" t="str">
        <v>Mexico</v>
      </c>
      <c r="G901" s="481" t="str">
        <v>Bosnia-Herzegovina</v>
      </c>
      <c r="H901" s="481" t="str">
        <v>Morocco</v>
      </c>
      <c r="I901" s="481" t="str">
        <v>USA</v>
      </c>
      <c r="J901" s="481" t="str">
        <v>Germany</v>
      </c>
      <c r="K901" s="481" t="str">
        <v>Netherlands</v>
      </c>
      <c r="L901" s="481" t="str">
        <v>Belgium</v>
      </c>
      <c r="M901" s="481" t="str">
        <v>Saudi Arabia</v>
      </c>
      <c r="N901" s="481" t="str">
        <v>France</v>
      </c>
      <c r="O901" s="481" t="str">
        <v>Argentina</v>
      </c>
      <c r="P901" s="481" t="str">
        <v>Portugal</v>
      </c>
      <c r="Q901" s="490" t="str">
        <v>England</v>
      </c>
    </row>
    <row r="902" spans="1:17" x14ac:dyDescent="0.2">
      <c r="A902" s="489">
        <v>899</v>
      </c>
      <c r="B902" s="481" t="str">
        <v>England</v>
      </c>
      <c r="C902" s="481" t="str">
        <v>USA</v>
      </c>
      <c r="D902" s="481" t="str">
        <v>Spain</v>
      </c>
      <c r="E902" s="481" t="str">
        <v>Argentina</v>
      </c>
      <c r="F902" s="481" t="str">
        <v>Mexico</v>
      </c>
      <c r="G902" s="481" t="str">
        <v>Switzerland</v>
      </c>
      <c r="H902" s="481" t="str">
        <v>Brazil</v>
      </c>
      <c r="I902" s="481" t="str">
        <v>USA</v>
      </c>
      <c r="J902" s="481" t="str">
        <v>Germany</v>
      </c>
      <c r="K902" s="481" t="str">
        <v>Netherlands</v>
      </c>
      <c r="L902" s="481" t="str">
        <v>Egypt</v>
      </c>
      <c r="M902" s="481" t="str">
        <v>Spain</v>
      </c>
      <c r="N902" s="481" t="str">
        <v>France</v>
      </c>
      <c r="O902" s="481" t="str">
        <v>Jordan</v>
      </c>
      <c r="P902" s="481" t="str">
        <v>Portugal</v>
      </c>
      <c r="Q902" s="490" t="str">
        <v>England</v>
      </c>
    </row>
    <row r="903" spans="1:17" x14ac:dyDescent="0.2">
      <c r="A903" s="489">
        <v>900</v>
      </c>
      <c r="B903" s="481" t="str">
        <v>Brazil</v>
      </c>
      <c r="C903" s="481" t="str">
        <v>Netherlands</v>
      </c>
      <c r="D903" s="481" t="str">
        <v>Morocco</v>
      </c>
      <c r="E903" s="481" t="str">
        <v>Sweden</v>
      </c>
      <c r="F903" s="481" t="str">
        <v>Mexico</v>
      </c>
      <c r="G903" s="481" t="str">
        <v>Switzerland</v>
      </c>
      <c r="H903" s="481" t="str">
        <v>Brazil</v>
      </c>
      <c r="I903" s="481" t="str">
        <v>Turkiye</v>
      </c>
      <c r="J903" s="481" t="str">
        <v>Cote d'Ivorie</v>
      </c>
      <c r="K903" s="481" t="str">
        <v>Netherlands</v>
      </c>
      <c r="L903" s="481" t="str">
        <v>Belgium</v>
      </c>
      <c r="M903" s="481" t="str">
        <v>Spain</v>
      </c>
      <c r="N903" s="481" t="str">
        <v>France</v>
      </c>
      <c r="O903" s="481" t="str">
        <v>Argentina</v>
      </c>
      <c r="P903" s="481" t="str">
        <v>Colombia</v>
      </c>
      <c r="Q903" s="490" t="str">
        <v>Croatia</v>
      </c>
    </row>
    <row r="904" spans="1:17" x14ac:dyDescent="0.2">
      <c r="A904" s="489">
        <v>901</v>
      </c>
      <c r="B904" s="481" t="str">
        <v>Brazil</v>
      </c>
      <c r="C904" s="481" t="str">
        <v>Argentina</v>
      </c>
      <c r="D904" s="481" t="str">
        <v>Portugal</v>
      </c>
      <c r="E904" s="481" t="str">
        <v>France</v>
      </c>
      <c r="F904" s="481" t="str">
        <v>Mexico</v>
      </c>
      <c r="G904" s="481" t="str">
        <v>Bosnia-Herzegovina</v>
      </c>
      <c r="H904" s="481" t="str">
        <v>Scotland</v>
      </c>
      <c r="I904" s="481" t="str">
        <v>USA</v>
      </c>
      <c r="J904" s="481" t="str">
        <v>Germany</v>
      </c>
      <c r="K904" s="481" t="str">
        <v>Sweden</v>
      </c>
      <c r="L904" s="481" t="str">
        <v>Belgium</v>
      </c>
      <c r="M904" s="481" t="str">
        <v>Spain</v>
      </c>
      <c r="N904" s="481" t="str">
        <v>Norway</v>
      </c>
      <c r="O904" s="481" t="str">
        <v>Argentina</v>
      </c>
      <c r="P904" s="481" t="str">
        <v>Portugal</v>
      </c>
      <c r="Q904" s="490" t="str">
        <v>England</v>
      </c>
    </row>
    <row r="905" spans="1:17" x14ac:dyDescent="0.2">
      <c r="A905" s="489">
        <v>902</v>
      </c>
      <c r="B905" s="481" t="str">
        <v>France</v>
      </c>
      <c r="C905" s="481" t="str">
        <v>Brazil</v>
      </c>
      <c r="D905" s="481" t="str">
        <v>Paraguay</v>
      </c>
      <c r="E905" s="481" t="str">
        <v>Austria</v>
      </c>
      <c r="F905" s="481" t="str">
        <v>Korea Republic</v>
      </c>
      <c r="G905" s="481" t="str">
        <v>Switzerland</v>
      </c>
      <c r="H905" s="481" t="str">
        <v>Brazil</v>
      </c>
      <c r="I905" s="481" t="str">
        <v>Australia</v>
      </c>
      <c r="J905" s="481" t="str">
        <v>Germany</v>
      </c>
      <c r="K905" s="481" t="str">
        <v>Netherlands</v>
      </c>
      <c r="L905" s="481" t="str">
        <v>Belgium</v>
      </c>
      <c r="M905" s="481" t="str">
        <v>Spain</v>
      </c>
      <c r="N905" s="481" t="str">
        <v>France</v>
      </c>
      <c r="O905" s="481" t="str">
        <v>Argentina</v>
      </c>
      <c r="P905" s="481" t="str">
        <v>Colombia</v>
      </c>
      <c r="Q905" s="490" t="str">
        <v>Panama</v>
      </c>
    </row>
    <row r="906" spans="1:17" x14ac:dyDescent="0.2">
      <c r="A906" s="489">
        <v>903</v>
      </c>
      <c r="B906" s="481" t="str">
        <v>Colombia</v>
      </c>
      <c r="C906" s="481" t="str">
        <v>Japan</v>
      </c>
      <c r="D906" s="481" t="str">
        <v>Netherlands</v>
      </c>
      <c r="E906" s="481" t="str">
        <v>Belgium</v>
      </c>
      <c r="F906" s="481" t="str">
        <v>Mexico</v>
      </c>
      <c r="G906" s="481" t="str">
        <v>Switzerland</v>
      </c>
      <c r="H906" s="481" t="str">
        <v>Brazil</v>
      </c>
      <c r="I906" s="481" t="str">
        <v>USA</v>
      </c>
      <c r="J906" s="481" t="str">
        <v>Germany</v>
      </c>
      <c r="K906" s="481" t="str">
        <v>Netherlands</v>
      </c>
      <c r="L906" s="481" t="str">
        <v>IR Iran</v>
      </c>
      <c r="M906" s="481" t="str">
        <v>Spain</v>
      </c>
      <c r="N906" s="481" t="str">
        <v>Norway</v>
      </c>
      <c r="O906" s="481" t="str">
        <v>Argentina</v>
      </c>
      <c r="P906" s="481" t="str">
        <v>Portugal</v>
      </c>
      <c r="Q906" s="490" t="str">
        <v>Croatia</v>
      </c>
    </row>
    <row r="907" spans="1:17" x14ac:dyDescent="0.2">
      <c r="A907" s="489">
        <v>904</v>
      </c>
      <c r="B907" s="481" t="str">
        <v>France</v>
      </c>
      <c r="C907" s="481" t="str">
        <v>Germany</v>
      </c>
      <c r="D907" s="481" t="str">
        <v>Argentina</v>
      </c>
      <c r="E907" s="481" t="str">
        <v>Morocco</v>
      </c>
      <c r="F907" s="481" t="str">
        <v>Mexico</v>
      </c>
      <c r="G907" s="481" t="str">
        <v>Canada</v>
      </c>
      <c r="H907" s="481" t="str">
        <v>Morocco</v>
      </c>
      <c r="I907" s="481" t="str">
        <v>USA</v>
      </c>
      <c r="J907" s="481" t="str">
        <v>Germany</v>
      </c>
      <c r="K907" s="481" t="str">
        <v>Netherlands</v>
      </c>
      <c r="L907" s="481" t="str">
        <v>Belgium</v>
      </c>
      <c r="M907" s="481" t="str">
        <v>Uruguay</v>
      </c>
      <c r="N907" s="481" t="str">
        <v>Senegal</v>
      </c>
      <c r="O907" s="481" t="str">
        <v>Argentina</v>
      </c>
      <c r="P907" s="481" t="str">
        <v>Colombia</v>
      </c>
      <c r="Q907" s="490" t="str">
        <v>Croatia</v>
      </c>
    </row>
    <row r="908" spans="1:17" x14ac:dyDescent="0.2">
      <c r="A908" s="489">
        <v>905</v>
      </c>
      <c r="B908" s="481" t="str">
        <v>Portugal</v>
      </c>
      <c r="C908" s="481" t="str">
        <v>Spain</v>
      </c>
      <c r="D908" s="481" t="str">
        <v>Colombia</v>
      </c>
      <c r="E908" s="481" t="str">
        <v>Germany</v>
      </c>
      <c r="F908" s="481" t="str">
        <v>Mexico</v>
      </c>
      <c r="G908" s="481" t="str">
        <v>Switzerland</v>
      </c>
      <c r="H908" s="481" t="str">
        <v>Morocco</v>
      </c>
      <c r="I908" s="481" t="str">
        <v>USA</v>
      </c>
      <c r="J908" s="481" t="str">
        <v>Cote d'Ivorie</v>
      </c>
      <c r="K908" s="481" t="str">
        <v>Japan</v>
      </c>
      <c r="L908" s="481" t="str">
        <v>Belgium</v>
      </c>
      <c r="M908" s="481" t="str">
        <v>Spain</v>
      </c>
      <c r="N908" s="481" t="str">
        <v>France</v>
      </c>
      <c r="O908" s="481" t="str">
        <v>Argentina</v>
      </c>
      <c r="P908" s="481" t="str">
        <v>Portugal</v>
      </c>
      <c r="Q908" s="490" t="str">
        <v>Croatia</v>
      </c>
    </row>
    <row r="909" spans="1:17" x14ac:dyDescent="0.2">
      <c r="A909" s="489">
        <v>906</v>
      </c>
      <c r="B909" s="481" t="str">
        <v>Croatia</v>
      </c>
      <c r="C909" s="481" t="str">
        <v>Colombia</v>
      </c>
      <c r="D909" s="481" t="str">
        <v>Uruguay</v>
      </c>
      <c r="E909" s="481" t="str">
        <v>Croatia</v>
      </c>
      <c r="F909" s="481" t="str">
        <v>Mexico</v>
      </c>
      <c r="G909" s="481" t="str">
        <v>Switzerland</v>
      </c>
      <c r="H909" s="481" t="str">
        <v>Morocco</v>
      </c>
      <c r="I909" s="481" t="str">
        <v>Australia</v>
      </c>
      <c r="J909" s="481" t="str">
        <v>Germany</v>
      </c>
      <c r="K909" s="481" t="str">
        <v>Netherlands</v>
      </c>
      <c r="L909" s="481" t="str">
        <v>Belgium</v>
      </c>
      <c r="M909" s="481" t="str">
        <v>Uruguay</v>
      </c>
      <c r="N909" s="481" t="str">
        <v>France</v>
      </c>
      <c r="O909" s="481" t="str">
        <v>Argentina</v>
      </c>
      <c r="P909" s="481" t="str">
        <v>Portugal</v>
      </c>
      <c r="Q909" s="490" t="str">
        <v>Croatia</v>
      </c>
    </row>
    <row r="910" spans="1:17" x14ac:dyDescent="0.2">
      <c r="A910" s="489">
        <v>907</v>
      </c>
      <c r="B910" s="481" t="str">
        <v>England</v>
      </c>
      <c r="C910" s="481" t="str">
        <v>Belgium</v>
      </c>
      <c r="D910" s="481" t="str">
        <v>USA</v>
      </c>
      <c r="E910" s="481" t="str">
        <v>Colombia</v>
      </c>
      <c r="F910" s="481" t="str">
        <v>Korea Republic</v>
      </c>
      <c r="G910" s="481" t="str">
        <v>Canada</v>
      </c>
      <c r="H910" s="481" t="str">
        <v>Brazil</v>
      </c>
      <c r="I910" s="481" t="str">
        <v>USA</v>
      </c>
      <c r="J910" s="481" t="str">
        <v>Germany</v>
      </c>
      <c r="K910" s="481" t="str">
        <v>Japan</v>
      </c>
      <c r="L910" s="481" t="str">
        <v>Egypt</v>
      </c>
      <c r="M910" s="481" t="str">
        <v>Spain</v>
      </c>
      <c r="N910" s="481" t="str">
        <v>France</v>
      </c>
      <c r="O910" s="481" t="str">
        <v>Austria</v>
      </c>
      <c r="P910" s="481" t="str">
        <v>Portugal</v>
      </c>
      <c r="Q910" s="490" t="str">
        <v>Ghana</v>
      </c>
    </row>
    <row r="911" spans="1:17" x14ac:dyDescent="0.2">
      <c r="A911" s="489">
        <v>908</v>
      </c>
      <c r="B911" s="481" t="str">
        <v>Morocco</v>
      </c>
      <c r="C911" s="481" t="str">
        <v>Cote d'Ivorie</v>
      </c>
      <c r="D911" s="481" t="str">
        <v>Colombia</v>
      </c>
      <c r="E911" s="481" t="str">
        <v>France</v>
      </c>
      <c r="F911" s="481" t="str">
        <v>Korea Republic</v>
      </c>
      <c r="G911" s="481" t="str">
        <v>Switzerland</v>
      </c>
      <c r="H911" s="481" t="str">
        <v>Morocco</v>
      </c>
      <c r="I911" s="481" t="str">
        <v>USA</v>
      </c>
      <c r="J911" s="481" t="str">
        <v>Ecuador</v>
      </c>
      <c r="K911" s="481" t="str">
        <v>Japan</v>
      </c>
      <c r="L911" s="481" t="str">
        <v>Egypt</v>
      </c>
      <c r="M911" s="481" t="str">
        <v>Spain</v>
      </c>
      <c r="N911" s="481" t="str">
        <v>France</v>
      </c>
      <c r="O911" s="481" t="str">
        <v>Argentina</v>
      </c>
      <c r="P911" s="481" t="str">
        <v>Portugal</v>
      </c>
      <c r="Q911" s="490" t="str">
        <v>Panama</v>
      </c>
    </row>
    <row r="912" spans="1:17" x14ac:dyDescent="0.2">
      <c r="A912" s="489">
        <v>909</v>
      </c>
      <c r="B912" s="481" t="str">
        <v>Argentina</v>
      </c>
      <c r="C912" s="481" t="str">
        <v>Portugal</v>
      </c>
      <c r="D912" s="481" t="str">
        <v>Netherlands</v>
      </c>
      <c r="E912" s="481" t="str">
        <v>Mexico</v>
      </c>
      <c r="F912" s="481" t="str">
        <v>Mexico</v>
      </c>
      <c r="G912" s="481" t="str">
        <v>Qatar</v>
      </c>
      <c r="H912" s="481" t="str">
        <v>Morocco</v>
      </c>
      <c r="I912" s="481" t="str">
        <v>USA</v>
      </c>
      <c r="J912" s="481" t="str">
        <v>Germany</v>
      </c>
      <c r="K912" s="481" t="str">
        <v>Netherlands</v>
      </c>
      <c r="L912" s="481" t="str">
        <v>Belgium</v>
      </c>
      <c r="M912" s="481" t="str">
        <v>Spain</v>
      </c>
      <c r="N912" s="481" t="str">
        <v>France</v>
      </c>
      <c r="O912" s="481" t="str">
        <v>Argentina</v>
      </c>
      <c r="P912" s="481" t="str">
        <v>Portugal</v>
      </c>
      <c r="Q912" s="490" t="str">
        <v>England</v>
      </c>
    </row>
    <row r="913" spans="1:17" x14ac:dyDescent="0.2">
      <c r="A913" s="489">
        <v>910</v>
      </c>
      <c r="B913" s="481" t="str">
        <v>Korea Republic</v>
      </c>
      <c r="C913" s="481" t="str">
        <v>Uruguay</v>
      </c>
      <c r="D913" s="481" t="str">
        <v>Morocco</v>
      </c>
      <c r="E913" s="481" t="str">
        <v>Germany</v>
      </c>
      <c r="F913" s="481" t="str">
        <v>Korea Republic</v>
      </c>
      <c r="G913" s="481" t="str">
        <v>Qatar</v>
      </c>
      <c r="H913" s="481" t="str">
        <v>Brazil</v>
      </c>
      <c r="I913" s="481" t="str">
        <v>USA</v>
      </c>
      <c r="J913" s="481" t="str">
        <v>Germany</v>
      </c>
      <c r="K913" s="481" t="str">
        <v>Sweden</v>
      </c>
      <c r="L913" s="481" t="str">
        <v>Egypt</v>
      </c>
      <c r="M913" s="481" t="str">
        <v>Spain</v>
      </c>
      <c r="N913" s="481" t="str">
        <v>Norway</v>
      </c>
      <c r="O913" s="481" t="str">
        <v>Algeria</v>
      </c>
      <c r="P913" s="481" t="str">
        <v>Portugal</v>
      </c>
      <c r="Q913" s="490" t="str">
        <v>England</v>
      </c>
    </row>
    <row r="914" spans="1:17" x14ac:dyDescent="0.2">
      <c r="A914" s="489">
        <v>911</v>
      </c>
      <c r="B914" s="481" t="str">
        <v>Belgium</v>
      </c>
      <c r="C914" s="481" t="str">
        <v>Japan</v>
      </c>
      <c r="D914" s="481" t="str">
        <v>Senegal</v>
      </c>
      <c r="E914" s="481" t="str">
        <v>Netherlands</v>
      </c>
      <c r="F914" s="481" t="str">
        <v>Mexico</v>
      </c>
      <c r="G914" s="481" t="str">
        <v>Switzerland</v>
      </c>
      <c r="H914" s="481" t="str">
        <v>Brazil</v>
      </c>
      <c r="I914" s="481" t="str">
        <v>USA</v>
      </c>
      <c r="J914" s="481" t="str">
        <v>Germany</v>
      </c>
      <c r="K914" s="481" t="str">
        <v>Sweden</v>
      </c>
      <c r="L914" s="481" t="str">
        <v>Belgium</v>
      </c>
      <c r="M914" s="481" t="str">
        <v>Spain</v>
      </c>
      <c r="N914" s="481" t="str">
        <v>France</v>
      </c>
      <c r="O914" s="481" t="str">
        <v>Argentina</v>
      </c>
      <c r="P914" s="481" t="str">
        <v>Colombia</v>
      </c>
      <c r="Q914" s="490" t="str">
        <v>England</v>
      </c>
    </row>
    <row r="915" spans="1:17" x14ac:dyDescent="0.2">
      <c r="A915" s="489">
        <v>912</v>
      </c>
      <c r="B915" s="481" t="str">
        <v>England</v>
      </c>
      <c r="C915" s="481" t="str">
        <v>Portugal</v>
      </c>
      <c r="D915" s="481" t="str">
        <v>Colombia</v>
      </c>
      <c r="E915" s="481" t="str">
        <v>England</v>
      </c>
      <c r="F915" s="481" t="str">
        <v>Mexico</v>
      </c>
      <c r="G915" s="481" t="str">
        <v>Switzerland</v>
      </c>
      <c r="H915" s="481" t="str">
        <v>Brazil</v>
      </c>
      <c r="I915" s="481" t="str">
        <v>USA</v>
      </c>
      <c r="J915" s="481" t="str">
        <v>Cote d'Ivorie</v>
      </c>
      <c r="K915" s="481" t="str">
        <v>Japan</v>
      </c>
      <c r="L915" s="481" t="str">
        <v>Belgium</v>
      </c>
      <c r="M915" s="481" t="str">
        <v>Uruguay</v>
      </c>
      <c r="N915" s="481" t="str">
        <v>France</v>
      </c>
      <c r="O915" s="481" t="str">
        <v>Argentina</v>
      </c>
      <c r="P915" s="481" t="str">
        <v>Portugal</v>
      </c>
      <c r="Q915" s="490" t="str">
        <v>Croatia</v>
      </c>
    </row>
    <row r="916" spans="1:17" x14ac:dyDescent="0.2">
      <c r="A916" s="489">
        <v>913</v>
      </c>
      <c r="B916" s="481" t="str">
        <v>Brazil</v>
      </c>
      <c r="C916" s="481" t="str">
        <v>Spain</v>
      </c>
      <c r="D916" s="481" t="str">
        <v>Senegal</v>
      </c>
      <c r="E916" s="481" t="str">
        <v>Mexico</v>
      </c>
      <c r="F916" s="481" t="str">
        <v>Mexico</v>
      </c>
      <c r="G916" s="481" t="str">
        <v>Switzerland</v>
      </c>
      <c r="H916" s="481" t="str">
        <v>Brazil</v>
      </c>
      <c r="I916" s="481" t="str">
        <v>USA</v>
      </c>
      <c r="J916" s="481" t="str">
        <v>Germany</v>
      </c>
      <c r="K916" s="481" t="str">
        <v>Japan</v>
      </c>
      <c r="L916" s="481" t="str">
        <v>IR Iran</v>
      </c>
      <c r="M916" s="481" t="str">
        <v>Uruguay</v>
      </c>
      <c r="N916" s="481" t="str">
        <v>Norway</v>
      </c>
      <c r="O916" s="481" t="str">
        <v>Argentina</v>
      </c>
      <c r="P916" s="481" t="str">
        <v>Portugal</v>
      </c>
      <c r="Q916" s="490" t="str">
        <v>England</v>
      </c>
    </row>
    <row r="917" spans="1:17" x14ac:dyDescent="0.2">
      <c r="A917" s="489">
        <v>914</v>
      </c>
      <c r="B917" s="481" t="str">
        <v>Brazil</v>
      </c>
      <c r="C917" s="481" t="str">
        <v>Uruguay</v>
      </c>
      <c r="D917" s="481" t="str">
        <v>Spain</v>
      </c>
      <c r="E917" s="481" t="str">
        <v>Mexico</v>
      </c>
      <c r="F917" s="481" t="str">
        <v>Mexico</v>
      </c>
      <c r="G917" s="481" t="str">
        <v>Canada</v>
      </c>
      <c r="H917" s="481" t="str">
        <v>Brazil</v>
      </c>
      <c r="I917" s="481" t="str">
        <v>Australia</v>
      </c>
      <c r="J917" s="481" t="str">
        <v>Germany</v>
      </c>
      <c r="K917" s="481" t="str">
        <v>Japan</v>
      </c>
      <c r="L917" s="481" t="str">
        <v>Belgium</v>
      </c>
      <c r="M917" s="481" t="str">
        <v>Saudi Arabia</v>
      </c>
      <c r="N917" s="481" t="str">
        <v>France</v>
      </c>
      <c r="O917" s="481" t="str">
        <v>Argentina</v>
      </c>
      <c r="P917" s="481" t="str">
        <v>Portugal</v>
      </c>
      <c r="Q917" s="490" t="str">
        <v>England</v>
      </c>
    </row>
    <row r="918" spans="1:17" x14ac:dyDescent="0.2">
      <c r="A918" s="489">
        <v>915</v>
      </c>
      <c r="B918" s="481" t="str">
        <v>Portugal</v>
      </c>
      <c r="C918" s="481" t="str">
        <v>Germany</v>
      </c>
      <c r="D918" s="481" t="str">
        <v>France</v>
      </c>
      <c r="E918" s="481" t="str">
        <v>Portugal</v>
      </c>
      <c r="F918" s="481" t="str">
        <v>Mexico</v>
      </c>
      <c r="G918" s="481" t="str">
        <v>Switzerland</v>
      </c>
      <c r="H918" s="481" t="str">
        <v>Morocco</v>
      </c>
      <c r="I918" s="481" t="str">
        <v>USA</v>
      </c>
      <c r="J918" s="481" t="str">
        <v>Cote d'Ivorie</v>
      </c>
      <c r="K918" s="481" t="str">
        <v>Japan</v>
      </c>
      <c r="L918" s="481" t="str">
        <v>Egypt</v>
      </c>
      <c r="M918" s="481" t="str">
        <v>Spain</v>
      </c>
      <c r="N918" s="481" t="str">
        <v>Senegal</v>
      </c>
      <c r="O918" s="481" t="str">
        <v>Argentina</v>
      </c>
      <c r="P918" s="481" t="str">
        <v>Portugal</v>
      </c>
      <c r="Q918" s="490" t="str">
        <v>Croatia</v>
      </c>
    </row>
    <row r="919" spans="1:17" x14ac:dyDescent="0.2">
      <c r="A919" s="489">
        <v>916</v>
      </c>
      <c r="B919" s="481" t="str">
        <v>Brazil</v>
      </c>
      <c r="C919" s="481" t="str">
        <v>Brazil</v>
      </c>
      <c r="D919" s="481" t="str">
        <v>Argentina</v>
      </c>
      <c r="E919" s="481" t="str">
        <v>Uruguay</v>
      </c>
      <c r="F919" s="481" t="str">
        <v>Mexico</v>
      </c>
      <c r="G919" s="481" t="str">
        <v>Switzerland</v>
      </c>
      <c r="H919" s="481" t="str">
        <v>Scotland</v>
      </c>
      <c r="I919" s="481" t="str">
        <v>USA</v>
      </c>
      <c r="J919" s="481" t="str">
        <v>Germany</v>
      </c>
      <c r="K919" s="481" t="str">
        <v>Japan</v>
      </c>
      <c r="L919" s="481" t="str">
        <v>Belgium</v>
      </c>
      <c r="M919" s="481" t="str">
        <v>Uruguay</v>
      </c>
      <c r="N919" s="481" t="str">
        <v>France</v>
      </c>
      <c r="O919" s="481" t="str">
        <v>Austria</v>
      </c>
      <c r="P919" s="481" t="str">
        <v>Colombia</v>
      </c>
      <c r="Q919" s="490" t="str">
        <v>England</v>
      </c>
    </row>
    <row r="920" spans="1:17" x14ac:dyDescent="0.2">
      <c r="A920" s="489">
        <v>917</v>
      </c>
      <c r="B920" s="481" t="str">
        <v>Portugal</v>
      </c>
      <c r="C920" s="481" t="str">
        <v>Spain</v>
      </c>
      <c r="D920" s="481" t="str">
        <v>Germany</v>
      </c>
      <c r="E920" s="481" t="str">
        <v>Belgium</v>
      </c>
      <c r="F920" s="481" t="str">
        <v>Korea Republic</v>
      </c>
      <c r="G920" s="481" t="str">
        <v>Qatar</v>
      </c>
      <c r="H920" s="481" t="str">
        <v>Brazil</v>
      </c>
      <c r="I920" s="481" t="str">
        <v>USA</v>
      </c>
      <c r="J920" s="481" t="str">
        <v>Germany</v>
      </c>
      <c r="K920" s="481" t="str">
        <v>Sweden</v>
      </c>
      <c r="L920" s="481" t="str">
        <v>Belgium</v>
      </c>
      <c r="M920" s="481" t="str">
        <v>Spain</v>
      </c>
      <c r="N920" s="481" t="str">
        <v>France</v>
      </c>
      <c r="O920" s="481" t="str">
        <v>Algeria</v>
      </c>
      <c r="P920" s="481" t="str">
        <v>Colombia</v>
      </c>
      <c r="Q920" s="490" t="str">
        <v>Croatia</v>
      </c>
    </row>
    <row r="921" spans="1:17" x14ac:dyDescent="0.2">
      <c r="A921" s="489">
        <v>918</v>
      </c>
      <c r="B921" s="481" t="str">
        <v>France</v>
      </c>
      <c r="C921" s="481" t="str">
        <v>USA</v>
      </c>
      <c r="D921" s="481" t="str">
        <v>Germany</v>
      </c>
      <c r="E921" s="481" t="str">
        <v>Croatia</v>
      </c>
      <c r="F921" s="481" t="str">
        <v>Mexico</v>
      </c>
      <c r="G921" s="481" t="str">
        <v>Qatar</v>
      </c>
      <c r="H921" s="481" t="str">
        <v>Brazil</v>
      </c>
      <c r="I921" s="481" t="str">
        <v>USA</v>
      </c>
      <c r="J921" s="481" t="str">
        <v>Germany</v>
      </c>
      <c r="K921" s="481" t="str">
        <v>Netherlands</v>
      </c>
      <c r="L921" s="481" t="str">
        <v>Belgium</v>
      </c>
      <c r="M921" s="481" t="str">
        <v>Saudi Arabia</v>
      </c>
      <c r="N921" s="481" t="str">
        <v>France</v>
      </c>
      <c r="O921" s="481" t="str">
        <v>Argentina</v>
      </c>
      <c r="P921" s="481" t="str">
        <v>Portugal</v>
      </c>
      <c r="Q921" s="490" t="str">
        <v>England</v>
      </c>
    </row>
    <row r="922" spans="1:17" x14ac:dyDescent="0.2">
      <c r="A922" s="489">
        <v>919</v>
      </c>
      <c r="B922" s="481" t="str">
        <v>France</v>
      </c>
      <c r="C922" s="481" t="str">
        <v>Algeria</v>
      </c>
      <c r="D922" s="481" t="str">
        <v>Portugal</v>
      </c>
      <c r="E922" s="481" t="str">
        <v>France</v>
      </c>
      <c r="F922" s="481" t="str">
        <v>Mexico</v>
      </c>
      <c r="G922" s="481" t="str">
        <v>Switzerland</v>
      </c>
      <c r="H922" s="481" t="str">
        <v>Morocco</v>
      </c>
      <c r="I922" s="481" t="str">
        <v>USA</v>
      </c>
      <c r="J922" s="481" t="str">
        <v>Germany</v>
      </c>
      <c r="K922" s="481" t="str">
        <v>Netherlands</v>
      </c>
      <c r="L922" s="481" t="str">
        <v>Belgium</v>
      </c>
      <c r="M922" s="481" t="str">
        <v>Spain</v>
      </c>
      <c r="N922" s="481" t="str">
        <v>France</v>
      </c>
      <c r="O922" s="481" t="str">
        <v>Argentina</v>
      </c>
      <c r="P922" s="481" t="str">
        <v>Colombia</v>
      </c>
      <c r="Q922" s="490" t="str">
        <v>England</v>
      </c>
    </row>
    <row r="923" spans="1:17" x14ac:dyDescent="0.2">
      <c r="A923" s="489">
        <v>920</v>
      </c>
      <c r="B923" s="481" t="str">
        <v>Morocco</v>
      </c>
      <c r="C923" s="481" t="str">
        <v>France</v>
      </c>
      <c r="D923" s="481" t="str">
        <v>Brazil</v>
      </c>
      <c r="E923" s="481" t="str">
        <v>Switzerland</v>
      </c>
      <c r="F923" s="481" t="str">
        <v>Mexico</v>
      </c>
      <c r="G923" s="481" t="str">
        <v>Canada</v>
      </c>
      <c r="H923" s="481" t="str">
        <v>Brazil</v>
      </c>
      <c r="I923" s="481" t="str">
        <v>USA</v>
      </c>
      <c r="J923" s="481" t="str">
        <v>Germany</v>
      </c>
      <c r="K923" s="481" t="str">
        <v>Sweden</v>
      </c>
      <c r="L923" s="481" t="str">
        <v>IR Iran</v>
      </c>
      <c r="M923" s="481" t="str">
        <v>Spain</v>
      </c>
      <c r="N923" s="481" t="str">
        <v>France</v>
      </c>
      <c r="O923" s="481" t="str">
        <v>Argentina</v>
      </c>
      <c r="P923" s="481" t="str">
        <v>Colombia</v>
      </c>
      <c r="Q923" s="490" t="str">
        <v>England</v>
      </c>
    </row>
    <row r="924" spans="1:17" x14ac:dyDescent="0.2">
      <c r="A924" s="489">
        <v>921</v>
      </c>
      <c r="B924" s="481" t="str">
        <v>Argentina</v>
      </c>
      <c r="C924" s="481" t="str">
        <v>Turkiye</v>
      </c>
      <c r="D924" s="481" t="str">
        <v>Germany</v>
      </c>
      <c r="E924" s="481" t="str">
        <v>Germany</v>
      </c>
      <c r="F924" s="481" t="str">
        <v>Korea Republic</v>
      </c>
      <c r="G924" s="481" t="str">
        <v>Switzerland</v>
      </c>
      <c r="H924" s="481" t="str">
        <v>Haiti</v>
      </c>
      <c r="I924" s="481" t="str">
        <v>USA</v>
      </c>
      <c r="J924" s="481" t="str">
        <v>Germany</v>
      </c>
      <c r="K924" s="481" t="str">
        <v>Japan</v>
      </c>
      <c r="L924" s="481" t="str">
        <v>Belgium</v>
      </c>
      <c r="M924" s="481" t="str">
        <v>Spain</v>
      </c>
      <c r="N924" s="481" t="str">
        <v>France</v>
      </c>
      <c r="O924" s="481" t="str">
        <v>Argentina</v>
      </c>
      <c r="P924" s="481" t="str">
        <v>Portugal</v>
      </c>
      <c r="Q924" s="490" t="str">
        <v>Croatia</v>
      </c>
    </row>
    <row r="925" spans="1:17" x14ac:dyDescent="0.2">
      <c r="A925" s="489">
        <v>922</v>
      </c>
      <c r="B925" s="481" t="str">
        <v>USA</v>
      </c>
      <c r="C925" s="481" t="str">
        <v>Brazil</v>
      </c>
      <c r="D925" s="481" t="str">
        <v>Brazil</v>
      </c>
      <c r="E925" s="481" t="str">
        <v>Croatia</v>
      </c>
      <c r="F925" s="481" t="str">
        <v>Mexico</v>
      </c>
      <c r="G925" s="481" t="str">
        <v>Switzerland</v>
      </c>
      <c r="H925" s="481" t="str">
        <v>Morocco</v>
      </c>
      <c r="I925" s="481" t="str">
        <v>Australia</v>
      </c>
      <c r="J925" s="481" t="str">
        <v>Cote d'Ivorie</v>
      </c>
      <c r="K925" s="481" t="str">
        <v>Netherlands</v>
      </c>
      <c r="L925" s="481" t="str">
        <v>Belgium</v>
      </c>
      <c r="M925" s="481" t="str">
        <v>Uruguay</v>
      </c>
      <c r="N925" s="481" t="str">
        <v>France</v>
      </c>
      <c r="O925" s="481" t="str">
        <v>Algeria</v>
      </c>
      <c r="P925" s="481" t="str">
        <v>Portugal</v>
      </c>
      <c r="Q925" s="490" t="str">
        <v>England</v>
      </c>
    </row>
    <row r="926" spans="1:17" x14ac:dyDescent="0.2">
      <c r="A926" s="489">
        <v>923</v>
      </c>
      <c r="B926" s="481" t="str">
        <v>Belgium</v>
      </c>
      <c r="C926" s="481" t="str">
        <v>Mexico</v>
      </c>
      <c r="D926" s="481" t="str">
        <v>Spain</v>
      </c>
      <c r="E926" s="481" t="str">
        <v>Portugal</v>
      </c>
      <c r="F926" s="481" t="str">
        <v>Korea Republic</v>
      </c>
      <c r="G926" s="481" t="str">
        <v>Qatar</v>
      </c>
      <c r="H926" s="481" t="str">
        <v>Brazil</v>
      </c>
      <c r="I926" s="481" t="str">
        <v>USA</v>
      </c>
      <c r="J926" s="481" t="str">
        <v>Germany</v>
      </c>
      <c r="K926" s="481" t="str">
        <v>Netherlands</v>
      </c>
      <c r="L926" s="481" t="str">
        <v>Belgium</v>
      </c>
      <c r="M926" s="481" t="str">
        <v>Uruguay</v>
      </c>
      <c r="N926" s="481" t="str">
        <v>France</v>
      </c>
      <c r="O926" s="481" t="str">
        <v>Argentina</v>
      </c>
      <c r="P926" s="481" t="str">
        <v>Colombia</v>
      </c>
      <c r="Q926" s="490" t="str">
        <v>Croatia</v>
      </c>
    </row>
    <row r="927" spans="1:17" x14ac:dyDescent="0.2">
      <c r="A927" s="489">
        <v>924</v>
      </c>
      <c r="B927" s="481" t="str">
        <v>France</v>
      </c>
      <c r="C927" s="481" t="str">
        <v>Netherlands</v>
      </c>
      <c r="D927" s="481" t="str">
        <v>Netherlands</v>
      </c>
      <c r="E927" s="481" t="str">
        <v>Japan</v>
      </c>
      <c r="F927" s="481" t="str">
        <v>Mexico</v>
      </c>
      <c r="G927" s="481" t="str">
        <v>Switzerland</v>
      </c>
      <c r="H927" s="481" t="str">
        <v>Scotland</v>
      </c>
      <c r="I927" s="481" t="str">
        <v>Australia</v>
      </c>
      <c r="J927" s="481" t="str">
        <v>Cote d'Ivorie</v>
      </c>
      <c r="K927" s="481" t="str">
        <v>Japan</v>
      </c>
      <c r="L927" s="481" t="str">
        <v>Belgium</v>
      </c>
      <c r="M927" s="481" t="str">
        <v>Spain</v>
      </c>
      <c r="N927" s="481" t="str">
        <v>Norway</v>
      </c>
      <c r="O927" s="481" t="str">
        <v>Argentina</v>
      </c>
      <c r="P927" s="481" t="str">
        <v>Colombia</v>
      </c>
      <c r="Q927" s="490" t="str">
        <v>Croatia</v>
      </c>
    </row>
    <row r="928" spans="1:17" x14ac:dyDescent="0.2">
      <c r="A928" s="489">
        <v>925</v>
      </c>
      <c r="B928" s="481" t="str">
        <v>Argentina</v>
      </c>
      <c r="C928" s="481" t="str">
        <v>Belgium</v>
      </c>
      <c r="D928" s="481" t="str">
        <v>Portugal</v>
      </c>
      <c r="E928" s="481" t="str">
        <v>Scotland</v>
      </c>
      <c r="F928" s="481" t="str">
        <v>Korea Republic</v>
      </c>
      <c r="G928" s="481" t="str">
        <v>Switzerland</v>
      </c>
      <c r="H928" s="481" t="str">
        <v>Morocco</v>
      </c>
      <c r="I928" s="481" t="str">
        <v>USA</v>
      </c>
      <c r="J928" s="481" t="str">
        <v>Cote d'Ivorie</v>
      </c>
      <c r="K928" s="481" t="str">
        <v>Sweden</v>
      </c>
      <c r="L928" s="481" t="str">
        <v>Belgium</v>
      </c>
      <c r="M928" s="481" t="str">
        <v>Uruguay</v>
      </c>
      <c r="N928" s="481" t="str">
        <v>France</v>
      </c>
      <c r="O928" s="481" t="str">
        <v>Argentina</v>
      </c>
      <c r="P928" s="481" t="str">
        <v>Colombia</v>
      </c>
      <c r="Q928" s="490" t="str">
        <v>Croatia</v>
      </c>
    </row>
    <row r="929" spans="1:17" x14ac:dyDescent="0.2">
      <c r="A929" s="489">
        <v>926</v>
      </c>
      <c r="B929" s="481" t="str">
        <v>France</v>
      </c>
      <c r="C929" s="481" t="str">
        <v>Brazil</v>
      </c>
      <c r="D929" s="481" t="str">
        <v>Croatia</v>
      </c>
      <c r="E929" s="481" t="str">
        <v>Brazil</v>
      </c>
      <c r="F929" s="481" t="str">
        <v>Mexico</v>
      </c>
      <c r="G929" s="481" t="str">
        <v>Switzerland</v>
      </c>
      <c r="H929" s="481" t="str">
        <v>Brazil</v>
      </c>
      <c r="I929" s="481" t="str">
        <v>USA</v>
      </c>
      <c r="J929" s="481" t="str">
        <v>Germany</v>
      </c>
      <c r="K929" s="481" t="str">
        <v>Japan</v>
      </c>
      <c r="L929" s="481" t="str">
        <v>Egypt</v>
      </c>
      <c r="M929" s="481" t="str">
        <v>Spain</v>
      </c>
      <c r="N929" s="481" t="str">
        <v>Senegal</v>
      </c>
      <c r="O929" s="481" t="str">
        <v>Argentina</v>
      </c>
      <c r="P929" s="481" t="str">
        <v>Portugal</v>
      </c>
      <c r="Q929" s="490" t="str">
        <v>England</v>
      </c>
    </row>
    <row r="930" spans="1:17" x14ac:dyDescent="0.2">
      <c r="A930" s="489">
        <v>927</v>
      </c>
      <c r="B930" s="481" t="str">
        <v>Argentina</v>
      </c>
      <c r="C930" s="481" t="str">
        <v>Argentina</v>
      </c>
      <c r="D930" s="481" t="str">
        <v>England</v>
      </c>
      <c r="E930" s="481" t="str">
        <v>Mexico</v>
      </c>
      <c r="F930" s="481" t="str">
        <v>Mexico</v>
      </c>
      <c r="G930" s="481" t="str">
        <v>Switzerland</v>
      </c>
      <c r="H930" s="481" t="str">
        <v>Morocco</v>
      </c>
      <c r="I930" s="481" t="str">
        <v>USA</v>
      </c>
      <c r="J930" s="481" t="str">
        <v>Germany</v>
      </c>
      <c r="K930" s="481" t="str">
        <v>Sweden</v>
      </c>
      <c r="L930" s="481" t="str">
        <v>IR Iran</v>
      </c>
      <c r="M930" s="481" t="str">
        <v>Cabo Verde</v>
      </c>
      <c r="N930" s="481" t="str">
        <v>France</v>
      </c>
      <c r="O930" s="481" t="str">
        <v>Argentina</v>
      </c>
      <c r="P930" s="481" t="str">
        <v>Portugal</v>
      </c>
      <c r="Q930" s="490" t="str">
        <v>Croatia</v>
      </c>
    </row>
    <row r="931" spans="1:17" x14ac:dyDescent="0.2">
      <c r="A931" s="489">
        <v>928</v>
      </c>
      <c r="B931" s="481" t="str">
        <v>USA</v>
      </c>
      <c r="C931" s="481" t="str">
        <v>Argentina</v>
      </c>
      <c r="D931" s="481" t="str">
        <v>Senegal</v>
      </c>
      <c r="E931" s="481" t="str">
        <v>Uruguay</v>
      </c>
      <c r="F931" s="481" t="str">
        <v>Korea Republic</v>
      </c>
      <c r="G931" s="481" t="str">
        <v>Switzerland</v>
      </c>
      <c r="H931" s="481" t="str">
        <v>Morocco</v>
      </c>
      <c r="I931" s="481" t="str">
        <v>USA</v>
      </c>
      <c r="J931" s="481" t="str">
        <v>Cote d'Ivorie</v>
      </c>
      <c r="K931" s="481" t="str">
        <v>Netherlands</v>
      </c>
      <c r="L931" s="481" t="str">
        <v>Belgium</v>
      </c>
      <c r="M931" s="481" t="str">
        <v>Spain</v>
      </c>
      <c r="N931" s="481" t="str">
        <v>Senegal</v>
      </c>
      <c r="O931" s="481" t="str">
        <v>Argentina</v>
      </c>
      <c r="P931" s="481" t="str">
        <v>Colombia</v>
      </c>
      <c r="Q931" s="490" t="str">
        <v>England</v>
      </c>
    </row>
    <row r="932" spans="1:17" x14ac:dyDescent="0.2">
      <c r="A932" s="489">
        <v>929</v>
      </c>
      <c r="B932" s="481" t="str">
        <v>Portugal</v>
      </c>
      <c r="C932" s="481" t="str">
        <v>Portugal</v>
      </c>
      <c r="D932" s="481" t="str">
        <v>England</v>
      </c>
      <c r="E932" s="481" t="str">
        <v>Colombia</v>
      </c>
      <c r="F932" s="481" t="str">
        <v>Korea Republic</v>
      </c>
      <c r="G932" s="481" t="str">
        <v>Canada</v>
      </c>
      <c r="H932" s="481" t="str">
        <v>Morocco</v>
      </c>
      <c r="I932" s="481" t="str">
        <v>USA</v>
      </c>
      <c r="J932" s="481" t="str">
        <v>Germany</v>
      </c>
      <c r="K932" s="481" t="str">
        <v>Japan</v>
      </c>
      <c r="L932" s="481" t="str">
        <v>Belgium</v>
      </c>
      <c r="M932" s="481" t="str">
        <v>Spain</v>
      </c>
      <c r="N932" s="481" t="str">
        <v>France</v>
      </c>
      <c r="O932" s="481" t="str">
        <v>Algeria</v>
      </c>
      <c r="P932" s="481" t="str">
        <v>Colombia</v>
      </c>
      <c r="Q932" s="490" t="str">
        <v>Croatia</v>
      </c>
    </row>
    <row r="933" spans="1:17" x14ac:dyDescent="0.2">
      <c r="A933" s="489">
        <v>930</v>
      </c>
      <c r="B933" s="481" t="str">
        <v>Spain</v>
      </c>
      <c r="C933" s="481" t="str">
        <v>Australia</v>
      </c>
      <c r="D933" s="481" t="str">
        <v>England</v>
      </c>
      <c r="E933" s="481" t="str">
        <v>Mexico</v>
      </c>
      <c r="F933" s="481" t="str">
        <v>Mexico</v>
      </c>
      <c r="G933" s="481" t="str">
        <v>Bosnia-Herzegovina</v>
      </c>
      <c r="H933" s="481" t="str">
        <v>Morocco</v>
      </c>
      <c r="I933" s="481" t="str">
        <v>USA</v>
      </c>
      <c r="J933" s="481" t="str">
        <v>Germany</v>
      </c>
      <c r="K933" s="481" t="str">
        <v>Japan</v>
      </c>
      <c r="L933" s="481" t="str">
        <v>Belgium</v>
      </c>
      <c r="M933" s="481" t="str">
        <v>Spain</v>
      </c>
      <c r="N933" s="481" t="str">
        <v>France</v>
      </c>
      <c r="O933" s="481" t="str">
        <v>Argentina</v>
      </c>
      <c r="P933" s="481" t="str">
        <v>Portugal</v>
      </c>
      <c r="Q933" s="490" t="str">
        <v>England</v>
      </c>
    </row>
    <row r="934" spans="1:17" x14ac:dyDescent="0.2">
      <c r="A934" s="489">
        <v>931</v>
      </c>
      <c r="B934" s="481" t="str">
        <v>France</v>
      </c>
      <c r="C934" s="481" t="str">
        <v>Uruguay</v>
      </c>
      <c r="D934" s="481" t="str">
        <v>Brazil</v>
      </c>
      <c r="E934" s="481" t="str">
        <v>England</v>
      </c>
      <c r="F934" s="481" t="str">
        <v>Mexico</v>
      </c>
      <c r="G934" s="481" t="str">
        <v>Switzerland</v>
      </c>
      <c r="H934" s="481" t="str">
        <v>Brazil</v>
      </c>
      <c r="I934" s="481" t="str">
        <v>USA</v>
      </c>
      <c r="J934" s="481" t="str">
        <v>Cote d'Ivorie</v>
      </c>
      <c r="K934" s="481" t="str">
        <v>Sweden</v>
      </c>
      <c r="L934" s="481" t="str">
        <v>Belgium</v>
      </c>
      <c r="M934" s="481" t="str">
        <v>Spain</v>
      </c>
      <c r="N934" s="481" t="str">
        <v>France</v>
      </c>
      <c r="O934" s="481" t="str">
        <v>Argentina</v>
      </c>
      <c r="P934" s="481" t="str">
        <v>Portugal</v>
      </c>
      <c r="Q934" s="490" t="str">
        <v>Croatia</v>
      </c>
    </row>
    <row r="935" spans="1:17" x14ac:dyDescent="0.2">
      <c r="A935" s="489">
        <v>932</v>
      </c>
      <c r="B935" s="481" t="str">
        <v>Germany</v>
      </c>
      <c r="C935" s="481" t="str">
        <v>France</v>
      </c>
      <c r="D935" s="481" t="str">
        <v>England</v>
      </c>
      <c r="E935" s="481" t="str">
        <v>Algeria</v>
      </c>
      <c r="F935" s="481" t="str">
        <v>Korea Republic</v>
      </c>
      <c r="G935" s="481" t="str">
        <v>Bosnia-Herzegovina</v>
      </c>
      <c r="H935" s="481" t="str">
        <v>Morocco</v>
      </c>
      <c r="I935" s="481" t="str">
        <v>Australia</v>
      </c>
      <c r="J935" s="481" t="str">
        <v>Ecuador</v>
      </c>
      <c r="K935" s="481" t="str">
        <v>Japan</v>
      </c>
      <c r="L935" s="481" t="str">
        <v>Egypt</v>
      </c>
      <c r="M935" s="481" t="str">
        <v>Spain</v>
      </c>
      <c r="N935" s="481" t="str">
        <v>Norway</v>
      </c>
      <c r="O935" s="481" t="str">
        <v>Algeria</v>
      </c>
      <c r="P935" s="481" t="str">
        <v>Portugal</v>
      </c>
      <c r="Q935" s="490" t="str">
        <v>Croatia</v>
      </c>
    </row>
    <row r="936" spans="1:17" x14ac:dyDescent="0.2">
      <c r="A936" s="489">
        <v>933</v>
      </c>
      <c r="B936" s="481" t="str">
        <v>Croatia</v>
      </c>
      <c r="C936" s="481" t="str">
        <v>Croatia</v>
      </c>
      <c r="D936" s="481" t="str">
        <v>France</v>
      </c>
      <c r="E936" s="481" t="str">
        <v>France</v>
      </c>
      <c r="F936" s="481" t="str">
        <v>Mexico</v>
      </c>
      <c r="G936" s="481" t="str">
        <v>Qatar</v>
      </c>
      <c r="H936" s="481" t="str">
        <v>Morocco</v>
      </c>
      <c r="I936" s="481" t="str">
        <v>Australia</v>
      </c>
      <c r="J936" s="481" t="str">
        <v>Germany</v>
      </c>
      <c r="K936" s="481" t="str">
        <v>Netherlands</v>
      </c>
      <c r="L936" s="481" t="str">
        <v>Belgium</v>
      </c>
      <c r="M936" s="481" t="str">
        <v>Spain</v>
      </c>
      <c r="N936" s="481" t="str">
        <v>Norway</v>
      </c>
      <c r="O936" s="481" t="str">
        <v>Algeria</v>
      </c>
      <c r="P936" s="481" t="str">
        <v>Portugal</v>
      </c>
      <c r="Q936" s="490" t="str">
        <v>England</v>
      </c>
    </row>
    <row r="937" spans="1:17" x14ac:dyDescent="0.2">
      <c r="A937" s="489">
        <v>934</v>
      </c>
      <c r="B937" s="481" t="str">
        <v>Brazil</v>
      </c>
      <c r="C937" s="481" t="str">
        <v>Brazil</v>
      </c>
      <c r="D937" s="481" t="str">
        <v>England</v>
      </c>
      <c r="E937" s="481" t="str">
        <v>France</v>
      </c>
      <c r="F937" s="481" t="str">
        <v>Mexico</v>
      </c>
      <c r="G937" s="481" t="str">
        <v>Canada</v>
      </c>
      <c r="H937" s="481" t="str">
        <v>Morocco</v>
      </c>
      <c r="I937" s="481" t="str">
        <v>Australia</v>
      </c>
      <c r="J937" s="481" t="str">
        <v>Germany</v>
      </c>
      <c r="K937" s="481" t="str">
        <v>Japan</v>
      </c>
      <c r="L937" s="481" t="str">
        <v>Belgium</v>
      </c>
      <c r="M937" s="481" t="str">
        <v>Spain</v>
      </c>
      <c r="N937" s="481" t="str">
        <v>France</v>
      </c>
      <c r="O937" s="481" t="str">
        <v>Argentina</v>
      </c>
      <c r="P937" s="481" t="str">
        <v>Uzbekistan</v>
      </c>
      <c r="Q937" s="490" t="str">
        <v>England</v>
      </c>
    </row>
    <row r="938" spans="1:17" x14ac:dyDescent="0.2">
      <c r="A938" s="489">
        <v>935</v>
      </c>
      <c r="B938" s="481" t="str">
        <v>France</v>
      </c>
      <c r="C938" s="481" t="str">
        <v>Belgium</v>
      </c>
      <c r="D938" s="481" t="str">
        <v>Mexico</v>
      </c>
      <c r="E938" s="481" t="str">
        <v>England</v>
      </c>
      <c r="F938" s="481" t="str">
        <v>Mexico</v>
      </c>
      <c r="G938" s="481" t="str">
        <v>Switzerland</v>
      </c>
      <c r="H938" s="481" t="str">
        <v>Brazil</v>
      </c>
      <c r="I938" s="481" t="str">
        <v>Australia</v>
      </c>
      <c r="J938" s="481" t="str">
        <v>Germany</v>
      </c>
      <c r="K938" s="481" t="str">
        <v>Tunisia</v>
      </c>
      <c r="L938" s="481" t="str">
        <v>Belgium</v>
      </c>
      <c r="M938" s="481" t="str">
        <v>Uruguay</v>
      </c>
      <c r="N938" s="481" t="str">
        <v>France</v>
      </c>
      <c r="O938" s="481" t="str">
        <v>Argentina</v>
      </c>
      <c r="P938" s="481" t="str">
        <v>Portugal</v>
      </c>
      <c r="Q938" s="490" t="str">
        <v>Croatia</v>
      </c>
    </row>
    <row r="939" spans="1:17" x14ac:dyDescent="0.2">
      <c r="A939" s="489">
        <v>936</v>
      </c>
      <c r="B939" s="481" t="str">
        <v>Netherlands</v>
      </c>
      <c r="C939" s="481" t="str">
        <v>Algeria</v>
      </c>
      <c r="D939" s="481" t="str">
        <v>Spain</v>
      </c>
      <c r="E939" s="481" t="str">
        <v>Ecuador</v>
      </c>
      <c r="F939" s="481" t="str">
        <v>Mexico</v>
      </c>
      <c r="G939" s="481" t="str">
        <v>Switzerland</v>
      </c>
      <c r="H939" s="481" t="str">
        <v>Scotland</v>
      </c>
      <c r="I939" s="481" t="str">
        <v>USA</v>
      </c>
      <c r="J939" s="481" t="str">
        <v>Germany</v>
      </c>
      <c r="K939" s="481" t="str">
        <v>Sweden</v>
      </c>
      <c r="L939" s="481" t="str">
        <v>Belgium</v>
      </c>
      <c r="M939" s="481" t="str">
        <v>Spain</v>
      </c>
      <c r="N939" s="481" t="str">
        <v>France</v>
      </c>
      <c r="O939" s="481" t="str">
        <v>Argentina</v>
      </c>
      <c r="P939" s="481" t="str">
        <v>Portugal</v>
      </c>
      <c r="Q939" s="490" t="str">
        <v>Croatia</v>
      </c>
    </row>
    <row r="940" spans="1:17" x14ac:dyDescent="0.2">
      <c r="A940" s="489">
        <v>937</v>
      </c>
      <c r="B940" s="481" t="str">
        <v>Spain</v>
      </c>
      <c r="C940" s="481" t="str">
        <v>Colombia</v>
      </c>
      <c r="D940" s="481" t="str">
        <v>Brazil</v>
      </c>
      <c r="E940" s="481" t="str">
        <v>Argentina</v>
      </c>
      <c r="F940" s="481" t="str">
        <v>Mexico</v>
      </c>
      <c r="G940" s="481" t="str">
        <v>Switzerland</v>
      </c>
      <c r="H940" s="481" t="str">
        <v>Brazil</v>
      </c>
      <c r="I940" s="481" t="str">
        <v>Australia</v>
      </c>
      <c r="J940" s="481" t="str">
        <v>Germany</v>
      </c>
      <c r="K940" s="481" t="str">
        <v>Japan</v>
      </c>
      <c r="L940" s="481" t="str">
        <v>Belgium</v>
      </c>
      <c r="M940" s="481" t="str">
        <v>Uruguay</v>
      </c>
      <c r="N940" s="481" t="str">
        <v>France</v>
      </c>
      <c r="O940" s="481" t="str">
        <v>Argentina</v>
      </c>
      <c r="P940" s="481" t="str">
        <v>Portugal</v>
      </c>
      <c r="Q940" s="490" t="str">
        <v>England</v>
      </c>
    </row>
    <row r="941" spans="1:17" x14ac:dyDescent="0.2">
      <c r="A941" s="489">
        <v>938</v>
      </c>
      <c r="B941" s="481" t="str">
        <v>Argentina</v>
      </c>
      <c r="C941" s="481" t="str">
        <v>Portugal</v>
      </c>
      <c r="D941" s="481" t="str">
        <v>Japan</v>
      </c>
      <c r="E941" s="481" t="str">
        <v>Korea Republic</v>
      </c>
      <c r="F941" s="481" t="str">
        <v>Mexico</v>
      </c>
      <c r="G941" s="481" t="str">
        <v>Canada</v>
      </c>
      <c r="H941" s="481" t="str">
        <v>Brazil</v>
      </c>
      <c r="I941" s="481" t="str">
        <v>USA</v>
      </c>
      <c r="J941" s="481" t="str">
        <v>Germany</v>
      </c>
      <c r="K941" s="481" t="str">
        <v>Japan</v>
      </c>
      <c r="L941" s="481" t="str">
        <v>IR Iran</v>
      </c>
      <c r="M941" s="481" t="str">
        <v>Spain</v>
      </c>
      <c r="N941" s="481" t="str">
        <v>Iraq</v>
      </c>
      <c r="O941" s="481" t="str">
        <v>Argentina</v>
      </c>
      <c r="P941" s="481" t="str">
        <v>Colombia</v>
      </c>
      <c r="Q941" s="490" t="str">
        <v>England</v>
      </c>
    </row>
    <row r="942" spans="1:17" x14ac:dyDescent="0.2">
      <c r="A942" s="489">
        <v>939</v>
      </c>
      <c r="B942" s="481" t="str">
        <v>England</v>
      </c>
      <c r="C942" s="481" t="str">
        <v>Morocco</v>
      </c>
      <c r="D942" s="481" t="str">
        <v>Canada</v>
      </c>
      <c r="E942" s="481" t="str">
        <v>Mexico</v>
      </c>
      <c r="F942" s="481" t="str">
        <v>Mexico</v>
      </c>
      <c r="G942" s="481" t="str">
        <v>Switzerland</v>
      </c>
      <c r="H942" s="481" t="str">
        <v>Morocco</v>
      </c>
      <c r="I942" s="481" t="str">
        <v>USA</v>
      </c>
      <c r="J942" s="481" t="str">
        <v>Cote d'Ivorie</v>
      </c>
      <c r="K942" s="481" t="str">
        <v>Netherlands</v>
      </c>
      <c r="L942" s="481" t="str">
        <v>IR Iran</v>
      </c>
      <c r="M942" s="481" t="str">
        <v>Spain</v>
      </c>
      <c r="N942" s="481" t="str">
        <v>France</v>
      </c>
      <c r="O942" s="481" t="str">
        <v>Argentina</v>
      </c>
      <c r="P942" s="481" t="str">
        <v>Portugal</v>
      </c>
      <c r="Q942" s="490" t="str">
        <v>Croatia</v>
      </c>
    </row>
    <row r="943" spans="1:17" x14ac:dyDescent="0.2">
      <c r="A943" s="489">
        <v>940</v>
      </c>
      <c r="B943" s="481" t="str">
        <v>England</v>
      </c>
      <c r="C943" s="481" t="str">
        <v>Germany</v>
      </c>
      <c r="D943" s="481" t="str">
        <v>Spain</v>
      </c>
      <c r="E943" s="481" t="str">
        <v>Netherlands</v>
      </c>
      <c r="F943" s="481" t="str">
        <v>Mexico</v>
      </c>
      <c r="G943" s="481" t="str">
        <v>Switzerland</v>
      </c>
      <c r="H943" s="481" t="str">
        <v>Brazil</v>
      </c>
      <c r="I943" s="481" t="str">
        <v>USA</v>
      </c>
      <c r="J943" s="481" t="str">
        <v>Cote d'Ivorie</v>
      </c>
      <c r="K943" s="481" t="str">
        <v>Netherlands</v>
      </c>
      <c r="L943" s="481" t="str">
        <v>Belgium</v>
      </c>
      <c r="M943" s="481" t="str">
        <v>Spain</v>
      </c>
      <c r="N943" s="481" t="str">
        <v>France</v>
      </c>
      <c r="O943" s="481" t="str">
        <v>Argentina</v>
      </c>
      <c r="P943" s="481" t="str">
        <v>Portugal</v>
      </c>
      <c r="Q943" s="490" t="str">
        <v>England</v>
      </c>
    </row>
    <row r="944" spans="1:17" x14ac:dyDescent="0.2">
      <c r="A944" s="489">
        <v>941</v>
      </c>
      <c r="B944" s="481" t="str">
        <v>Morocco</v>
      </c>
      <c r="C944" s="481" t="str">
        <v>Portugal</v>
      </c>
      <c r="D944" s="481" t="str">
        <v>Belgium</v>
      </c>
      <c r="E944" s="481" t="str">
        <v>France</v>
      </c>
      <c r="F944" s="481" t="str">
        <v>Mexico</v>
      </c>
      <c r="G944" s="481" t="str">
        <v>Canada</v>
      </c>
      <c r="H944" s="481" t="str">
        <v>Brazil</v>
      </c>
      <c r="I944" s="481" t="str">
        <v>Australia</v>
      </c>
      <c r="J944" s="481" t="str">
        <v>Germany</v>
      </c>
      <c r="K944" s="481" t="str">
        <v>Netherlands</v>
      </c>
      <c r="L944" s="481" t="str">
        <v>Egypt</v>
      </c>
      <c r="M944" s="481" t="str">
        <v>Spain</v>
      </c>
      <c r="N944" s="481" t="str">
        <v>Senegal</v>
      </c>
      <c r="O944" s="481" t="str">
        <v>Argentina</v>
      </c>
      <c r="P944" s="481" t="str">
        <v>Portugal</v>
      </c>
      <c r="Q944" s="490" t="str">
        <v>England</v>
      </c>
    </row>
    <row r="945" spans="1:17" x14ac:dyDescent="0.2">
      <c r="A945" s="489">
        <v>942</v>
      </c>
      <c r="B945" s="481" t="str">
        <v>Spain</v>
      </c>
      <c r="C945" s="481" t="str">
        <v>Portugal</v>
      </c>
      <c r="D945" s="481" t="str">
        <v>England</v>
      </c>
      <c r="E945" s="481" t="str">
        <v>France</v>
      </c>
      <c r="F945" s="481" t="str">
        <v>Mexico</v>
      </c>
      <c r="G945" s="481" t="str">
        <v>Canada</v>
      </c>
      <c r="H945" s="481" t="str">
        <v>Brazil</v>
      </c>
      <c r="I945" s="481" t="str">
        <v>Australia</v>
      </c>
      <c r="J945" s="481" t="str">
        <v>Cote d'Ivorie</v>
      </c>
      <c r="K945" s="481" t="str">
        <v>Japan</v>
      </c>
      <c r="L945" s="481" t="str">
        <v>Egypt</v>
      </c>
      <c r="M945" s="481" t="str">
        <v>Spain</v>
      </c>
      <c r="N945" s="481" t="str">
        <v>France</v>
      </c>
      <c r="O945" s="481" t="str">
        <v>Argentina</v>
      </c>
      <c r="P945" s="481" t="str">
        <v>Colombia</v>
      </c>
      <c r="Q945" s="490" t="str">
        <v>England</v>
      </c>
    </row>
    <row r="946" spans="1:17" x14ac:dyDescent="0.2">
      <c r="A946" s="489">
        <v>943</v>
      </c>
      <c r="B946" s="481" t="str">
        <v>Spain</v>
      </c>
      <c r="C946" s="481" t="str">
        <v>Germany</v>
      </c>
      <c r="D946" s="481" t="str">
        <v>Argentina</v>
      </c>
      <c r="E946" s="481" t="str">
        <v>Morocco</v>
      </c>
      <c r="F946" s="481" t="str">
        <v>Mexico</v>
      </c>
      <c r="G946" s="481" t="str">
        <v>Canada</v>
      </c>
      <c r="H946" s="481" t="str">
        <v>Scotland</v>
      </c>
      <c r="I946" s="481" t="str">
        <v>Australia</v>
      </c>
      <c r="J946" s="481" t="str">
        <v>Ecuador</v>
      </c>
      <c r="K946" s="481" t="str">
        <v>Sweden</v>
      </c>
      <c r="L946" s="481" t="str">
        <v>Belgium</v>
      </c>
      <c r="M946" s="481" t="str">
        <v>Uruguay</v>
      </c>
      <c r="N946" s="481" t="str">
        <v>Norway</v>
      </c>
      <c r="O946" s="481" t="str">
        <v>Argentina</v>
      </c>
      <c r="P946" s="481" t="str">
        <v>Colombia</v>
      </c>
      <c r="Q946" s="490" t="str">
        <v>England</v>
      </c>
    </row>
    <row r="947" spans="1:17" x14ac:dyDescent="0.2">
      <c r="A947" s="489">
        <v>944</v>
      </c>
      <c r="B947" s="481" t="str">
        <v>Netherlands</v>
      </c>
      <c r="C947" s="481" t="str">
        <v>England</v>
      </c>
      <c r="D947" s="481" t="str">
        <v>Switzerland</v>
      </c>
      <c r="E947" s="481" t="str">
        <v>Colombia</v>
      </c>
      <c r="F947" s="481" t="str">
        <v>Mexico</v>
      </c>
      <c r="G947" s="481" t="str">
        <v>Switzerland</v>
      </c>
      <c r="H947" s="481" t="str">
        <v>Brazil</v>
      </c>
      <c r="I947" s="481" t="str">
        <v>USA</v>
      </c>
      <c r="J947" s="481" t="str">
        <v>Germany</v>
      </c>
      <c r="K947" s="481" t="str">
        <v>Sweden</v>
      </c>
      <c r="L947" s="481" t="str">
        <v>Egypt</v>
      </c>
      <c r="M947" s="481" t="str">
        <v>Spain</v>
      </c>
      <c r="N947" s="481" t="str">
        <v>France</v>
      </c>
      <c r="O947" s="481" t="str">
        <v>Argentina</v>
      </c>
      <c r="P947" s="481" t="str">
        <v>Colombia</v>
      </c>
      <c r="Q947" s="490" t="str">
        <v>Croatia</v>
      </c>
    </row>
    <row r="948" spans="1:17" x14ac:dyDescent="0.2">
      <c r="A948" s="489">
        <v>945</v>
      </c>
      <c r="B948" s="481" t="str">
        <v>Portugal</v>
      </c>
      <c r="C948" s="481" t="str">
        <v>France</v>
      </c>
      <c r="D948" s="481" t="str">
        <v>Belgium</v>
      </c>
      <c r="E948" s="481" t="str">
        <v>Germany</v>
      </c>
      <c r="F948" s="481" t="str">
        <v>Mexico</v>
      </c>
      <c r="G948" s="481" t="str">
        <v>Canada</v>
      </c>
      <c r="H948" s="481" t="str">
        <v>Brazil</v>
      </c>
      <c r="I948" s="481" t="str">
        <v>Australia</v>
      </c>
      <c r="J948" s="481" t="str">
        <v>Curaçao</v>
      </c>
      <c r="K948" s="481" t="str">
        <v>Netherlands</v>
      </c>
      <c r="L948" s="481" t="str">
        <v>Egypt</v>
      </c>
      <c r="M948" s="481" t="str">
        <v>Spain</v>
      </c>
      <c r="N948" s="481" t="str">
        <v>France</v>
      </c>
      <c r="O948" s="481" t="str">
        <v>Argentina</v>
      </c>
      <c r="P948" s="481" t="str">
        <v>Portugal</v>
      </c>
      <c r="Q948" s="490" t="str">
        <v>England</v>
      </c>
    </row>
    <row r="949" spans="1:17" x14ac:dyDescent="0.2">
      <c r="A949" s="489">
        <v>946</v>
      </c>
      <c r="B949" s="481" t="str">
        <v>France</v>
      </c>
      <c r="C949" s="481" t="str">
        <v>France</v>
      </c>
      <c r="D949" s="481" t="str">
        <v>USA</v>
      </c>
      <c r="E949" s="481" t="str">
        <v>Argentina</v>
      </c>
      <c r="F949" s="481" t="str">
        <v>Mexico</v>
      </c>
      <c r="G949" s="481" t="str">
        <v>Switzerland</v>
      </c>
      <c r="H949" s="481" t="str">
        <v>Morocco</v>
      </c>
      <c r="I949" s="481" t="str">
        <v>USA</v>
      </c>
      <c r="J949" s="481" t="str">
        <v>Ecuador</v>
      </c>
      <c r="K949" s="481" t="str">
        <v>Sweden</v>
      </c>
      <c r="L949" s="481" t="str">
        <v>New Zealand</v>
      </c>
      <c r="M949" s="481" t="str">
        <v>Spain</v>
      </c>
      <c r="N949" s="481" t="str">
        <v>France</v>
      </c>
      <c r="O949" s="481" t="str">
        <v>Austria</v>
      </c>
      <c r="P949" s="481" t="str">
        <v>Portugal</v>
      </c>
      <c r="Q949" s="490" t="str">
        <v>Panama</v>
      </c>
    </row>
    <row r="950" spans="1:17" x14ac:dyDescent="0.2">
      <c r="A950" s="489">
        <v>947</v>
      </c>
      <c r="B950" s="481" t="str">
        <v>Portugal</v>
      </c>
      <c r="C950" s="481" t="str">
        <v>Brazil</v>
      </c>
      <c r="D950" s="481" t="str">
        <v>England</v>
      </c>
      <c r="E950" s="481" t="str">
        <v>Argentina</v>
      </c>
      <c r="F950" s="481" t="str">
        <v>Korea Republic</v>
      </c>
      <c r="G950" s="481" t="str">
        <v>Bosnia-Herzegovina</v>
      </c>
      <c r="H950" s="481" t="str">
        <v>Brazil</v>
      </c>
      <c r="I950" s="481" t="str">
        <v>Australia</v>
      </c>
      <c r="J950" s="481" t="str">
        <v>Germany</v>
      </c>
      <c r="K950" s="481" t="str">
        <v>Japan</v>
      </c>
      <c r="L950" s="481" t="str">
        <v>Belgium</v>
      </c>
      <c r="M950" s="481" t="str">
        <v>Spain</v>
      </c>
      <c r="N950" s="481" t="str">
        <v>Norway</v>
      </c>
      <c r="O950" s="481" t="str">
        <v>Argentina</v>
      </c>
      <c r="P950" s="481" t="str">
        <v>Portugal</v>
      </c>
      <c r="Q950" s="490" t="str">
        <v>Croatia</v>
      </c>
    </row>
    <row r="951" spans="1:17" x14ac:dyDescent="0.2">
      <c r="A951" s="489">
        <v>948</v>
      </c>
      <c r="B951" s="481" t="str">
        <v>Netherlands</v>
      </c>
      <c r="C951" s="481" t="str">
        <v>Germany</v>
      </c>
      <c r="D951" s="481" t="str">
        <v>Turkiye</v>
      </c>
      <c r="E951" s="481" t="str">
        <v>Qatar</v>
      </c>
      <c r="F951" s="481" t="str">
        <v>Mexico</v>
      </c>
      <c r="G951" s="481" t="str">
        <v>Canada</v>
      </c>
      <c r="H951" s="481" t="str">
        <v>Brazil</v>
      </c>
      <c r="I951" s="481" t="str">
        <v>USA</v>
      </c>
      <c r="J951" s="481" t="str">
        <v>Germany</v>
      </c>
      <c r="K951" s="481" t="str">
        <v>Netherlands</v>
      </c>
      <c r="L951" s="481" t="str">
        <v>Belgium</v>
      </c>
      <c r="M951" s="481" t="str">
        <v>Uruguay</v>
      </c>
      <c r="N951" s="481" t="str">
        <v>France</v>
      </c>
      <c r="O951" s="481" t="str">
        <v>Algeria</v>
      </c>
      <c r="P951" s="481" t="str">
        <v>Colombia</v>
      </c>
      <c r="Q951" s="490" t="str">
        <v>Croatia</v>
      </c>
    </row>
    <row r="952" spans="1:17" x14ac:dyDescent="0.2">
      <c r="A952" s="489">
        <v>949</v>
      </c>
      <c r="B952" s="481" t="str">
        <v>Mexico</v>
      </c>
      <c r="C952" s="481" t="str">
        <v>Portugal</v>
      </c>
      <c r="D952" s="481" t="str">
        <v>Panama</v>
      </c>
      <c r="E952" s="481" t="str">
        <v>Croatia</v>
      </c>
      <c r="F952" s="481" t="str">
        <v>Mexico</v>
      </c>
      <c r="G952" s="481" t="str">
        <v>Switzerland</v>
      </c>
      <c r="H952" s="481" t="str">
        <v>Morocco</v>
      </c>
      <c r="I952" s="481" t="str">
        <v>USA</v>
      </c>
      <c r="J952" s="481" t="str">
        <v>Germany</v>
      </c>
      <c r="K952" s="481" t="str">
        <v>Netherlands</v>
      </c>
      <c r="L952" s="481" t="str">
        <v>Belgium</v>
      </c>
      <c r="M952" s="481" t="str">
        <v>Uruguay</v>
      </c>
      <c r="N952" s="481" t="str">
        <v>France</v>
      </c>
      <c r="O952" s="481" t="str">
        <v>Argentina</v>
      </c>
      <c r="P952" s="481" t="str">
        <v>Uzbekistan</v>
      </c>
      <c r="Q952" s="490" t="str">
        <v>Panama</v>
      </c>
    </row>
    <row r="953" spans="1:17" x14ac:dyDescent="0.2">
      <c r="A953" s="489">
        <v>950</v>
      </c>
      <c r="B953" s="481" t="str">
        <v>Germany</v>
      </c>
      <c r="C953" s="481" t="str">
        <v>Spain</v>
      </c>
      <c r="D953" s="481" t="str">
        <v>Argentina</v>
      </c>
      <c r="E953" s="481" t="str">
        <v>IR Iran</v>
      </c>
      <c r="F953" s="481" t="str">
        <v>Korea Republic</v>
      </c>
      <c r="G953" s="481" t="str">
        <v>Canada</v>
      </c>
      <c r="H953" s="481" t="str">
        <v>Scotland</v>
      </c>
      <c r="I953" s="481" t="str">
        <v>USA</v>
      </c>
      <c r="J953" s="481" t="str">
        <v>Germany</v>
      </c>
      <c r="K953" s="481" t="str">
        <v>Japan</v>
      </c>
      <c r="L953" s="481" t="str">
        <v>Belgium</v>
      </c>
      <c r="M953" s="481" t="str">
        <v>Uruguay</v>
      </c>
      <c r="N953" s="481" t="str">
        <v>Senegal</v>
      </c>
      <c r="O953" s="481" t="str">
        <v>Algeria</v>
      </c>
      <c r="P953" s="481" t="str">
        <v>Colombia</v>
      </c>
      <c r="Q953" s="490" t="str">
        <v>Croatia</v>
      </c>
    </row>
    <row r="954" spans="1:17" x14ac:dyDescent="0.2">
      <c r="A954" s="489">
        <v>951</v>
      </c>
      <c r="B954" s="481" t="str">
        <v>France</v>
      </c>
      <c r="C954" s="481" t="str">
        <v>Colombia</v>
      </c>
      <c r="D954" s="481" t="str">
        <v>USA</v>
      </c>
      <c r="E954" s="481" t="str">
        <v>Portugal</v>
      </c>
      <c r="F954" s="481" t="str">
        <v>Korea Republic</v>
      </c>
      <c r="G954" s="481" t="str">
        <v>Canada</v>
      </c>
      <c r="H954" s="481" t="str">
        <v>Brazil</v>
      </c>
      <c r="I954" s="481" t="str">
        <v>Turkiye</v>
      </c>
      <c r="J954" s="481" t="str">
        <v>Germany</v>
      </c>
      <c r="K954" s="481" t="str">
        <v>Netherlands</v>
      </c>
      <c r="L954" s="481" t="str">
        <v>Belgium</v>
      </c>
      <c r="M954" s="481" t="str">
        <v>Spain</v>
      </c>
      <c r="N954" s="481" t="str">
        <v>Norway</v>
      </c>
      <c r="O954" s="481" t="str">
        <v>Argentina</v>
      </c>
      <c r="P954" s="481" t="str">
        <v>Portugal</v>
      </c>
      <c r="Q954" s="490" t="str">
        <v>Croatia</v>
      </c>
    </row>
    <row r="955" spans="1:17" x14ac:dyDescent="0.2">
      <c r="A955" s="489">
        <v>952</v>
      </c>
      <c r="B955" s="481" t="str">
        <v>Spain</v>
      </c>
      <c r="C955" s="481" t="str">
        <v>Brazil</v>
      </c>
      <c r="D955" s="481" t="str">
        <v>Portugal</v>
      </c>
      <c r="E955" s="481" t="str">
        <v>Qatar</v>
      </c>
      <c r="F955" s="481" t="str">
        <v>Korea Republic</v>
      </c>
      <c r="G955" s="481" t="str">
        <v>Canada</v>
      </c>
      <c r="H955" s="481" t="str">
        <v>Morocco</v>
      </c>
      <c r="I955" s="481" t="str">
        <v>USA</v>
      </c>
      <c r="J955" s="481" t="str">
        <v>Cote d'Ivorie</v>
      </c>
      <c r="K955" s="481" t="str">
        <v>Sweden</v>
      </c>
      <c r="L955" s="481" t="str">
        <v>Egypt</v>
      </c>
      <c r="M955" s="481" t="str">
        <v>Uruguay</v>
      </c>
      <c r="N955" s="481" t="str">
        <v>France</v>
      </c>
      <c r="O955" s="481" t="str">
        <v>Argentina</v>
      </c>
      <c r="P955" s="481" t="str">
        <v>Colombia</v>
      </c>
      <c r="Q955" s="490" t="str">
        <v>Panama</v>
      </c>
    </row>
    <row r="956" spans="1:17" x14ac:dyDescent="0.2">
      <c r="A956" s="489">
        <v>953</v>
      </c>
      <c r="B956" s="481" t="str">
        <v>Portugal</v>
      </c>
      <c r="C956" s="481" t="str">
        <v>Japan</v>
      </c>
      <c r="D956" s="481" t="str">
        <v>Brazil</v>
      </c>
      <c r="E956" s="481" t="str">
        <v>France</v>
      </c>
      <c r="F956" s="481" t="str">
        <v>Mexico</v>
      </c>
      <c r="G956" s="481" t="str">
        <v>Switzerland</v>
      </c>
      <c r="H956" s="481" t="str">
        <v>Brazil</v>
      </c>
      <c r="I956" s="481" t="str">
        <v>Australia</v>
      </c>
      <c r="J956" s="481" t="str">
        <v>Germany</v>
      </c>
      <c r="K956" s="481" t="str">
        <v>Netherlands</v>
      </c>
      <c r="L956" s="481" t="str">
        <v>Egypt</v>
      </c>
      <c r="M956" s="481" t="str">
        <v>Uruguay</v>
      </c>
      <c r="N956" s="481" t="str">
        <v>Norway</v>
      </c>
      <c r="O956" s="481" t="str">
        <v>Argentina</v>
      </c>
      <c r="P956" s="481" t="str">
        <v>Colombia</v>
      </c>
      <c r="Q956" s="490" t="str">
        <v>Panama</v>
      </c>
    </row>
    <row r="957" spans="1:17" x14ac:dyDescent="0.2">
      <c r="A957" s="489">
        <v>954</v>
      </c>
      <c r="B957" s="481" t="str">
        <v>France</v>
      </c>
      <c r="C957" s="481" t="str">
        <v>Canada</v>
      </c>
      <c r="D957" s="481" t="str">
        <v>Colombia</v>
      </c>
      <c r="E957" s="481" t="str">
        <v>Germany</v>
      </c>
      <c r="F957" s="481" t="str">
        <v>Mexico</v>
      </c>
      <c r="G957" s="481" t="str">
        <v>Canada</v>
      </c>
      <c r="H957" s="481" t="str">
        <v>Scotland</v>
      </c>
      <c r="I957" s="481" t="str">
        <v>USA</v>
      </c>
      <c r="J957" s="481" t="str">
        <v>Cote d'Ivorie</v>
      </c>
      <c r="K957" s="481" t="str">
        <v>Netherlands</v>
      </c>
      <c r="L957" s="481" t="str">
        <v>IR Iran</v>
      </c>
      <c r="M957" s="481" t="str">
        <v>Spain</v>
      </c>
      <c r="N957" s="481" t="str">
        <v>Senegal</v>
      </c>
      <c r="O957" s="481" t="str">
        <v>Algeria</v>
      </c>
      <c r="P957" s="481" t="str">
        <v>Portugal</v>
      </c>
      <c r="Q957" s="490" t="str">
        <v>England</v>
      </c>
    </row>
    <row r="958" spans="1:17" x14ac:dyDescent="0.2">
      <c r="A958" s="489">
        <v>955</v>
      </c>
      <c r="B958" s="481" t="str">
        <v>Germany</v>
      </c>
      <c r="C958" s="481" t="str">
        <v>Brazil</v>
      </c>
      <c r="D958" s="481" t="str">
        <v>Egypt</v>
      </c>
      <c r="E958" s="481" t="str">
        <v>Netherlands</v>
      </c>
      <c r="F958" s="481" t="str">
        <v>Mexico</v>
      </c>
      <c r="G958" s="481" t="str">
        <v>Qatar</v>
      </c>
      <c r="H958" s="481" t="str">
        <v>Brazil</v>
      </c>
      <c r="I958" s="481" t="str">
        <v>Australia</v>
      </c>
      <c r="J958" s="481" t="str">
        <v>Germany</v>
      </c>
      <c r="K958" s="481" t="str">
        <v>Netherlands</v>
      </c>
      <c r="L958" s="481" t="str">
        <v>Belgium</v>
      </c>
      <c r="M958" s="481" t="str">
        <v>Spain</v>
      </c>
      <c r="N958" s="481" t="str">
        <v>France</v>
      </c>
      <c r="O958" s="481" t="str">
        <v>Argentina</v>
      </c>
      <c r="P958" s="481" t="str">
        <v>Portugal</v>
      </c>
      <c r="Q958" s="490" t="str">
        <v>Croatia</v>
      </c>
    </row>
    <row r="959" spans="1:17" x14ac:dyDescent="0.2">
      <c r="A959" s="489">
        <v>956</v>
      </c>
      <c r="B959" s="481" t="str">
        <v>Mexico</v>
      </c>
      <c r="C959" s="481" t="str">
        <v>Belgium</v>
      </c>
      <c r="D959" s="481" t="str">
        <v>Spain</v>
      </c>
      <c r="E959" s="481" t="str">
        <v>USA</v>
      </c>
      <c r="F959" s="481" t="str">
        <v>Korea Republic</v>
      </c>
      <c r="G959" s="481" t="str">
        <v>Bosnia-Herzegovina</v>
      </c>
      <c r="H959" s="481" t="str">
        <v>Morocco</v>
      </c>
      <c r="I959" s="481" t="str">
        <v>USA</v>
      </c>
      <c r="J959" s="481" t="str">
        <v>Germany</v>
      </c>
      <c r="K959" s="481" t="str">
        <v>Japan</v>
      </c>
      <c r="L959" s="481" t="str">
        <v>Egypt</v>
      </c>
      <c r="M959" s="481" t="str">
        <v>Spain</v>
      </c>
      <c r="N959" s="481" t="str">
        <v>France</v>
      </c>
      <c r="O959" s="481" t="str">
        <v>Algeria</v>
      </c>
      <c r="P959" s="481" t="str">
        <v>Portugal</v>
      </c>
      <c r="Q959" s="490" t="str">
        <v>England</v>
      </c>
    </row>
    <row r="960" spans="1:17" x14ac:dyDescent="0.2">
      <c r="A960" s="489">
        <v>957</v>
      </c>
      <c r="B960" s="481" t="str">
        <v>Belgium</v>
      </c>
      <c r="C960" s="481" t="str">
        <v>France</v>
      </c>
      <c r="D960" s="481" t="str">
        <v>Portugal</v>
      </c>
      <c r="E960" s="481" t="str">
        <v>England</v>
      </c>
      <c r="F960" s="481" t="str">
        <v>Korea Republic</v>
      </c>
      <c r="G960" s="481" t="str">
        <v>Bosnia-Herzegovina</v>
      </c>
      <c r="H960" s="481" t="str">
        <v>Brazil</v>
      </c>
      <c r="I960" s="481" t="str">
        <v>USA</v>
      </c>
      <c r="J960" s="481" t="str">
        <v>Ecuador</v>
      </c>
      <c r="K960" s="481" t="str">
        <v>Sweden</v>
      </c>
      <c r="L960" s="481" t="str">
        <v>Egypt</v>
      </c>
      <c r="M960" s="481" t="str">
        <v>Spain</v>
      </c>
      <c r="N960" s="481" t="str">
        <v>France</v>
      </c>
      <c r="O960" s="481" t="str">
        <v>Algeria</v>
      </c>
      <c r="P960" s="481" t="str">
        <v>Colombia</v>
      </c>
      <c r="Q960" s="490" t="str">
        <v>England</v>
      </c>
    </row>
    <row r="961" spans="1:17" x14ac:dyDescent="0.2">
      <c r="A961" s="489">
        <v>958</v>
      </c>
      <c r="B961" s="481" t="str">
        <v>Netherlands</v>
      </c>
      <c r="C961" s="481" t="str">
        <v>Korea Republic</v>
      </c>
      <c r="D961" s="481" t="str">
        <v>France</v>
      </c>
      <c r="E961" s="481" t="str">
        <v>Korea Republic</v>
      </c>
      <c r="F961" s="481" t="str">
        <v>Mexico</v>
      </c>
      <c r="G961" s="481" t="str">
        <v>Switzerland</v>
      </c>
      <c r="H961" s="481" t="str">
        <v>Brazil</v>
      </c>
      <c r="I961" s="481" t="str">
        <v>Australia</v>
      </c>
      <c r="J961" s="481" t="str">
        <v>Ecuador</v>
      </c>
      <c r="K961" s="481" t="str">
        <v>Netherlands</v>
      </c>
      <c r="L961" s="481" t="str">
        <v>Belgium</v>
      </c>
      <c r="M961" s="481" t="str">
        <v>Spain</v>
      </c>
      <c r="N961" s="481" t="str">
        <v>France</v>
      </c>
      <c r="O961" s="481" t="str">
        <v>Algeria</v>
      </c>
      <c r="P961" s="481" t="str">
        <v>Portugal</v>
      </c>
      <c r="Q961" s="490" t="str">
        <v>England</v>
      </c>
    </row>
    <row r="962" spans="1:17" x14ac:dyDescent="0.2">
      <c r="A962" s="489">
        <v>959</v>
      </c>
      <c r="B962" s="481" t="str">
        <v>Netherlands</v>
      </c>
      <c r="C962" s="481" t="str">
        <v>France</v>
      </c>
      <c r="D962" s="481" t="str">
        <v>Belgium</v>
      </c>
      <c r="E962" s="481" t="str">
        <v>Sweden</v>
      </c>
      <c r="F962" s="481" t="str">
        <v>Mexico</v>
      </c>
      <c r="G962" s="481" t="str">
        <v>Qatar</v>
      </c>
      <c r="H962" s="481" t="str">
        <v>Brazil</v>
      </c>
      <c r="I962" s="481" t="str">
        <v>Paraguay</v>
      </c>
      <c r="J962" s="481" t="str">
        <v>Cote d'Ivorie</v>
      </c>
      <c r="K962" s="481" t="str">
        <v>Japan</v>
      </c>
      <c r="L962" s="481" t="str">
        <v>Egypt</v>
      </c>
      <c r="M962" s="481" t="str">
        <v>Spain</v>
      </c>
      <c r="N962" s="481" t="str">
        <v>France</v>
      </c>
      <c r="O962" s="481" t="str">
        <v>Algeria</v>
      </c>
      <c r="P962" s="481" t="str">
        <v>Colombia</v>
      </c>
      <c r="Q962" s="490" t="str">
        <v>England</v>
      </c>
    </row>
    <row r="963" spans="1:17" x14ac:dyDescent="0.2">
      <c r="A963" s="489">
        <v>960</v>
      </c>
      <c r="B963" s="481" t="str">
        <v>Netherlands</v>
      </c>
      <c r="C963" s="481" t="str">
        <v>Belgium</v>
      </c>
      <c r="D963" s="481" t="str">
        <v>Brazil</v>
      </c>
      <c r="E963" s="481" t="str">
        <v>Sweden</v>
      </c>
      <c r="F963" s="481" t="str">
        <v>Mexico</v>
      </c>
      <c r="G963" s="481" t="str">
        <v>Qatar</v>
      </c>
      <c r="H963" s="481" t="str">
        <v>Brazil</v>
      </c>
      <c r="I963" s="481" t="str">
        <v>Australia</v>
      </c>
      <c r="J963" s="481" t="str">
        <v>Germany</v>
      </c>
      <c r="K963" s="481" t="str">
        <v>Netherlands</v>
      </c>
      <c r="L963" s="481" t="str">
        <v>Belgium</v>
      </c>
      <c r="M963" s="481" t="str">
        <v>Cabo Verde</v>
      </c>
      <c r="N963" s="481" t="str">
        <v>Senegal</v>
      </c>
      <c r="O963" s="481" t="str">
        <v>Argentina</v>
      </c>
      <c r="P963" s="481" t="str">
        <v>Colombia</v>
      </c>
      <c r="Q963" s="490" t="str">
        <v>England</v>
      </c>
    </row>
    <row r="964" spans="1:17" x14ac:dyDescent="0.2">
      <c r="A964" s="489">
        <v>961</v>
      </c>
      <c r="B964" s="481" t="str">
        <v>Germany</v>
      </c>
      <c r="C964" s="481" t="str">
        <v>France</v>
      </c>
      <c r="D964" s="481" t="str">
        <v>Spain</v>
      </c>
      <c r="E964" s="481" t="str">
        <v>USA</v>
      </c>
      <c r="F964" s="481" t="str">
        <v>Korea Republic</v>
      </c>
      <c r="G964" s="481" t="str">
        <v>Switzerland</v>
      </c>
      <c r="H964" s="481" t="str">
        <v>Scotland</v>
      </c>
      <c r="I964" s="481" t="str">
        <v>Australia</v>
      </c>
      <c r="J964" s="481" t="str">
        <v>Germany</v>
      </c>
      <c r="K964" s="481" t="str">
        <v>Japan</v>
      </c>
      <c r="L964" s="481" t="str">
        <v>Egypt</v>
      </c>
      <c r="M964" s="481" t="str">
        <v>Uruguay</v>
      </c>
      <c r="N964" s="481" t="str">
        <v>Senegal</v>
      </c>
      <c r="O964" s="481" t="str">
        <v>Austria</v>
      </c>
      <c r="P964" s="481" t="str">
        <v>Colombia</v>
      </c>
      <c r="Q964" s="490" t="str">
        <v>England</v>
      </c>
    </row>
    <row r="965" spans="1:17" x14ac:dyDescent="0.2">
      <c r="A965" s="489">
        <v>962</v>
      </c>
      <c r="B965" s="481" t="str">
        <v>Germany</v>
      </c>
      <c r="C965" s="481" t="str">
        <v>IR Iran</v>
      </c>
      <c r="D965" s="481" t="str">
        <v>Argentina</v>
      </c>
      <c r="E965" s="481" t="str">
        <v>Spain</v>
      </c>
      <c r="F965" s="481" t="str">
        <v>Korea Republic</v>
      </c>
      <c r="G965" s="481" t="str">
        <v>Switzerland</v>
      </c>
      <c r="H965" s="481" t="str">
        <v>Brazil</v>
      </c>
      <c r="I965" s="481" t="str">
        <v>Australia</v>
      </c>
      <c r="J965" s="481" t="str">
        <v>Germany</v>
      </c>
      <c r="K965" s="481" t="str">
        <v>Netherlands</v>
      </c>
      <c r="L965" s="481" t="str">
        <v>Egypt</v>
      </c>
      <c r="M965" s="481" t="str">
        <v>Spain</v>
      </c>
      <c r="N965" s="481" t="str">
        <v>France</v>
      </c>
      <c r="O965" s="481" t="str">
        <v>Austria</v>
      </c>
      <c r="P965" s="481" t="str">
        <v>Colombia</v>
      </c>
      <c r="Q965" s="490" t="str">
        <v>England</v>
      </c>
    </row>
    <row r="966" spans="1:17" x14ac:dyDescent="0.2">
      <c r="A966" s="489">
        <v>963</v>
      </c>
      <c r="B966" s="481" t="str">
        <v>Portugal</v>
      </c>
      <c r="C966" s="481" t="str">
        <v>France</v>
      </c>
      <c r="D966" s="481" t="str">
        <v>Argentina</v>
      </c>
      <c r="E966" s="481" t="str">
        <v>Switzerland</v>
      </c>
      <c r="F966" s="481" t="str">
        <v>Mexico</v>
      </c>
      <c r="G966" s="481" t="str">
        <v>Switzerland</v>
      </c>
      <c r="H966" s="481" t="str">
        <v>Morocco</v>
      </c>
      <c r="I966" s="481" t="str">
        <v>USA</v>
      </c>
      <c r="J966" s="481" t="str">
        <v>Germany</v>
      </c>
      <c r="K966" s="481" t="str">
        <v>Netherlands</v>
      </c>
      <c r="L966" s="481" t="str">
        <v>Egypt</v>
      </c>
      <c r="M966" s="481" t="str">
        <v>Spain</v>
      </c>
      <c r="N966" s="481" t="str">
        <v>France</v>
      </c>
      <c r="O966" s="481" t="str">
        <v>Argentina</v>
      </c>
      <c r="P966" s="481" t="str">
        <v>Portugal</v>
      </c>
      <c r="Q966" s="490" t="str">
        <v>England</v>
      </c>
    </row>
    <row r="967" spans="1:17" x14ac:dyDescent="0.2">
      <c r="A967" s="489">
        <v>964</v>
      </c>
      <c r="B967" s="481" t="str">
        <v>France</v>
      </c>
      <c r="C967" s="481" t="str">
        <v>England</v>
      </c>
      <c r="D967" s="481" t="str">
        <v>USA</v>
      </c>
      <c r="E967" s="481" t="str">
        <v>Morocco</v>
      </c>
      <c r="F967" s="481" t="str">
        <v>Mexico</v>
      </c>
      <c r="G967" s="481" t="str">
        <v>Switzerland</v>
      </c>
      <c r="H967" s="481" t="str">
        <v>Scotland</v>
      </c>
      <c r="I967" s="481" t="str">
        <v>USA</v>
      </c>
      <c r="J967" s="481" t="str">
        <v>Germany</v>
      </c>
      <c r="K967" s="481" t="str">
        <v>Netherlands</v>
      </c>
      <c r="L967" s="481" t="str">
        <v>Belgium</v>
      </c>
      <c r="M967" s="481" t="str">
        <v>Spain</v>
      </c>
      <c r="N967" s="481" t="str">
        <v>Senegal</v>
      </c>
      <c r="O967" s="481" t="str">
        <v>Argentina</v>
      </c>
      <c r="P967" s="481" t="str">
        <v>Colombia</v>
      </c>
      <c r="Q967" s="490" t="str">
        <v>England</v>
      </c>
    </row>
    <row r="968" spans="1:17" x14ac:dyDescent="0.2">
      <c r="A968" s="489">
        <v>965</v>
      </c>
      <c r="B968" s="481" t="str">
        <v>England</v>
      </c>
      <c r="C968" s="481" t="str">
        <v>Brazil</v>
      </c>
      <c r="D968" s="481" t="str">
        <v>England</v>
      </c>
      <c r="E968" s="481" t="str">
        <v>Belgium</v>
      </c>
      <c r="F968" s="481" t="str">
        <v>Mexico</v>
      </c>
      <c r="G968" s="481" t="str">
        <v>Switzerland</v>
      </c>
      <c r="H968" s="481" t="str">
        <v>Brazil</v>
      </c>
      <c r="I968" s="481" t="str">
        <v>USA</v>
      </c>
      <c r="J968" s="481" t="str">
        <v>Germany</v>
      </c>
      <c r="K968" s="481" t="str">
        <v>Netherlands</v>
      </c>
      <c r="L968" s="481" t="str">
        <v>Belgium</v>
      </c>
      <c r="M968" s="481" t="str">
        <v>Uruguay</v>
      </c>
      <c r="N968" s="481" t="str">
        <v>France</v>
      </c>
      <c r="O968" s="481" t="str">
        <v>Argentina</v>
      </c>
      <c r="P968" s="481" t="str">
        <v>Colombia</v>
      </c>
      <c r="Q968" s="490" t="str">
        <v>England</v>
      </c>
    </row>
    <row r="969" spans="1:17" x14ac:dyDescent="0.2">
      <c r="A969" s="489">
        <v>966</v>
      </c>
      <c r="B969" s="481" t="str">
        <v>Colombia</v>
      </c>
      <c r="C969" s="481" t="str">
        <v>Mexico</v>
      </c>
      <c r="D969" s="481" t="str">
        <v>Morocco</v>
      </c>
      <c r="E969" s="481" t="str">
        <v>Ecuador</v>
      </c>
      <c r="F969" s="481" t="str">
        <v>Korea Republic</v>
      </c>
      <c r="G969" s="481" t="str">
        <v>Qatar</v>
      </c>
      <c r="H969" s="481" t="str">
        <v>Morocco</v>
      </c>
      <c r="I969" s="481" t="str">
        <v>USA</v>
      </c>
      <c r="J969" s="481" t="str">
        <v>Germany</v>
      </c>
      <c r="K969" s="481" t="str">
        <v>Netherlands</v>
      </c>
      <c r="L969" s="481" t="str">
        <v>Belgium</v>
      </c>
      <c r="M969" s="481" t="str">
        <v>Saudi Arabia</v>
      </c>
      <c r="N969" s="481" t="str">
        <v>France</v>
      </c>
      <c r="O969" s="481" t="str">
        <v>Argentina</v>
      </c>
      <c r="P969" s="481" t="str">
        <v>Colombia</v>
      </c>
      <c r="Q969" s="490" t="str">
        <v>England</v>
      </c>
    </row>
    <row r="970" spans="1:17" x14ac:dyDescent="0.2">
      <c r="A970" s="489">
        <v>967</v>
      </c>
      <c r="B970" s="481" t="str">
        <v>Argentina</v>
      </c>
      <c r="C970" s="481" t="str">
        <v>Netherlands</v>
      </c>
      <c r="D970" s="481" t="str">
        <v>Belgium</v>
      </c>
      <c r="E970" s="481" t="str">
        <v>Croatia</v>
      </c>
      <c r="F970" s="481" t="str">
        <v>Korea Republic</v>
      </c>
      <c r="G970" s="481" t="str">
        <v>Switzerland</v>
      </c>
      <c r="H970" s="481" t="str">
        <v>Brazil</v>
      </c>
      <c r="I970" s="481" t="str">
        <v>USA</v>
      </c>
      <c r="J970" s="481" t="str">
        <v>Germany</v>
      </c>
      <c r="K970" s="481" t="str">
        <v>Sweden</v>
      </c>
      <c r="L970" s="481" t="str">
        <v>Belgium</v>
      </c>
      <c r="M970" s="481" t="str">
        <v>Uruguay</v>
      </c>
      <c r="N970" s="481" t="str">
        <v>Senegal</v>
      </c>
      <c r="O970" s="481" t="str">
        <v>Argentina</v>
      </c>
      <c r="P970" s="481" t="str">
        <v>Portugal</v>
      </c>
      <c r="Q970" s="490" t="str">
        <v>England</v>
      </c>
    </row>
    <row r="971" spans="1:17" x14ac:dyDescent="0.2">
      <c r="A971" s="489">
        <v>968</v>
      </c>
      <c r="B971" s="481" t="str">
        <v>Netherlands</v>
      </c>
      <c r="C971" s="481" t="str">
        <v>Egypt</v>
      </c>
      <c r="D971" s="481" t="str">
        <v>Germany</v>
      </c>
      <c r="E971" s="481" t="str">
        <v>Ecuador</v>
      </c>
      <c r="F971" s="481" t="str">
        <v>Mexico</v>
      </c>
      <c r="G971" s="481" t="str">
        <v>Switzerland</v>
      </c>
      <c r="H971" s="481" t="str">
        <v>Brazil</v>
      </c>
      <c r="I971" s="481" t="str">
        <v>Australia</v>
      </c>
      <c r="J971" s="481" t="str">
        <v>Germany</v>
      </c>
      <c r="K971" s="481" t="str">
        <v>Japan</v>
      </c>
      <c r="L971" s="481" t="str">
        <v>Belgium</v>
      </c>
      <c r="M971" s="481" t="str">
        <v>Spain</v>
      </c>
      <c r="N971" s="481" t="str">
        <v>France</v>
      </c>
      <c r="O971" s="481" t="str">
        <v>Argentina</v>
      </c>
      <c r="P971" s="481" t="str">
        <v>Portugal</v>
      </c>
      <c r="Q971" s="490" t="str">
        <v>England</v>
      </c>
    </row>
    <row r="972" spans="1:17" x14ac:dyDescent="0.2">
      <c r="A972" s="489">
        <v>969</v>
      </c>
      <c r="B972" s="481" t="str">
        <v>Paraguay</v>
      </c>
      <c r="C972" s="481" t="str">
        <v>England</v>
      </c>
      <c r="D972" s="481" t="str">
        <v>Spain</v>
      </c>
      <c r="E972" s="481" t="str">
        <v>Egypt</v>
      </c>
      <c r="F972" s="481" t="str">
        <v>Mexico</v>
      </c>
      <c r="G972" s="481" t="str">
        <v>Bosnia-Herzegovina</v>
      </c>
      <c r="H972" s="481" t="str">
        <v>Brazil</v>
      </c>
      <c r="I972" s="481" t="str">
        <v>USA</v>
      </c>
      <c r="J972" s="481" t="str">
        <v>Cote d'Ivorie</v>
      </c>
      <c r="K972" s="481" t="str">
        <v>Japan</v>
      </c>
      <c r="L972" s="481" t="str">
        <v>Egypt</v>
      </c>
      <c r="M972" s="481" t="str">
        <v>Spain</v>
      </c>
      <c r="N972" s="481" t="str">
        <v>France</v>
      </c>
      <c r="O972" s="481" t="str">
        <v>Argentina</v>
      </c>
      <c r="P972" s="481" t="str">
        <v>Colombia</v>
      </c>
      <c r="Q972" s="490" t="str">
        <v>England</v>
      </c>
    </row>
    <row r="973" spans="1:17" x14ac:dyDescent="0.2">
      <c r="A973" s="489">
        <v>970</v>
      </c>
      <c r="B973" s="481" t="str">
        <v>Germany</v>
      </c>
      <c r="C973" s="481" t="str">
        <v>Argentina</v>
      </c>
      <c r="D973" s="481" t="str">
        <v>France</v>
      </c>
      <c r="E973" s="481" t="str">
        <v>Croatia</v>
      </c>
      <c r="F973" s="481" t="str">
        <v>Mexico</v>
      </c>
      <c r="G973" s="481" t="str">
        <v>Switzerland</v>
      </c>
      <c r="H973" s="481" t="str">
        <v>Morocco</v>
      </c>
      <c r="I973" s="481" t="str">
        <v>Turkiye</v>
      </c>
      <c r="J973" s="481" t="str">
        <v>Germany</v>
      </c>
      <c r="K973" s="481" t="str">
        <v>Netherlands</v>
      </c>
      <c r="L973" s="481" t="str">
        <v>IR Iran</v>
      </c>
      <c r="M973" s="481" t="str">
        <v>Spain</v>
      </c>
      <c r="N973" s="481" t="str">
        <v>Senegal</v>
      </c>
      <c r="O973" s="481" t="str">
        <v>Argentina</v>
      </c>
      <c r="P973" s="481" t="str">
        <v>Portugal</v>
      </c>
      <c r="Q973" s="490" t="str">
        <v>England</v>
      </c>
    </row>
    <row r="974" spans="1:17" x14ac:dyDescent="0.2">
      <c r="A974" s="489">
        <v>971</v>
      </c>
      <c r="B974" s="481" t="str">
        <v>Argentina</v>
      </c>
      <c r="C974" s="481" t="str">
        <v>Argentina</v>
      </c>
      <c r="D974" s="481" t="str">
        <v>Netherlands</v>
      </c>
      <c r="E974" s="481" t="str">
        <v>France</v>
      </c>
      <c r="F974" s="481" t="str">
        <v>Mexico</v>
      </c>
      <c r="G974" s="481" t="str">
        <v>Qatar</v>
      </c>
      <c r="H974" s="481" t="str">
        <v>Brazil</v>
      </c>
      <c r="I974" s="481" t="str">
        <v>USA</v>
      </c>
      <c r="J974" s="481" t="str">
        <v>Germany</v>
      </c>
      <c r="K974" s="481" t="str">
        <v>Sweden</v>
      </c>
      <c r="L974" s="481" t="str">
        <v>Belgium</v>
      </c>
      <c r="M974" s="481" t="str">
        <v>Uruguay</v>
      </c>
      <c r="N974" s="481" t="str">
        <v>France</v>
      </c>
      <c r="O974" s="481" t="str">
        <v>Argentina</v>
      </c>
      <c r="P974" s="481" t="str">
        <v>Portugal</v>
      </c>
      <c r="Q974" s="490" t="str">
        <v>England</v>
      </c>
    </row>
    <row r="975" spans="1:17" x14ac:dyDescent="0.2">
      <c r="A975" s="489">
        <v>972</v>
      </c>
      <c r="B975" s="481" t="str">
        <v>Brazil</v>
      </c>
      <c r="C975" s="481" t="str">
        <v>Argentina</v>
      </c>
      <c r="D975" s="481" t="str">
        <v>Netherlands</v>
      </c>
      <c r="E975" s="481" t="str">
        <v>Croatia</v>
      </c>
      <c r="F975" s="481" t="str">
        <v>Mexico</v>
      </c>
      <c r="G975" s="481" t="str">
        <v>Switzerland</v>
      </c>
      <c r="H975" s="481" t="str">
        <v>Brazil</v>
      </c>
      <c r="I975" s="481" t="str">
        <v>USA</v>
      </c>
      <c r="J975" s="481" t="str">
        <v>Germany</v>
      </c>
      <c r="K975" s="481" t="str">
        <v>Netherlands</v>
      </c>
      <c r="L975" s="481" t="str">
        <v>Belgium</v>
      </c>
      <c r="M975" s="481" t="str">
        <v>Spain</v>
      </c>
      <c r="N975" s="481" t="str">
        <v>Senegal</v>
      </c>
      <c r="O975" s="481" t="str">
        <v>Argentina</v>
      </c>
      <c r="P975" s="481" t="str">
        <v>Portugal</v>
      </c>
      <c r="Q975" s="490" t="str">
        <v>England</v>
      </c>
    </row>
    <row r="976" spans="1:17" x14ac:dyDescent="0.2">
      <c r="A976" s="489">
        <v>973</v>
      </c>
      <c r="B976" s="481" t="str">
        <v>Mexico</v>
      </c>
      <c r="C976" s="481" t="str">
        <v>Portugal</v>
      </c>
      <c r="D976" s="481" t="str">
        <v>Croatia</v>
      </c>
      <c r="E976" s="481" t="str">
        <v>Scotland</v>
      </c>
      <c r="F976" s="481" t="str">
        <v>Korea Republic</v>
      </c>
      <c r="G976" s="481" t="str">
        <v>Switzerland</v>
      </c>
      <c r="H976" s="481" t="str">
        <v>Brazil</v>
      </c>
      <c r="I976" s="481" t="str">
        <v>USA</v>
      </c>
      <c r="J976" s="481" t="str">
        <v>Ecuador</v>
      </c>
      <c r="K976" s="481" t="str">
        <v>Japan</v>
      </c>
      <c r="L976" s="481" t="str">
        <v>Belgium</v>
      </c>
      <c r="M976" s="481" t="str">
        <v>Spain</v>
      </c>
      <c r="N976" s="481" t="str">
        <v>Senegal</v>
      </c>
      <c r="O976" s="481" t="str">
        <v>Algeria</v>
      </c>
      <c r="P976" s="481" t="str">
        <v>Portugal</v>
      </c>
      <c r="Q976" s="490" t="str">
        <v>Croatia</v>
      </c>
    </row>
    <row r="977" spans="1:17" x14ac:dyDescent="0.2">
      <c r="A977" s="489">
        <v>974</v>
      </c>
      <c r="B977" s="481" t="str">
        <v>Germany</v>
      </c>
      <c r="C977" s="481" t="str">
        <v>Belgium</v>
      </c>
      <c r="D977" s="481" t="str">
        <v>England</v>
      </c>
      <c r="E977" s="481" t="str">
        <v>Japan</v>
      </c>
      <c r="F977" s="481" t="str">
        <v>Mexico</v>
      </c>
      <c r="G977" s="481" t="str">
        <v>Switzerland</v>
      </c>
      <c r="H977" s="481" t="str">
        <v>Morocco</v>
      </c>
      <c r="I977" s="481" t="str">
        <v>Australia</v>
      </c>
      <c r="J977" s="481" t="str">
        <v>Cote d'Ivorie</v>
      </c>
      <c r="K977" s="481" t="str">
        <v>Japan</v>
      </c>
      <c r="L977" s="481" t="str">
        <v>Belgium</v>
      </c>
      <c r="M977" s="481" t="str">
        <v>Uruguay</v>
      </c>
      <c r="N977" s="481" t="str">
        <v>France</v>
      </c>
      <c r="O977" s="481" t="str">
        <v>Argentina</v>
      </c>
      <c r="P977" s="481" t="str">
        <v>Colombia</v>
      </c>
      <c r="Q977" s="490" t="str">
        <v>England</v>
      </c>
    </row>
    <row r="978" spans="1:17" x14ac:dyDescent="0.2">
      <c r="A978" s="489">
        <v>975</v>
      </c>
      <c r="B978" s="481" t="str">
        <v>France</v>
      </c>
      <c r="C978" s="481" t="str">
        <v>France</v>
      </c>
      <c r="D978" s="481" t="str">
        <v>France</v>
      </c>
      <c r="E978" s="481" t="str">
        <v>Argentina</v>
      </c>
      <c r="F978" s="481" t="str">
        <v>Korea Republic</v>
      </c>
      <c r="G978" s="481" t="str">
        <v>Qatar</v>
      </c>
      <c r="H978" s="481" t="str">
        <v>Morocco</v>
      </c>
      <c r="I978" s="481" t="str">
        <v>Australia</v>
      </c>
      <c r="J978" s="481" t="str">
        <v>Germany</v>
      </c>
      <c r="K978" s="481" t="str">
        <v>Sweden</v>
      </c>
      <c r="L978" s="481" t="str">
        <v>Egypt</v>
      </c>
      <c r="M978" s="481" t="str">
        <v>Spain</v>
      </c>
      <c r="N978" s="481" t="str">
        <v>France</v>
      </c>
      <c r="O978" s="481" t="str">
        <v>Argentina</v>
      </c>
      <c r="P978" s="481" t="str">
        <v>Portugal</v>
      </c>
      <c r="Q978" s="490" t="str">
        <v>Croatia</v>
      </c>
    </row>
    <row r="979" spans="1:17" x14ac:dyDescent="0.2">
      <c r="A979" s="489">
        <v>976</v>
      </c>
      <c r="B979" s="481" t="str">
        <v>France</v>
      </c>
      <c r="C979" s="481" t="str">
        <v>Senegal</v>
      </c>
      <c r="D979" s="481" t="str">
        <v>Colombia</v>
      </c>
      <c r="E979" s="481" t="str">
        <v>Germany</v>
      </c>
      <c r="F979" s="481" t="str">
        <v>Mexico</v>
      </c>
      <c r="G979" s="481" t="str">
        <v>Canada</v>
      </c>
      <c r="H979" s="481" t="str">
        <v>Brazil</v>
      </c>
      <c r="I979" s="481" t="str">
        <v>USA</v>
      </c>
      <c r="J979" s="481" t="str">
        <v>Ecuador</v>
      </c>
      <c r="K979" s="481" t="str">
        <v>Netherlands</v>
      </c>
      <c r="L979" s="481" t="str">
        <v>Belgium</v>
      </c>
      <c r="M979" s="481" t="str">
        <v>Spain</v>
      </c>
      <c r="N979" s="481" t="str">
        <v>France</v>
      </c>
      <c r="O979" s="481" t="str">
        <v>Argentina</v>
      </c>
      <c r="P979" s="481" t="str">
        <v>Portugal</v>
      </c>
      <c r="Q979" s="490" t="str">
        <v>England</v>
      </c>
    </row>
    <row r="980" spans="1:17" x14ac:dyDescent="0.2">
      <c r="A980" s="489">
        <v>977</v>
      </c>
      <c r="B980" s="481" t="str">
        <v>Belgium</v>
      </c>
      <c r="C980" s="481" t="str">
        <v>Netherlands</v>
      </c>
      <c r="D980" s="481" t="str">
        <v>Portugal</v>
      </c>
      <c r="E980" s="481" t="str">
        <v>Norway</v>
      </c>
      <c r="F980" s="481" t="str">
        <v>Korea Republic</v>
      </c>
      <c r="G980" s="481" t="str">
        <v>Qatar</v>
      </c>
      <c r="H980" s="481" t="str">
        <v>Brazil</v>
      </c>
      <c r="I980" s="481" t="str">
        <v>USA</v>
      </c>
      <c r="J980" s="481" t="str">
        <v>Germany</v>
      </c>
      <c r="K980" s="481" t="str">
        <v>Japan</v>
      </c>
      <c r="L980" s="481" t="str">
        <v>Egypt</v>
      </c>
      <c r="M980" s="481" t="str">
        <v>Cabo Verde</v>
      </c>
      <c r="N980" s="481" t="str">
        <v>Senegal</v>
      </c>
      <c r="O980" s="481" t="str">
        <v>Argentina</v>
      </c>
      <c r="P980" s="481" t="str">
        <v>Portugal</v>
      </c>
      <c r="Q980" s="490" t="str">
        <v>England</v>
      </c>
    </row>
    <row r="981" spans="1:17" x14ac:dyDescent="0.2">
      <c r="A981" s="489">
        <v>978</v>
      </c>
      <c r="B981" s="481" t="str">
        <v>Japan</v>
      </c>
      <c r="C981" s="481" t="str">
        <v>Spain</v>
      </c>
      <c r="D981" s="481" t="str">
        <v>Croatia</v>
      </c>
      <c r="E981" s="481" t="str">
        <v>Morocco</v>
      </c>
      <c r="F981" s="481" t="str">
        <v>Mexico</v>
      </c>
      <c r="G981" s="481" t="str">
        <v>Canada</v>
      </c>
      <c r="H981" s="481" t="str">
        <v>Brazil</v>
      </c>
      <c r="I981" s="481" t="str">
        <v>Paraguay</v>
      </c>
      <c r="J981" s="481" t="str">
        <v>Cote d'Ivorie</v>
      </c>
      <c r="K981" s="481" t="str">
        <v>Netherlands</v>
      </c>
      <c r="L981" s="481" t="str">
        <v>Belgium</v>
      </c>
      <c r="M981" s="481" t="str">
        <v>Saudi Arabia</v>
      </c>
      <c r="N981" s="481" t="str">
        <v>Senegal</v>
      </c>
      <c r="O981" s="481" t="str">
        <v>Austria</v>
      </c>
      <c r="P981" s="481" t="str">
        <v>Portugal</v>
      </c>
      <c r="Q981" s="490" t="str">
        <v>England</v>
      </c>
    </row>
    <row r="982" spans="1:17" x14ac:dyDescent="0.2">
      <c r="A982" s="489">
        <v>979</v>
      </c>
      <c r="B982" s="481" t="str">
        <v>Portugal</v>
      </c>
      <c r="C982" s="481" t="str">
        <v>Austria</v>
      </c>
      <c r="D982" s="481" t="str">
        <v>England</v>
      </c>
      <c r="E982" s="481" t="str">
        <v>Norway</v>
      </c>
      <c r="F982" s="481" t="str">
        <v>Mexico</v>
      </c>
      <c r="G982" s="481" t="str">
        <v>Canada</v>
      </c>
      <c r="H982" s="481" t="str">
        <v>Morocco</v>
      </c>
      <c r="I982" s="481" t="str">
        <v>Turkiye</v>
      </c>
      <c r="J982" s="481" t="str">
        <v>Germany</v>
      </c>
      <c r="K982" s="481" t="str">
        <v>Japan</v>
      </c>
      <c r="L982" s="481" t="str">
        <v>Belgium</v>
      </c>
      <c r="M982" s="481" t="str">
        <v>Spain</v>
      </c>
      <c r="N982" s="481" t="str">
        <v>France</v>
      </c>
      <c r="O982" s="481" t="str">
        <v>Algeria</v>
      </c>
      <c r="P982" s="481" t="str">
        <v>Colombia</v>
      </c>
      <c r="Q982" s="490" t="str">
        <v>Croatia</v>
      </c>
    </row>
    <row r="983" spans="1:17" x14ac:dyDescent="0.2">
      <c r="A983" s="489">
        <v>980</v>
      </c>
      <c r="B983" s="481" t="str">
        <v>Netherlands</v>
      </c>
      <c r="C983" s="481" t="str">
        <v>USA</v>
      </c>
      <c r="D983" s="481" t="str">
        <v>Croatia</v>
      </c>
      <c r="E983" s="481" t="str">
        <v>Portugal</v>
      </c>
      <c r="F983" s="481" t="str">
        <v>Korea Republic</v>
      </c>
      <c r="G983" s="481" t="str">
        <v>Canada</v>
      </c>
      <c r="H983" s="481" t="str">
        <v>Brazil</v>
      </c>
      <c r="I983" s="481" t="str">
        <v>USA</v>
      </c>
      <c r="J983" s="481" t="str">
        <v>Ecuador</v>
      </c>
      <c r="K983" s="481" t="str">
        <v>Sweden</v>
      </c>
      <c r="L983" s="481" t="str">
        <v>Belgium</v>
      </c>
      <c r="M983" s="481" t="str">
        <v>Spain</v>
      </c>
      <c r="N983" s="481" t="str">
        <v>France</v>
      </c>
      <c r="O983" s="481" t="str">
        <v>Algeria</v>
      </c>
      <c r="P983" s="481" t="str">
        <v>Colombia</v>
      </c>
      <c r="Q983" s="490" t="str">
        <v>Croatia</v>
      </c>
    </row>
    <row r="984" spans="1:17" x14ac:dyDescent="0.2">
      <c r="A984" s="489">
        <v>981</v>
      </c>
      <c r="B984" s="481" t="str">
        <v>Portugal</v>
      </c>
      <c r="C984" s="481" t="str">
        <v>USA</v>
      </c>
      <c r="D984" s="481" t="str">
        <v>France</v>
      </c>
      <c r="E984" s="481" t="str">
        <v>Austria</v>
      </c>
      <c r="F984" s="481" t="str">
        <v>Mexico</v>
      </c>
      <c r="G984" s="481" t="str">
        <v>Switzerland</v>
      </c>
      <c r="H984" s="481" t="str">
        <v>Brazil</v>
      </c>
      <c r="I984" s="481" t="str">
        <v>USA</v>
      </c>
      <c r="J984" s="481" t="str">
        <v>Germany</v>
      </c>
      <c r="K984" s="481" t="str">
        <v>Netherlands</v>
      </c>
      <c r="L984" s="481" t="str">
        <v>Belgium</v>
      </c>
      <c r="M984" s="481" t="str">
        <v>Cabo Verde</v>
      </c>
      <c r="N984" s="481" t="str">
        <v>France</v>
      </c>
      <c r="O984" s="481" t="str">
        <v>Argentina</v>
      </c>
      <c r="P984" s="481" t="str">
        <v>Portugal</v>
      </c>
      <c r="Q984" s="490" t="str">
        <v>England</v>
      </c>
    </row>
    <row r="985" spans="1:17" x14ac:dyDescent="0.2">
      <c r="A985" s="489">
        <v>982</v>
      </c>
      <c r="B985" s="481" t="str">
        <v>Brazil</v>
      </c>
      <c r="C985" s="481" t="str">
        <v>England</v>
      </c>
      <c r="D985" s="481" t="str">
        <v>Portugal</v>
      </c>
      <c r="E985" s="481" t="str">
        <v>Canada</v>
      </c>
      <c r="F985" s="481" t="str">
        <v>Mexico</v>
      </c>
      <c r="G985" s="481" t="str">
        <v>Switzerland</v>
      </c>
      <c r="H985" s="481" t="str">
        <v>Morocco</v>
      </c>
      <c r="I985" s="481" t="str">
        <v>USA</v>
      </c>
      <c r="J985" s="481" t="str">
        <v>Germany</v>
      </c>
      <c r="K985" s="481" t="str">
        <v>Netherlands</v>
      </c>
      <c r="L985" s="481" t="str">
        <v>Belgium</v>
      </c>
      <c r="M985" s="481" t="str">
        <v>Spain</v>
      </c>
      <c r="N985" s="481" t="str">
        <v>France</v>
      </c>
      <c r="O985" s="481" t="str">
        <v>Algeria</v>
      </c>
      <c r="P985" s="481" t="str">
        <v>Portugal</v>
      </c>
      <c r="Q985" s="490" t="str">
        <v>England</v>
      </c>
    </row>
    <row r="986" spans="1:17" x14ac:dyDescent="0.2">
      <c r="A986" s="489">
        <v>983</v>
      </c>
      <c r="B986" s="481" t="str">
        <v>Argentina</v>
      </c>
      <c r="C986" s="481" t="str">
        <v>Colombia</v>
      </c>
      <c r="D986" s="481" t="str">
        <v>Spain</v>
      </c>
      <c r="E986" s="481" t="str">
        <v>Morocco</v>
      </c>
      <c r="F986" s="481" t="str">
        <v>South Africa</v>
      </c>
      <c r="G986" s="481" t="str">
        <v>Switzerland</v>
      </c>
      <c r="H986" s="481" t="str">
        <v>Scotland</v>
      </c>
      <c r="I986" s="481" t="str">
        <v>USA</v>
      </c>
      <c r="J986" s="481" t="str">
        <v>Germany</v>
      </c>
      <c r="K986" s="481" t="str">
        <v>Netherlands</v>
      </c>
      <c r="L986" s="481" t="str">
        <v>Egypt</v>
      </c>
      <c r="M986" s="481" t="str">
        <v>Spain</v>
      </c>
      <c r="N986" s="481" t="str">
        <v>France</v>
      </c>
      <c r="O986" s="481" t="str">
        <v>Austria</v>
      </c>
      <c r="P986" s="481" t="str">
        <v>Portugal</v>
      </c>
      <c r="Q986" s="490" t="str">
        <v>England</v>
      </c>
    </row>
    <row r="987" spans="1:17" x14ac:dyDescent="0.2">
      <c r="A987" s="489">
        <v>984</v>
      </c>
      <c r="B987" s="481" t="str">
        <v>Morocco</v>
      </c>
      <c r="C987" s="481" t="str">
        <v>England</v>
      </c>
      <c r="D987" s="481" t="str">
        <v>IR Iran</v>
      </c>
      <c r="E987" s="481" t="str">
        <v>Brazil</v>
      </c>
      <c r="F987" s="481" t="str">
        <v>Korea Republic</v>
      </c>
      <c r="G987" s="481" t="str">
        <v>Switzerland</v>
      </c>
      <c r="H987" s="481" t="str">
        <v>Scotland</v>
      </c>
      <c r="I987" s="481" t="str">
        <v>USA</v>
      </c>
      <c r="J987" s="481" t="str">
        <v>Ecuador</v>
      </c>
      <c r="K987" s="481" t="str">
        <v>Netherlands</v>
      </c>
      <c r="L987" s="481" t="str">
        <v>Belgium</v>
      </c>
      <c r="M987" s="481" t="str">
        <v>Spain</v>
      </c>
      <c r="N987" s="481" t="str">
        <v>Iraq</v>
      </c>
      <c r="O987" s="481" t="str">
        <v>Argentina</v>
      </c>
      <c r="P987" s="481" t="str">
        <v>Colombia</v>
      </c>
      <c r="Q987" s="490" t="str">
        <v>Croatia</v>
      </c>
    </row>
    <row r="988" spans="1:17" x14ac:dyDescent="0.2">
      <c r="A988" s="489">
        <v>985</v>
      </c>
      <c r="B988" s="481" t="str">
        <v>Argentina</v>
      </c>
      <c r="C988" s="481" t="str">
        <v>Colombia</v>
      </c>
      <c r="D988" s="481" t="str">
        <v>Brazil</v>
      </c>
      <c r="E988" s="481" t="str">
        <v>Panama</v>
      </c>
      <c r="F988" s="481" t="str">
        <v>Mexico</v>
      </c>
      <c r="G988" s="481" t="str">
        <v>Canada</v>
      </c>
      <c r="H988" s="481" t="str">
        <v>Brazil</v>
      </c>
      <c r="I988" s="481" t="str">
        <v>USA</v>
      </c>
      <c r="J988" s="481" t="str">
        <v>Germany</v>
      </c>
      <c r="K988" s="481" t="str">
        <v>Netherlands</v>
      </c>
      <c r="L988" s="481" t="str">
        <v>Egypt</v>
      </c>
      <c r="M988" s="481" t="str">
        <v>Spain</v>
      </c>
      <c r="N988" s="481" t="str">
        <v>France</v>
      </c>
      <c r="O988" s="481" t="str">
        <v>Argentina</v>
      </c>
      <c r="P988" s="481" t="str">
        <v>Portugal</v>
      </c>
      <c r="Q988" s="490" t="str">
        <v>England</v>
      </c>
    </row>
    <row r="989" spans="1:17" x14ac:dyDescent="0.2">
      <c r="A989" s="489">
        <v>986</v>
      </c>
      <c r="B989" s="481" t="str">
        <v>Brazil</v>
      </c>
      <c r="C989" s="481" t="str">
        <v>Croatia</v>
      </c>
      <c r="D989" s="481" t="str">
        <v>Brazil</v>
      </c>
      <c r="E989" s="481" t="str">
        <v>Austria</v>
      </c>
      <c r="F989" s="481" t="str">
        <v>Mexico</v>
      </c>
      <c r="G989" s="481" t="str">
        <v>Canada</v>
      </c>
      <c r="H989" s="481" t="str">
        <v>Morocco</v>
      </c>
      <c r="I989" s="481" t="str">
        <v>USA</v>
      </c>
      <c r="J989" s="481" t="str">
        <v>Germany</v>
      </c>
      <c r="K989" s="481" t="str">
        <v>Sweden</v>
      </c>
      <c r="L989" s="481" t="str">
        <v>Belgium</v>
      </c>
      <c r="M989" s="481" t="str">
        <v>Spain</v>
      </c>
      <c r="N989" s="481" t="str">
        <v>France</v>
      </c>
      <c r="O989" s="481" t="str">
        <v>Argentina</v>
      </c>
      <c r="P989" s="481" t="str">
        <v>Portugal</v>
      </c>
      <c r="Q989" s="490" t="str">
        <v>England</v>
      </c>
    </row>
    <row r="990" spans="1:17" x14ac:dyDescent="0.2">
      <c r="A990" s="489">
        <v>987</v>
      </c>
      <c r="B990" s="481" t="str">
        <v>France</v>
      </c>
      <c r="C990" s="481" t="str">
        <v>France</v>
      </c>
      <c r="D990" s="481" t="str">
        <v>Brazil</v>
      </c>
      <c r="E990" s="481" t="str">
        <v>Korea Republic</v>
      </c>
      <c r="F990" s="481" t="str">
        <v>Korea Republic</v>
      </c>
      <c r="G990" s="481" t="str">
        <v>Qatar</v>
      </c>
      <c r="H990" s="481" t="str">
        <v>Brazil</v>
      </c>
      <c r="I990" s="481" t="str">
        <v>Paraguay</v>
      </c>
      <c r="J990" s="481" t="str">
        <v>Germany</v>
      </c>
      <c r="K990" s="481" t="str">
        <v>Sweden</v>
      </c>
      <c r="L990" s="481" t="str">
        <v>Egypt</v>
      </c>
      <c r="M990" s="481" t="str">
        <v>Spain</v>
      </c>
      <c r="N990" s="481" t="str">
        <v>Senegal</v>
      </c>
      <c r="O990" s="481" t="str">
        <v>Argentina</v>
      </c>
      <c r="P990" s="481" t="str">
        <v>Colombia</v>
      </c>
      <c r="Q990" s="490" t="str">
        <v>England</v>
      </c>
    </row>
    <row r="991" spans="1:17" x14ac:dyDescent="0.2">
      <c r="A991" s="489">
        <v>988</v>
      </c>
      <c r="B991" s="481" t="str">
        <v>Spain</v>
      </c>
      <c r="C991" s="481" t="str">
        <v>France</v>
      </c>
      <c r="D991" s="481" t="str">
        <v>Croatia</v>
      </c>
      <c r="E991" s="481" t="str">
        <v>Mexico</v>
      </c>
      <c r="F991" s="481" t="str">
        <v>Mexico</v>
      </c>
      <c r="G991" s="481" t="str">
        <v>Switzerland</v>
      </c>
      <c r="H991" s="481" t="str">
        <v>Morocco</v>
      </c>
      <c r="I991" s="481" t="str">
        <v>USA</v>
      </c>
      <c r="J991" s="481" t="str">
        <v>Ecuador</v>
      </c>
      <c r="K991" s="481" t="str">
        <v>Netherlands</v>
      </c>
      <c r="L991" s="481" t="str">
        <v>Belgium</v>
      </c>
      <c r="M991" s="481" t="str">
        <v>Spain</v>
      </c>
      <c r="N991" s="481" t="str">
        <v>Norway</v>
      </c>
      <c r="O991" s="481" t="str">
        <v>Argentina</v>
      </c>
      <c r="P991" s="481" t="str">
        <v>Portugal</v>
      </c>
      <c r="Q991" s="490" t="str">
        <v>England</v>
      </c>
    </row>
    <row r="992" spans="1:17" x14ac:dyDescent="0.2">
      <c r="A992" s="489">
        <v>989</v>
      </c>
      <c r="B992" s="481" t="str">
        <v>England</v>
      </c>
      <c r="C992" s="481" t="str">
        <v>Japan</v>
      </c>
      <c r="D992" s="481" t="str">
        <v>Portugal</v>
      </c>
      <c r="E992" s="481" t="str">
        <v>Japan</v>
      </c>
      <c r="F992" s="481" t="str">
        <v>Mexico</v>
      </c>
      <c r="G992" s="481" t="str">
        <v>Switzerland</v>
      </c>
      <c r="H992" s="481" t="str">
        <v>Brazil</v>
      </c>
      <c r="I992" s="481" t="str">
        <v>USA</v>
      </c>
      <c r="J992" s="481" t="str">
        <v>Germany</v>
      </c>
      <c r="K992" s="481" t="str">
        <v>Sweden</v>
      </c>
      <c r="L992" s="481" t="str">
        <v>IR Iran</v>
      </c>
      <c r="M992" s="481" t="str">
        <v>Cabo Verde</v>
      </c>
      <c r="N992" s="481" t="str">
        <v>France</v>
      </c>
      <c r="O992" s="481" t="str">
        <v>Algeria</v>
      </c>
      <c r="P992" s="481" t="str">
        <v>Portugal</v>
      </c>
      <c r="Q992" s="490" t="str">
        <v>Croatia</v>
      </c>
    </row>
    <row r="993" spans="1:17" x14ac:dyDescent="0.2">
      <c r="A993" s="489">
        <v>990</v>
      </c>
      <c r="B993" s="481" t="str">
        <v>Germany</v>
      </c>
      <c r="C993" s="481" t="str">
        <v>Austria</v>
      </c>
      <c r="D993" s="481" t="str">
        <v>Netherlands</v>
      </c>
      <c r="E993" s="481" t="str">
        <v>Norway</v>
      </c>
      <c r="F993" s="481" t="str">
        <v>Mexico</v>
      </c>
      <c r="G993" s="481" t="str">
        <v>Canada</v>
      </c>
      <c r="H993" s="481" t="str">
        <v>Brazil</v>
      </c>
      <c r="I993" s="481" t="str">
        <v>USA</v>
      </c>
      <c r="J993" s="481" t="str">
        <v>Germany</v>
      </c>
      <c r="K993" s="481" t="str">
        <v>Japan</v>
      </c>
      <c r="L993" s="481" t="str">
        <v>Belgium</v>
      </c>
      <c r="M993" s="481" t="str">
        <v>Spain</v>
      </c>
      <c r="N993" s="481" t="str">
        <v>Senegal</v>
      </c>
      <c r="O993" s="481" t="str">
        <v>Austria</v>
      </c>
      <c r="P993" s="481" t="str">
        <v>Portugal</v>
      </c>
      <c r="Q993" s="490" t="str">
        <v>England</v>
      </c>
    </row>
    <row r="994" spans="1:17" x14ac:dyDescent="0.2">
      <c r="A994" s="489">
        <v>991</v>
      </c>
      <c r="B994" s="481" t="str">
        <v>Portugal</v>
      </c>
      <c r="C994" s="481" t="str">
        <v>Spain</v>
      </c>
      <c r="D994" s="481" t="str">
        <v>Croatia</v>
      </c>
      <c r="E994" s="481" t="str">
        <v>France</v>
      </c>
      <c r="F994" s="481" t="str">
        <v>Korea Republic</v>
      </c>
      <c r="G994" s="481" t="str">
        <v>Switzerland</v>
      </c>
      <c r="H994" s="481" t="str">
        <v>Morocco</v>
      </c>
      <c r="I994" s="481" t="str">
        <v>Australia</v>
      </c>
      <c r="J994" s="481" t="str">
        <v>Ecuador</v>
      </c>
      <c r="K994" s="481" t="str">
        <v>Japan</v>
      </c>
      <c r="L994" s="481" t="str">
        <v>Egypt</v>
      </c>
      <c r="M994" s="481" t="str">
        <v>Spain</v>
      </c>
      <c r="N994" s="481" t="str">
        <v>France</v>
      </c>
      <c r="O994" s="481" t="str">
        <v>Argentina</v>
      </c>
      <c r="P994" s="481" t="str">
        <v>Portugal</v>
      </c>
      <c r="Q994" s="490" t="str">
        <v>England</v>
      </c>
    </row>
    <row r="995" spans="1:17" x14ac:dyDescent="0.2">
      <c r="A995" s="489">
        <v>992</v>
      </c>
      <c r="B995" s="481" t="str">
        <v>Colombia</v>
      </c>
      <c r="C995" s="481" t="str">
        <v>Argentina</v>
      </c>
      <c r="D995" s="481" t="str">
        <v>USA</v>
      </c>
      <c r="E995" s="481" t="str">
        <v>England</v>
      </c>
      <c r="F995" s="481" t="str">
        <v>Mexico</v>
      </c>
      <c r="G995" s="481" t="str">
        <v>Canada</v>
      </c>
      <c r="H995" s="481" t="str">
        <v>Brazil</v>
      </c>
      <c r="I995" s="481" t="str">
        <v>USA</v>
      </c>
      <c r="J995" s="481" t="str">
        <v>Ecuador</v>
      </c>
      <c r="K995" s="481" t="str">
        <v>Japan</v>
      </c>
      <c r="L995" s="481" t="str">
        <v>Belgium</v>
      </c>
      <c r="M995" s="481" t="str">
        <v>Spain</v>
      </c>
      <c r="N995" s="481" t="str">
        <v>Norway</v>
      </c>
      <c r="O995" s="481" t="str">
        <v>Argentina</v>
      </c>
      <c r="P995" s="481" t="str">
        <v>Colombia</v>
      </c>
      <c r="Q995" s="490" t="str">
        <v>England</v>
      </c>
    </row>
    <row r="996" spans="1:17" x14ac:dyDescent="0.2">
      <c r="A996" s="489">
        <v>993</v>
      </c>
      <c r="B996" s="481" t="str">
        <v>Spain</v>
      </c>
      <c r="C996" s="481" t="str">
        <v>Croatia</v>
      </c>
      <c r="D996" s="481" t="str">
        <v>Switzerland</v>
      </c>
      <c r="E996" s="481" t="str">
        <v>Argentina</v>
      </c>
      <c r="F996" s="481" t="str">
        <v>Korea Republic</v>
      </c>
      <c r="G996" s="481" t="str">
        <v>Bosnia-Herzegovina</v>
      </c>
      <c r="H996" s="481" t="str">
        <v>Scotland</v>
      </c>
      <c r="I996" s="481" t="str">
        <v>USA</v>
      </c>
      <c r="J996" s="481" t="str">
        <v>Germany</v>
      </c>
      <c r="K996" s="481" t="str">
        <v>Netherlands</v>
      </c>
      <c r="L996" s="481" t="str">
        <v>Belgium</v>
      </c>
      <c r="M996" s="481" t="str">
        <v>Uruguay</v>
      </c>
      <c r="N996" s="481" t="str">
        <v>Norway</v>
      </c>
      <c r="O996" s="481" t="str">
        <v>Austria</v>
      </c>
      <c r="P996" s="481" t="str">
        <v>Colombia</v>
      </c>
      <c r="Q996" s="490" t="str">
        <v>England</v>
      </c>
    </row>
    <row r="997" spans="1:17" x14ac:dyDescent="0.2">
      <c r="A997" s="489">
        <v>994</v>
      </c>
      <c r="B997" s="481" t="str">
        <v>England</v>
      </c>
      <c r="C997" s="481" t="str">
        <v>Brazil</v>
      </c>
      <c r="D997" s="481" t="str">
        <v>Spain</v>
      </c>
      <c r="E997" s="481" t="str">
        <v>England</v>
      </c>
      <c r="F997" s="481" t="str">
        <v>Mexico</v>
      </c>
      <c r="G997" s="481" t="str">
        <v>Qatar</v>
      </c>
      <c r="H997" s="481" t="str">
        <v>Brazil</v>
      </c>
      <c r="I997" s="481" t="str">
        <v>Australia</v>
      </c>
      <c r="J997" s="481" t="str">
        <v>Germany</v>
      </c>
      <c r="K997" s="481" t="str">
        <v>Japan</v>
      </c>
      <c r="L997" s="481" t="str">
        <v>Egypt</v>
      </c>
      <c r="M997" s="481" t="str">
        <v>Spain</v>
      </c>
      <c r="N997" s="481" t="str">
        <v>France</v>
      </c>
      <c r="O997" s="481" t="str">
        <v>Argentina</v>
      </c>
      <c r="P997" s="481" t="str">
        <v>Colombia</v>
      </c>
      <c r="Q997" s="490" t="str">
        <v>Croatia</v>
      </c>
    </row>
    <row r="998" spans="1:17" x14ac:dyDescent="0.2">
      <c r="A998" s="489">
        <v>995</v>
      </c>
      <c r="B998" s="481" t="str">
        <v>Brazil</v>
      </c>
      <c r="C998" s="481" t="str">
        <v>Croatia</v>
      </c>
      <c r="D998" s="481" t="str">
        <v>Morocco</v>
      </c>
      <c r="E998" s="481" t="str">
        <v>USA</v>
      </c>
      <c r="F998" s="481" t="str">
        <v>Korea Republic</v>
      </c>
      <c r="G998" s="481" t="str">
        <v>Switzerland</v>
      </c>
      <c r="H998" s="481" t="str">
        <v>Brazil</v>
      </c>
      <c r="I998" s="481" t="str">
        <v>Turkiye</v>
      </c>
      <c r="J998" s="481" t="str">
        <v>Germany</v>
      </c>
      <c r="K998" s="481" t="str">
        <v>Netherlands</v>
      </c>
      <c r="L998" s="481" t="str">
        <v>Egypt</v>
      </c>
      <c r="M998" s="481" t="str">
        <v>Spain</v>
      </c>
      <c r="N998" s="481" t="str">
        <v>Norway</v>
      </c>
      <c r="O998" s="481" t="str">
        <v>Argentina</v>
      </c>
      <c r="P998" s="481" t="str">
        <v>Portugal</v>
      </c>
      <c r="Q998" s="490" t="str">
        <v>England</v>
      </c>
    </row>
    <row r="999" spans="1:17" x14ac:dyDescent="0.2">
      <c r="A999" s="489">
        <v>996</v>
      </c>
      <c r="B999" s="481" t="str">
        <v>Colombia</v>
      </c>
      <c r="C999" s="481" t="str">
        <v>Brazil</v>
      </c>
      <c r="D999" s="481" t="str">
        <v>Argentina</v>
      </c>
      <c r="E999" s="481" t="str">
        <v>Mexico</v>
      </c>
      <c r="F999" s="481" t="str">
        <v>Korea Republic</v>
      </c>
      <c r="G999" s="481" t="str">
        <v>Bosnia-Herzegovina</v>
      </c>
      <c r="H999" s="481" t="str">
        <v>Brazil</v>
      </c>
      <c r="I999" s="481" t="str">
        <v>Paraguay</v>
      </c>
      <c r="J999" s="481" t="str">
        <v>Germany</v>
      </c>
      <c r="K999" s="481" t="str">
        <v>Sweden</v>
      </c>
      <c r="L999" s="481" t="str">
        <v>Belgium</v>
      </c>
      <c r="M999" s="481" t="str">
        <v>Spain</v>
      </c>
      <c r="N999" s="481" t="str">
        <v>France</v>
      </c>
      <c r="O999" s="481" t="str">
        <v>Argentina</v>
      </c>
      <c r="P999" s="481" t="str">
        <v>Portugal</v>
      </c>
      <c r="Q999" s="490" t="str">
        <v>Croatia</v>
      </c>
    </row>
    <row r="1000" spans="1:17" x14ac:dyDescent="0.2">
      <c r="A1000" s="489">
        <v>997</v>
      </c>
      <c r="B1000" s="481" t="str">
        <v>Argentina</v>
      </c>
      <c r="C1000" s="481" t="str">
        <v>Colombia</v>
      </c>
      <c r="D1000" s="481" t="str">
        <v>England</v>
      </c>
      <c r="E1000" s="481" t="str">
        <v>Brazil</v>
      </c>
      <c r="F1000" s="481" t="str">
        <v>Korea Republic</v>
      </c>
      <c r="G1000" s="481" t="str">
        <v>Qatar</v>
      </c>
      <c r="H1000" s="481" t="str">
        <v>Brazil</v>
      </c>
      <c r="I1000" s="481" t="str">
        <v>Australia</v>
      </c>
      <c r="J1000" s="481" t="str">
        <v>Germany</v>
      </c>
      <c r="K1000" s="481" t="str">
        <v>Japan</v>
      </c>
      <c r="L1000" s="481" t="str">
        <v>Belgium</v>
      </c>
      <c r="M1000" s="481" t="str">
        <v>Uruguay</v>
      </c>
      <c r="N1000" s="481" t="str">
        <v>Senegal</v>
      </c>
      <c r="O1000" s="481" t="str">
        <v>Argentina</v>
      </c>
      <c r="P1000" s="481" t="str">
        <v>Colombia</v>
      </c>
      <c r="Q1000" s="490" t="str">
        <v>England</v>
      </c>
    </row>
    <row r="1001" spans="1:17" x14ac:dyDescent="0.2">
      <c r="A1001" s="489">
        <v>998</v>
      </c>
      <c r="B1001" s="481" t="str">
        <v>Croatia</v>
      </c>
      <c r="C1001" s="481" t="str">
        <v>France</v>
      </c>
      <c r="D1001" s="481" t="str">
        <v>England</v>
      </c>
      <c r="E1001" s="481" t="str">
        <v>Portugal</v>
      </c>
      <c r="F1001" s="481" t="str">
        <v>Korea Republic</v>
      </c>
      <c r="G1001" s="481" t="str">
        <v>Switzerland</v>
      </c>
      <c r="H1001" s="481" t="str">
        <v>Scotland</v>
      </c>
      <c r="I1001" s="481" t="str">
        <v>Australia</v>
      </c>
      <c r="J1001" s="481" t="str">
        <v>Germany</v>
      </c>
      <c r="K1001" s="481" t="str">
        <v>Netherlands</v>
      </c>
      <c r="L1001" s="481" t="str">
        <v>Belgium</v>
      </c>
      <c r="M1001" s="481" t="str">
        <v>Uruguay</v>
      </c>
      <c r="N1001" s="481" t="str">
        <v>France</v>
      </c>
      <c r="O1001" s="481" t="str">
        <v>Argentina</v>
      </c>
      <c r="P1001" s="481" t="str">
        <v>Portugal</v>
      </c>
      <c r="Q1001" s="490" t="str">
        <v>England</v>
      </c>
    </row>
    <row r="1002" spans="1:17" x14ac:dyDescent="0.2">
      <c r="A1002" s="489">
        <v>999</v>
      </c>
      <c r="B1002" s="481" t="str">
        <v>Belgium</v>
      </c>
      <c r="C1002" s="481" t="str">
        <v>USA</v>
      </c>
      <c r="D1002" s="481" t="str">
        <v>Norway</v>
      </c>
      <c r="E1002" s="481" t="str">
        <v>Spain</v>
      </c>
      <c r="F1002" s="481" t="str">
        <v>Korea Republic</v>
      </c>
      <c r="G1002" s="481" t="str">
        <v>Switzerland</v>
      </c>
      <c r="H1002" s="481" t="str">
        <v>Brazil</v>
      </c>
      <c r="I1002" s="481" t="str">
        <v>USA</v>
      </c>
      <c r="J1002" s="481" t="str">
        <v>Cote d'Ivorie</v>
      </c>
      <c r="K1002" s="481" t="str">
        <v>Japan</v>
      </c>
      <c r="L1002" s="481" t="str">
        <v>Belgium</v>
      </c>
      <c r="M1002" s="481" t="str">
        <v>Spain</v>
      </c>
      <c r="N1002" s="481" t="str">
        <v>France</v>
      </c>
      <c r="O1002" s="481" t="str">
        <v>Argentina</v>
      </c>
      <c r="P1002" s="481" t="str">
        <v>Portugal</v>
      </c>
      <c r="Q1002" s="490" t="str">
        <v>Croatia</v>
      </c>
    </row>
    <row r="1003" spans="1:17" x14ac:dyDescent="0.2">
      <c r="A1003" s="491">
        <v>1000</v>
      </c>
      <c r="B1003" s="483" t="str">
        <v>England</v>
      </c>
      <c r="C1003" s="483" t="str">
        <v>Germany</v>
      </c>
      <c r="D1003" s="483" t="str">
        <v>Norway</v>
      </c>
      <c r="E1003" s="483" t="str">
        <v>USA</v>
      </c>
      <c r="F1003" s="483" t="str">
        <v>Mexico</v>
      </c>
      <c r="G1003" s="483" t="str">
        <v>Qatar</v>
      </c>
      <c r="H1003" s="483" t="str">
        <v>Brazil</v>
      </c>
      <c r="I1003" s="483" t="str">
        <v>USA</v>
      </c>
      <c r="J1003" s="483" t="str">
        <v>Germany</v>
      </c>
      <c r="K1003" s="483" t="str">
        <v>Netherlands</v>
      </c>
      <c r="L1003" s="483" t="str">
        <v>Belgium</v>
      </c>
      <c r="M1003" s="483" t="str">
        <v>Uruguay</v>
      </c>
      <c r="N1003" s="483" t="str">
        <v>Norway</v>
      </c>
      <c r="O1003" s="483" t="str">
        <v>Austria</v>
      </c>
      <c r="P1003" s="483" t="str">
        <v>Portugal</v>
      </c>
      <c r="Q1003" s="492" t="str">
        <v>England</v>
      </c>
    </row>
  </sheetData>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E410"/>
  <sheetViews>
    <sheetView showRowColHeaders="0" workbookViewId="0">
      <pane ySplit="1" topLeftCell="A2" activePane="bottomLeft" state="frozen"/>
      <selection activeCell="H30" sqref="H30"/>
      <selection pane="bottomLeft" activeCell="G22" sqref="G22"/>
    </sheetView>
  </sheetViews>
  <sheetFormatPr defaultRowHeight="15" x14ac:dyDescent="0.25"/>
  <cols>
    <col min="1" max="2" width="10.7109375" style="8" customWidth="1"/>
    <col min="3" max="4" width="10.7109375" style="6" customWidth="1"/>
    <col min="5" max="5" width="10.7109375" style="4" customWidth="1"/>
    <col min="6" max="16384" width="9.140625" style="2"/>
  </cols>
  <sheetData>
    <row r="1" spans="1:5" x14ac:dyDescent="0.25">
      <c r="A1" s="7" t="s">
        <v>24</v>
      </c>
      <c r="B1" s="7" t="s">
        <v>20</v>
      </c>
      <c r="C1" s="5" t="s">
        <v>94</v>
      </c>
      <c r="D1" s="5" t="s">
        <v>15</v>
      </c>
      <c r="E1" s="3" t="s">
        <v>28</v>
      </c>
    </row>
    <row r="2" spans="1:5" x14ac:dyDescent="0.25">
      <c r="A2" s="8">
        <v>1</v>
      </c>
      <c r="B2" s="8">
        <f t="shared" ref="B2:B223" si="0">1+C2/D2</f>
        <v>1.0009999999999999</v>
      </c>
      <c r="C2" s="6">
        <v>1</v>
      </c>
      <c r="D2" s="6">
        <v>1000</v>
      </c>
      <c r="E2" s="123" t="s">
        <v>110</v>
      </c>
    </row>
    <row r="3" spans="1:5" x14ac:dyDescent="0.25">
      <c r="A3" s="8">
        <v>1.0101</v>
      </c>
      <c r="B3" s="8">
        <f t="shared" si="0"/>
        <v>1.0101010101010102</v>
      </c>
      <c r="C3" s="6">
        <v>1</v>
      </c>
      <c r="D3" s="6">
        <v>99</v>
      </c>
      <c r="E3" s="4" t="s">
        <v>124</v>
      </c>
    </row>
    <row r="4" spans="1:5" x14ac:dyDescent="0.25">
      <c r="A4" s="8">
        <v>1.01515</v>
      </c>
      <c r="B4" s="8">
        <f t="shared" si="0"/>
        <v>1.0151515151515151</v>
      </c>
      <c r="C4" s="6">
        <v>1</v>
      </c>
      <c r="D4" s="6">
        <v>66</v>
      </c>
      <c r="E4" s="4" t="s">
        <v>125</v>
      </c>
    </row>
    <row r="5" spans="1:5" x14ac:dyDescent="0.25">
      <c r="A5" s="8">
        <v>1.02</v>
      </c>
      <c r="B5" s="8">
        <f t="shared" si="0"/>
        <v>1.02</v>
      </c>
      <c r="C5" s="6">
        <v>1</v>
      </c>
      <c r="D5" s="6">
        <v>50</v>
      </c>
      <c r="E5" s="4" t="s">
        <v>126</v>
      </c>
    </row>
    <row r="6" spans="1:5" x14ac:dyDescent="0.25">
      <c r="A6" s="8">
        <v>1.0303</v>
      </c>
      <c r="B6" s="8">
        <f t="shared" si="0"/>
        <v>1.0303030303030303</v>
      </c>
      <c r="C6" s="6">
        <v>1</v>
      </c>
      <c r="D6" s="6">
        <v>33</v>
      </c>
      <c r="E6" s="4" t="s">
        <v>127</v>
      </c>
    </row>
    <row r="7" spans="1:5" x14ac:dyDescent="0.25">
      <c r="A7" s="8">
        <v>1.04</v>
      </c>
      <c r="B7" s="8">
        <f t="shared" si="0"/>
        <v>1.04</v>
      </c>
      <c r="C7" s="6">
        <v>1</v>
      </c>
      <c r="D7" s="6">
        <v>25</v>
      </c>
      <c r="E7" s="4" t="s">
        <v>97</v>
      </c>
    </row>
    <row r="8" spans="1:5" x14ac:dyDescent="0.25">
      <c r="A8" s="8">
        <v>1.05</v>
      </c>
      <c r="B8" s="8">
        <f t="shared" si="0"/>
        <v>1.05</v>
      </c>
      <c r="C8" s="6">
        <v>1</v>
      </c>
      <c r="D8" s="6">
        <v>20</v>
      </c>
      <c r="E8" s="4" t="s">
        <v>31</v>
      </c>
    </row>
    <row r="9" spans="1:5" x14ac:dyDescent="0.25">
      <c r="A9" s="8">
        <v>1.0625</v>
      </c>
      <c r="B9" s="8">
        <f t="shared" si="0"/>
        <v>1.0625</v>
      </c>
      <c r="C9" s="6">
        <v>1</v>
      </c>
      <c r="D9" s="6">
        <v>16</v>
      </c>
      <c r="E9" s="4" t="s">
        <v>32</v>
      </c>
    </row>
    <row r="10" spans="1:5" x14ac:dyDescent="0.25">
      <c r="A10" s="8">
        <v>1.0666599999999999</v>
      </c>
      <c r="B10" s="8">
        <f t="shared" si="0"/>
        <v>1.0666666666666667</v>
      </c>
      <c r="C10" s="6">
        <v>1</v>
      </c>
      <c r="D10" s="6">
        <v>15</v>
      </c>
      <c r="E10" s="4" t="s">
        <v>128</v>
      </c>
    </row>
    <row r="11" spans="1:5" x14ac:dyDescent="0.25">
      <c r="A11" s="8">
        <v>1.07142</v>
      </c>
      <c r="B11" s="8">
        <f t="shared" si="0"/>
        <v>1.0714285714285714</v>
      </c>
      <c r="C11" s="6">
        <v>1</v>
      </c>
      <c r="D11" s="6">
        <v>14</v>
      </c>
      <c r="E11" s="4" t="s">
        <v>33</v>
      </c>
    </row>
    <row r="12" spans="1:5" x14ac:dyDescent="0.25">
      <c r="A12" s="8">
        <v>1.0769200000000001</v>
      </c>
      <c r="B12" s="8">
        <f t="shared" si="0"/>
        <v>1.0769230769230769</v>
      </c>
      <c r="C12" s="6">
        <v>1</v>
      </c>
      <c r="D12" s="6">
        <v>13</v>
      </c>
      <c r="E12" s="4" t="s">
        <v>129</v>
      </c>
    </row>
    <row r="13" spans="1:5" x14ac:dyDescent="0.25">
      <c r="A13" s="8">
        <v>1.0833299999999999</v>
      </c>
      <c r="B13" s="8">
        <f t="shared" si="0"/>
        <v>1.0833333333333333</v>
      </c>
      <c r="C13" s="6">
        <v>1</v>
      </c>
      <c r="D13" s="6">
        <v>12</v>
      </c>
      <c r="E13" s="4" t="s">
        <v>34</v>
      </c>
    </row>
    <row r="14" spans="1:5" x14ac:dyDescent="0.25">
      <c r="A14" s="8">
        <v>1.0909</v>
      </c>
      <c r="B14" s="8">
        <f t="shared" si="0"/>
        <v>1.0909090909090908</v>
      </c>
      <c r="C14" s="6">
        <v>1</v>
      </c>
      <c r="D14" s="6">
        <v>11</v>
      </c>
      <c r="E14" s="4" t="s">
        <v>35</v>
      </c>
    </row>
    <row r="15" spans="1:5" x14ac:dyDescent="0.25">
      <c r="A15" s="8">
        <v>1.1000000000000001</v>
      </c>
      <c r="B15" s="8">
        <f t="shared" si="0"/>
        <v>1.1000000000000001</v>
      </c>
      <c r="C15" s="6">
        <v>1</v>
      </c>
      <c r="D15" s="6">
        <v>10</v>
      </c>
      <c r="E15" s="4" t="s">
        <v>36</v>
      </c>
    </row>
    <row r="16" spans="1:5" x14ac:dyDescent="0.25">
      <c r="A16" s="8">
        <v>1.11111</v>
      </c>
      <c r="B16" s="8">
        <f t="shared" si="0"/>
        <v>1.1111111111111112</v>
      </c>
      <c r="C16" s="6">
        <v>1</v>
      </c>
      <c r="D16" s="6">
        <v>9</v>
      </c>
      <c r="E16" s="4" t="s">
        <v>37</v>
      </c>
    </row>
    <row r="17" spans="1:5" x14ac:dyDescent="0.25">
      <c r="A17" s="8">
        <v>1.11764</v>
      </c>
      <c r="B17" s="8">
        <f t="shared" si="0"/>
        <v>1.1176470588235294</v>
      </c>
      <c r="C17" s="6">
        <v>2</v>
      </c>
      <c r="D17" s="6">
        <v>17</v>
      </c>
      <c r="E17" s="4" t="s">
        <v>37</v>
      </c>
    </row>
    <row r="18" spans="1:5" x14ac:dyDescent="0.25">
      <c r="A18" s="8">
        <v>1.1200000000000001</v>
      </c>
      <c r="B18" s="8">
        <f t="shared" si="0"/>
        <v>1.1200000000000001</v>
      </c>
      <c r="C18" s="6">
        <v>3</v>
      </c>
      <c r="D18" s="6">
        <v>25</v>
      </c>
      <c r="E18" s="4" t="s">
        <v>37</v>
      </c>
    </row>
    <row r="19" spans="1:5" x14ac:dyDescent="0.25">
      <c r="A19" s="8">
        <v>1.125</v>
      </c>
      <c r="B19" s="8">
        <f t="shared" si="0"/>
        <v>1.125</v>
      </c>
      <c r="C19" s="6">
        <v>1</v>
      </c>
      <c r="D19" s="6">
        <v>8</v>
      </c>
      <c r="E19" s="4" t="s">
        <v>38</v>
      </c>
    </row>
    <row r="20" spans="1:5" x14ac:dyDescent="0.25">
      <c r="A20" s="8">
        <v>1.1333299999999999</v>
      </c>
      <c r="B20" s="8">
        <f t="shared" si="0"/>
        <v>1.1333333333333333</v>
      </c>
      <c r="C20" s="6">
        <v>2</v>
      </c>
      <c r="D20" s="6">
        <v>15</v>
      </c>
      <c r="E20" s="4" t="s">
        <v>91</v>
      </c>
    </row>
    <row r="21" spans="1:5" x14ac:dyDescent="0.25">
      <c r="A21" s="8">
        <v>1.1399999999999999</v>
      </c>
      <c r="B21" s="8">
        <f t="shared" si="0"/>
        <v>1.1400000000000001</v>
      </c>
      <c r="C21" s="6">
        <v>7</v>
      </c>
      <c r="D21" s="6">
        <v>50</v>
      </c>
      <c r="E21" s="4" t="s">
        <v>130</v>
      </c>
    </row>
    <row r="22" spans="1:5" x14ac:dyDescent="0.25">
      <c r="A22" s="8">
        <v>1.1428499999999999</v>
      </c>
      <c r="B22" s="8">
        <f t="shared" si="0"/>
        <v>1.1428571428571428</v>
      </c>
      <c r="C22" s="6">
        <v>1</v>
      </c>
      <c r="D22" s="6">
        <v>7</v>
      </c>
      <c r="E22" s="4" t="s">
        <v>39</v>
      </c>
    </row>
    <row r="23" spans="1:5" x14ac:dyDescent="0.25">
      <c r="A23" s="8">
        <v>1.15384</v>
      </c>
      <c r="B23" s="8">
        <f t="shared" si="0"/>
        <v>1.1538461538461537</v>
      </c>
      <c r="C23" s="6">
        <v>2</v>
      </c>
      <c r="D23" s="6">
        <v>13</v>
      </c>
      <c r="E23" s="4" t="s">
        <v>92</v>
      </c>
    </row>
    <row r="24" spans="1:5" x14ac:dyDescent="0.25">
      <c r="A24" s="8">
        <v>1.1599999999999999</v>
      </c>
      <c r="B24" s="8">
        <f t="shared" si="0"/>
        <v>1.1599999999999999</v>
      </c>
      <c r="C24" s="6">
        <v>4</v>
      </c>
      <c r="D24" s="6">
        <v>25</v>
      </c>
      <c r="E24" s="4" t="s">
        <v>92</v>
      </c>
    </row>
    <row r="25" spans="1:5" x14ac:dyDescent="0.25">
      <c r="A25" s="8">
        <v>1.16666</v>
      </c>
      <c r="B25" s="8">
        <f t="shared" si="0"/>
        <v>1.1666666666666667</v>
      </c>
      <c r="C25" s="6">
        <v>1</v>
      </c>
      <c r="D25" s="6">
        <v>6</v>
      </c>
      <c r="E25" s="4" t="s">
        <v>40</v>
      </c>
    </row>
    <row r="26" spans="1:5" x14ac:dyDescent="0.25">
      <c r="A26" s="8">
        <v>1.18</v>
      </c>
      <c r="B26" s="8">
        <f t="shared" si="0"/>
        <v>1.18</v>
      </c>
      <c r="C26" s="6">
        <v>9</v>
      </c>
      <c r="D26" s="6">
        <v>50</v>
      </c>
      <c r="E26" s="4" t="s">
        <v>40</v>
      </c>
    </row>
    <row r="27" spans="1:5" x14ac:dyDescent="0.25">
      <c r="A27" s="8">
        <v>1.18181</v>
      </c>
      <c r="B27" s="8">
        <f t="shared" si="0"/>
        <v>1.1818181818181819</v>
      </c>
      <c r="C27" s="6">
        <v>2</v>
      </c>
      <c r="D27" s="6">
        <v>11</v>
      </c>
      <c r="E27" s="4" t="s">
        <v>45</v>
      </c>
    </row>
    <row r="28" spans="1:5" x14ac:dyDescent="0.25">
      <c r="A28" s="8">
        <v>1.2</v>
      </c>
      <c r="B28" s="8">
        <f t="shared" si="0"/>
        <v>1.2</v>
      </c>
      <c r="C28" s="6">
        <v>1</v>
      </c>
      <c r="D28" s="6">
        <v>5</v>
      </c>
      <c r="E28" s="4" t="s">
        <v>41</v>
      </c>
    </row>
    <row r="29" spans="1:5" x14ac:dyDescent="0.25">
      <c r="A29" s="8">
        <v>1.2222200000000001</v>
      </c>
      <c r="B29" s="8">
        <f t="shared" si="0"/>
        <v>1.2222222222222223</v>
      </c>
      <c r="C29" s="6">
        <v>2</v>
      </c>
      <c r="D29" s="6">
        <v>9</v>
      </c>
      <c r="E29" s="4" t="s">
        <v>46</v>
      </c>
    </row>
    <row r="30" spans="1:5" x14ac:dyDescent="0.25">
      <c r="A30" s="8">
        <v>1.24</v>
      </c>
      <c r="B30" s="8">
        <f t="shared" si="0"/>
        <v>1.24</v>
      </c>
      <c r="C30" s="6">
        <v>6</v>
      </c>
      <c r="D30" s="6">
        <v>25</v>
      </c>
      <c r="E30" s="4" t="s">
        <v>46</v>
      </c>
    </row>
    <row r="31" spans="1:5" x14ac:dyDescent="0.25">
      <c r="A31" s="8">
        <v>1.25</v>
      </c>
      <c r="B31" s="8">
        <f t="shared" si="0"/>
        <v>1.25</v>
      </c>
      <c r="C31" s="6">
        <v>1</v>
      </c>
      <c r="D31" s="6">
        <v>4</v>
      </c>
      <c r="E31" s="4" t="s">
        <v>42</v>
      </c>
    </row>
    <row r="32" spans="1:5" x14ac:dyDescent="0.25">
      <c r="A32" s="8">
        <v>1.26</v>
      </c>
      <c r="B32" s="8">
        <f t="shared" si="0"/>
        <v>1.26</v>
      </c>
      <c r="C32" s="6">
        <v>13</v>
      </c>
      <c r="D32" s="6">
        <v>50</v>
      </c>
      <c r="E32" s="4" t="s">
        <v>42</v>
      </c>
    </row>
    <row r="33" spans="1:5" x14ac:dyDescent="0.25">
      <c r="A33" s="8">
        <v>1.28</v>
      </c>
      <c r="B33" s="8">
        <f t="shared" si="0"/>
        <v>1.28</v>
      </c>
      <c r="C33" s="6">
        <v>7</v>
      </c>
      <c r="D33" s="6">
        <v>25</v>
      </c>
      <c r="E33" s="4" t="s">
        <v>131</v>
      </c>
    </row>
    <row r="34" spans="1:5" x14ac:dyDescent="0.25">
      <c r="A34" s="8">
        <v>1.2857099999999999</v>
      </c>
      <c r="B34" s="8">
        <f t="shared" si="0"/>
        <v>1.2857142857142856</v>
      </c>
      <c r="C34" s="6">
        <v>2</v>
      </c>
      <c r="D34" s="6">
        <v>7</v>
      </c>
      <c r="E34" s="4" t="s">
        <v>47</v>
      </c>
    </row>
    <row r="35" spans="1:5" x14ac:dyDescent="0.25">
      <c r="A35" s="8">
        <v>1.3</v>
      </c>
      <c r="B35" s="8">
        <f t="shared" si="0"/>
        <v>1.3</v>
      </c>
      <c r="C35" s="6">
        <v>3</v>
      </c>
      <c r="D35" s="6">
        <v>10</v>
      </c>
      <c r="E35" s="4" t="s">
        <v>54</v>
      </c>
    </row>
    <row r="36" spans="1:5" x14ac:dyDescent="0.25">
      <c r="A36" s="8">
        <v>1.32</v>
      </c>
      <c r="B36" s="8">
        <f t="shared" si="0"/>
        <v>1.32</v>
      </c>
      <c r="C36" s="6">
        <v>8</v>
      </c>
      <c r="D36" s="6">
        <v>25</v>
      </c>
      <c r="E36" s="4" t="s">
        <v>132</v>
      </c>
    </row>
    <row r="37" spans="1:5" x14ac:dyDescent="0.25">
      <c r="A37" s="8">
        <v>1.33</v>
      </c>
      <c r="B37" s="8">
        <f t="shared" si="0"/>
        <v>1.3333333333333333</v>
      </c>
      <c r="C37" s="6">
        <v>1</v>
      </c>
      <c r="D37" s="6">
        <v>3</v>
      </c>
      <c r="E37" s="4" t="s">
        <v>43</v>
      </c>
    </row>
    <row r="38" spans="1:5" x14ac:dyDescent="0.25">
      <c r="A38" s="8">
        <v>1.34</v>
      </c>
      <c r="B38" s="8">
        <f t="shared" si="0"/>
        <v>1.34</v>
      </c>
      <c r="C38" s="6">
        <v>17</v>
      </c>
      <c r="D38" s="6">
        <v>50</v>
      </c>
      <c r="E38" s="4" t="s">
        <v>133</v>
      </c>
    </row>
    <row r="39" spans="1:5" x14ac:dyDescent="0.25">
      <c r="A39" s="8">
        <v>1.36</v>
      </c>
      <c r="B39" s="8">
        <f t="shared" si="0"/>
        <v>1.3599999999999999</v>
      </c>
      <c r="C39" s="6">
        <v>9</v>
      </c>
      <c r="D39" s="6">
        <v>25</v>
      </c>
      <c r="E39" s="4" t="s">
        <v>134</v>
      </c>
    </row>
    <row r="40" spans="1:5" x14ac:dyDescent="0.25">
      <c r="A40" s="8">
        <v>1.3636299999999999</v>
      </c>
      <c r="B40" s="8">
        <f t="shared" si="0"/>
        <v>1.3636363636363638</v>
      </c>
      <c r="C40" s="6">
        <v>4</v>
      </c>
      <c r="D40" s="6">
        <v>11</v>
      </c>
      <c r="E40" s="4" t="s">
        <v>48</v>
      </c>
    </row>
    <row r="41" spans="1:5" x14ac:dyDescent="0.25">
      <c r="A41" s="8">
        <v>1.38</v>
      </c>
      <c r="B41" s="8">
        <f t="shared" si="0"/>
        <v>1.38</v>
      </c>
      <c r="C41" s="6">
        <v>19</v>
      </c>
      <c r="D41" s="6">
        <v>50</v>
      </c>
      <c r="E41" s="4" t="s">
        <v>135</v>
      </c>
    </row>
    <row r="42" spans="1:5" x14ac:dyDescent="0.25">
      <c r="A42" s="8">
        <v>1.4</v>
      </c>
      <c r="B42" s="8">
        <f t="shared" si="0"/>
        <v>1.4</v>
      </c>
      <c r="C42" s="6">
        <v>2</v>
      </c>
      <c r="D42" s="6">
        <v>5</v>
      </c>
      <c r="E42" s="4" t="s">
        <v>55</v>
      </c>
    </row>
    <row r="43" spans="1:5" x14ac:dyDescent="0.25">
      <c r="A43" s="8">
        <v>1.42</v>
      </c>
      <c r="B43" s="8">
        <f t="shared" si="0"/>
        <v>1.42</v>
      </c>
      <c r="C43" s="6">
        <v>21</v>
      </c>
      <c r="D43" s="6">
        <v>50</v>
      </c>
      <c r="E43" s="4" t="s">
        <v>136</v>
      </c>
    </row>
    <row r="44" spans="1:5" x14ac:dyDescent="0.25">
      <c r="A44" s="8">
        <v>1.44</v>
      </c>
      <c r="B44" s="8">
        <f t="shared" si="0"/>
        <v>1.44</v>
      </c>
      <c r="C44" s="6">
        <v>11</v>
      </c>
      <c r="D44" s="6">
        <v>25</v>
      </c>
      <c r="E44" s="4" t="s">
        <v>137</v>
      </c>
    </row>
    <row r="45" spans="1:5" x14ac:dyDescent="0.25">
      <c r="A45" s="8">
        <v>1.4444399999999999</v>
      </c>
      <c r="B45" s="8">
        <f t="shared" si="0"/>
        <v>1.4444444444444444</v>
      </c>
      <c r="C45" s="6">
        <v>4</v>
      </c>
      <c r="D45" s="6">
        <v>9</v>
      </c>
      <c r="E45" s="4" t="s">
        <v>56</v>
      </c>
    </row>
    <row r="46" spans="1:5" x14ac:dyDescent="0.25">
      <c r="A46" s="8">
        <v>1.46</v>
      </c>
      <c r="B46" s="8">
        <f t="shared" si="0"/>
        <v>1.46</v>
      </c>
      <c r="C46" s="6">
        <v>23</v>
      </c>
      <c r="D46" s="6">
        <v>50</v>
      </c>
      <c r="E46" s="4" t="s">
        <v>138</v>
      </c>
    </row>
    <row r="47" spans="1:5" x14ac:dyDescent="0.25">
      <c r="A47" s="8">
        <v>1.48</v>
      </c>
      <c r="B47" s="8">
        <f t="shared" si="0"/>
        <v>1.48</v>
      </c>
      <c r="C47" s="6">
        <v>12</v>
      </c>
      <c r="D47" s="6">
        <v>25</v>
      </c>
      <c r="E47" s="4" t="s">
        <v>139</v>
      </c>
    </row>
    <row r="48" spans="1:5" x14ac:dyDescent="0.25">
      <c r="A48" s="8">
        <v>1.5</v>
      </c>
      <c r="B48" s="8">
        <f t="shared" si="0"/>
        <v>1.5</v>
      </c>
      <c r="C48" s="6">
        <v>1</v>
      </c>
      <c r="D48" s="6">
        <v>2</v>
      </c>
      <c r="E48" s="4" t="s">
        <v>44</v>
      </c>
    </row>
    <row r="49" spans="1:5" x14ac:dyDescent="0.25">
      <c r="A49" s="8">
        <v>1.52</v>
      </c>
      <c r="B49" s="8">
        <f t="shared" si="0"/>
        <v>1.52</v>
      </c>
      <c r="C49" s="6">
        <v>13</v>
      </c>
      <c r="D49" s="6">
        <v>25</v>
      </c>
      <c r="E49" s="4" t="s">
        <v>140</v>
      </c>
    </row>
    <row r="50" spans="1:5" x14ac:dyDescent="0.25">
      <c r="A50" s="8">
        <v>1.5333300000000001</v>
      </c>
      <c r="B50" s="8">
        <f t="shared" si="0"/>
        <v>1.5333333333333332</v>
      </c>
      <c r="C50" s="6">
        <v>8</v>
      </c>
      <c r="D50" s="6">
        <v>15</v>
      </c>
      <c r="E50" s="4" t="s">
        <v>57</v>
      </c>
    </row>
    <row r="51" spans="1:5" x14ac:dyDescent="0.25">
      <c r="A51" s="8">
        <v>1.54</v>
      </c>
      <c r="B51" s="8">
        <f t="shared" si="0"/>
        <v>1.54</v>
      </c>
      <c r="C51" s="6">
        <v>27</v>
      </c>
      <c r="D51" s="6">
        <v>50</v>
      </c>
      <c r="E51" s="4" t="s">
        <v>141</v>
      </c>
    </row>
    <row r="52" spans="1:5" x14ac:dyDescent="0.25">
      <c r="A52" s="8">
        <v>1.56</v>
      </c>
      <c r="B52" s="8">
        <f t="shared" si="0"/>
        <v>1.56</v>
      </c>
      <c r="C52" s="6">
        <v>14</v>
      </c>
      <c r="D52" s="6">
        <v>25</v>
      </c>
      <c r="E52" s="4" t="s">
        <v>142</v>
      </c>
    </row>
    <row r="53" spans="1:5" x14ac:dyDescent="0.25">
      <c r="A53" s="8">
        <v>1.57142</v>
      </c>
      <c r="B53" s="8">
        <f t="shared" si="0"/>
        <v>1.5714285714285714</v>
      </c>
      <c r="C53" s="6">
        <v>4</v>
      </c>
      <c r="D53" s="6">
        <v>7</v>
      </c>
      <c r="E53" s="4" t="s">
        <v>58</v>
      </c>
    </row>
    <row r="54" spans="1:5" x14ac:dyDescent="0.25">
      <c r="A54" s="8">
        <v>1.58</v>
      </c>
      <c r="B54" s="8">
        <f t="shared" si="0"/>
        <v>1.58</v>
      </c>
      <c r="C54" s="6">
        <v>29</v>
      </c>
      <c r="D54" s="6">
        <v>50</v>
      </c>
      <c r="E54" s="4" t="s">
        <v>58</v>
      </c>
    </row>
    <row r="55" spans="1:5" x14ac:dyDescent="0.25">
      <c r="A55" s="8">
        <v>1.6</v>
      </c>
      <c r="B55" s="8">
        <f t="shared" si="0"/>
        <v>1.6</v>
      </c>
      <c r="C55" s="6">
        <v>3</v>
      </c>
      <c r="D55" s="6">
        <v>5</v>
      </c>
      <c r="E55" s="4" t="s">
        <v>143</v>
      </c>
    </row>
    <row r="56" spans="1:5" x14ac:dyDescent="0.25">
      <c r="A56" s="8">
        <v>1.61538</v>
      </c>
      <c r="B56" s="8">
        <f t="shared" si="0"/>
        <v>1.6153846153846154</v>
      </c>
      <c r="C56" s="6">
        <v>8</v>
      </c>
      <c r="D56" s="6">
        <v>13</v>
      </c>
      <c r="E56" s="4" t="s">
        <v>59</v>
      </c>
    </row>
    <row r="57" spans="1:5" x14ac:dyDescent="0.25">
      <c r="A57" s="8">
        <v>1.62</v>
      </c>
      <c r="B57" s="8">
        <f t="shared" si="0"/>
        <v>1.62</v>
      </c>
      <c r="C57" s="6">
        <v>31</v>
      </c>
      <c r="D57" s="6">
        <v>50</v>
      </c>
      <c r="E57" s="4" t="s">
        <v>59</v>
      </c>
    </row>
    <row r="58" spans="1:5" x14ac:dyDescent="0.25">
      <c r="A58" s="8">
        <v>1.64</v>
      </c>
      <c r="B58" s="8">
        <f t="shared" si="0"/>
        <v>1.6400000000000001</v>
      </c>
      <c r="C58" s="6">
        <v>16</v>
      </c>
      <c r="D58" s="6">
        <v>25</v>
      </c>
      <c r="E58" s="4" t="s">
        <v>144</v>
      </c>
    </row>
    <row r="59" spans="1:5" x14ac:dyDescent="0.25">
      <c r="A59" s="8">
        <v>1.66</v>
      </c>
      <c r="B59" s="8">
        <f t="shared" si="0"/>
        <v>1.6600000000000001</v>
      </c>
      <c r="C59" s="6">
        <v>33</v>
      </c>
      <c r="D59" s="6">
        <v>50</v>
      </c>
      <c r="E59" s="4" t="s">
        <v>145</v>
      </c>
    </row>
    <row r="60" spans="1:5" x14ac:dyDescent="0.25">
      <c r="A60" s="8">
        <v>1.66666</v>
      </c>
      <c r="B60" s="8">
        <f t="shared" si="0"/>
        <v>1.6666666666666665</v>
      </c>
      <c r="C60" s="6">
        <v>4</v>
      </c>
      <c r="D60" s="6">
        <v>6</v>
      </c>
      <c r="E60" s="4" t="s">
        <v>60</v>
      </c>
    </row>
    <row r="61" spans="1:5" x14ac:dyDescent="0.25">
      <c r="A61" s="8">
        <v>1.68</v>
      </c>
      <c r="B61" s="8">
        <f t="shared" si="0"/>
        <v>1.6800000000000002</v>
      </c>
      <c r="C61" s="6">
        <v>17</v>
      </c>
      <c r="D61" s="6">
        <v>25</v>
      </c>
      <c r="E61" s="4" t="s">
        <v>146</v>
      </c>
    </row>
    <row r="62" spans="1:5" x14ac:dyDescent="0.25">
      <c r="A62" s="8">
        <v>1.7</v>
      </c>
      <c r="B62" s="8">
        <f t="shared" si="0"/>
        <v>1.7</v>
      </c>
      <c r="C62" s="6">
        <v>7</v>
      </c>
      <c r="D62" s="6">
        <v>10</v>
      </c>
      <c r="E62" s="4" t="s">
        <v>147</v>
      </c>
    </row>
    <row r="63" spans="1:5" x14ac:dyDescent="0.25">
      <c r="A63" s="8">
        <v>1.72</v>
      </c>
      <c r="B63" s="8">
        <f t="shared" si="0"/>
        <v>1.72</v>
      </c>
      <c r="C63" s="6">
        <v>18</v>
      </c>
      <c r="D63" s="6">
        <v>25</v>
      </c>
      <c r="E63" s="4" t="s">
        <v>148</v>
      </c>
    </row>
    <row r="64" spans="1:5" x14ac:dyDescent="0.25">
      <c r="A64" s="8">
        <v>1.7272700000000001</v>
      </c>
      <c r="B64" s="8">
        <f t="shared" si="0"/>
        <v>1.7272727272727273</v>
      </c>
      <c r="C64" s="6">
        <v>8</v>
      </c>
      <c r="D64" s="6">
        <v>11</v>
      </c>
      <c r="E64" s="4" t="s">
        <v>61</v>
      </c>
    </row>
    <row r="65" spans="1:5" x14ac:dyDescent="0.25">
      <c r="A65" s="8">
        <v>1.74</v>
      </c>
      <c r="B65" s="8">
        <f t="shared" si="0"/>
        <v>1.74</v>
      </c>
      <c r="C65" s="6">
        <v>37</v>
      </c>
      <c r="D65" s="6">
        <v>50</v>
      </c>
      <c r="E65" s="4" t="s">
        <v>149</v>
      </c>
    </row>
    <row r="66" spans="1:5" x14ac:dyDescent="0.25">
      <c r="A66" s="8">
        <v>1.76</v>
      </c>
      <c r="B66" s="8">
        <f t="shared" si="0"/>
        <v>1.76</v>
      </c>
      <c r="C66" s="6">
        <v>19</v>
      </c>
      <c r="D66" s="6">
        <v>25</v>
      </c>
      <c r="E66" s="4" t="s">
        <v>150</v>
      </c>
    </row>
    <row r="67" spans="1:5" x14ac:dyDescent="0.25">
      <c r="A67" s="8">
        <v>1.78</v>
      </c>
      <c r="B67" s="8">
        <f t="shared" si="0"/>
        <v>1.78</v>
      </c>
      <c r="C67" s="6">
        <v>39</v>
      </c>
      <c r="D67" s="6">
        <v>50</v>
      </c>
      <c r="E67" s="4" t="s">
        <v>151</v>
      </c>
    </row>
    <row r="68" spans="1:5" x14ac:dyDescent="0.25">
      <c r="A68" s="8">
        <v>1.8</v>
      </c>
      <c r="B68" s="8">
        <f t="shared" si="0"/>
        <v>1.8</v>
      </c>
      <c r="C68" s="6">
        <v>4</v>
      </c>
      <c r="D68" s="6">
        <v>5</v>
      </c>
      <c r="E68" s="4" t="s">
        <v>62</v>
      </c>
    </row>
    <row r="69" spans="1:5" x14ac:dyDescent="0.25">
      <c r="A69" s="8">
        <v>1.82</v>
      </c>
      <c r="B69" s="8">
        <f t="shared" si="0"/>
        <v>1.8199999999999998</v>
      </c>
      <c r="C69" s="6">
        <v>41</v>
      </c>
      <c r="D69" s="6">
        <v>50</v>
      </c>
      <c r="E69" s="4" t="s">
        <v>62</v>
      </c>
    </row>
    <row r="70" spans="1:5" x14ac:dyDescent="0.25">
      <c r="A70" s="8">
        <v>1.8333299999999999</v>
      </c>
      <c r="B70" s="8">
        <f t="shared" si="0"/>
        <v>1.8333333333333335</v>
      </c>
      <c r="C70" s="6">
        <v>5</v>
      </c>
      <c r="D70" s="6">
        <v>6</v>
      </c>
      <c r="E70" s="4" t="s">
        <v>63</v>
      </c>
    </row>
    <row r="71" spans="1:5" x14ac:dyDescent="0.25">
      <c r="A71" s="8">
        <v>1.84</v>
      </c>
      <c r="B71" s="8">
        <f t="shared" si="0"/>
        <v>1.8399999999999999</v>
      </c>
      <c r="C71" s="6">
        <v>21</v>
      </c>
      <c r="D71" s="6">
        <v>25</v>
      </c>
      <c r="E71" s="4" t="s">
        <v>63</v>
      </c>
    </row>
    <row r="72" spans="1:5" x14ac:dyDescent="0.25">
      <c r="A72" s="8">
        <v>1.86</v>
      </c>
      <c r="B72" s="8">
        <f t="shared" si="0"/>
        <v>1.8599999999999999</v>
      </c>
      <c r="C72" s="6">
        <v>43</v>
      </c>
      <c r="D72" s="6">
        <v>50</v>
      </c>
      <c r="E72" s="4" t="s">
        <v>152</v>
      </c>
    </row>
    <row r="73" spans="1:5" x14ac:dyDescent="0.25">
      <c r="A73" s="8">
        <v>1.88</v>
      </c>
      <c r="B73" s="8">
        <f t="shared" si="0"/>
        <v>1.88</v>
      </c>
      <c r="C73" s="6">
        <v>22</v>
      </c>
      <c r="D73" s="6">
        <v>25</v>
      </c>
      <c r="E73" s="4" t="s">
        <v>153</v>
      </c>
    </row>
    <row r="74" spans="1:5" x14ac:dyDescent="0.25">
      <c r="A74" s="8">
        <v>1.9</v>
      </c>
      <c r="B74" s="8">
        <f t="shared" si="0"/>
        <v>1.9</v>
      </c>
      <c r="C74" s="6">
        <v>9</v>
      </c>
      <c r="D74" s="6">
        <v>10</v>
      </c>
      <c r="E74" s="4" t="s">
        <v>154</v>
      </c>
    </row>
    <row r="75" spans="1:5" x14ac:dyDescent="0.25">
      <c r="A75" s="8">
        <v>1.90909</v>
      </c>
      <c r="B75" s="8">
        <f t="shared" si="0"/>
        <v>1.9090909090909092</v>
      </c>
      <c r="C75" s="6">
        <v>10</v>
      </c>
      <c r="D75" s="6">
        <v>11</v>
      </c>
      <c r="E75" s="4" t="s">
        <v>64</v>
      </c>
    </row>
    <row r="76" spans="1:5" x14ac:dyDescent="0.25">
      <c r="A76" s="8">
        <v>1.92</v>
      </c>
      <c r="B76" s="8">
        <f t="shared" si="0"/>
        <v>1.92</v>
      </c>
      <c r="C76" s="6">
        <v>23</v>
      </c>
      <c r="D76" s="6">
        <v>25</v>
      </c>
      <c r="E76" s="4" t="s">
        <v>155</v>
      </c>
    </row>
    <row r="77" spans="1:5" x14ac:dyDescent="0.25">
      <c r="A77" s="8">
        <v>1.94</v>
      </c>
      <c r="B77" s="8">
        <f t="shared" si="0"/>
        <v>1.94</v>
      </c>
      <c r="C77" s="6">
        <v>47</v>
      </c>
      <c r="D77" s="6">
        <v>50</v>
      </c>
      <c r="E77" s="4" t="s">
        <v>156</v>
      </c>
    </row>
    <row r="78" spans="1:5" x14ac:dyDescent="0.25">
      <c r="A78" s="8">
        <v>1.95238</v>
      </c>
      <c r="B78" s="8">
        <f t="shared" si="0"/>
        <v>1.9523809523809523</v>
      </c>
      <c r="C78" s="6">
        <v>20</v>
      </c>
      <c r="D78" s="6">
        <v>21</v>
      </c>
      <c r="E78" s="4" t="s">
        <v>95</v>
      </c>
    </row>
    <row r="79" spans="1:5" x14ac:dyDescent="0.25">
      <c r="A79" s="8">
        <v>1.96</v>
      </c>
      <c r="B79" s="8">
        <f t="shared" si="0"/>
        <v>1.96</v>
      </c>
      <c r="C79" s="6">
        <v>24</v>
      </c>
      <c r="D79" s="6">
        <v>25</v>
      </c>
      <c r="E79" s="4" t="s">
        <v>157</v>
      </c>
    </row>
    <row r="80" spans="1:5" x14ac:dyDescent="0.25">
      <c r="A80" s="8">
        <v>1.98</v>
      </c>
      <c r="B80" s="8">
        <f t="shared" si="0"/>
        <v>1.98</v>
      </c>
      <c r="C80" s="6">
        <v>49</v>
      </c>
      <c r="D80" s="6">
        <v>50</v>
      </c>
      <c r="E80" s="4" t="s">
        <v>158</v>
      </c>
    </row>
    <row r="81" spans="1:5" x14ac:dyDescent="0.25">
      <c r="A81" s="8">
        <v>2</v>
      </c>
      <c r="B81" s="8">
        <f t="shared" si="0"/>
        <v>2</v>
      </c>
      <c r="C81" s="6">
        <v>1</v>
      </c>
      <c r="D81" s="6">
        <v>1</v>
      </c>
      <c r="E81" s="4" t="s">
        <v>49</v>
      </c>
    </row>
    <row r="82" spans="1:5" x14ac:dyDescent="0.25">
      <c r="A82" s="8">
        <v>2.02</v>
      </c>
      <c r="B82" s="8">
        <f t="shared" si="0"/>
        <v>2.02</v>
      </c>
      <c r="C82" s="6">
        <v>51</v>
      </c>
      <c r="D82" s="6">
        <v>50</v>
      </c>
      <c r="E82" s="4" t="s">
        <v>159</v>
      </c>
    </row>
    <row r="83" spans="1:5" x14ac:dyDescent="0.25">
      <c r="A83" s="8">
        <v>2.04</v>
      </c>
      <c r="B83" s="8">
        <f t="shared" si="0"/>
        <v>2.04</v>
      </c>
      <c r="C83" s="6">
        <v>26</v>
      </c>
      <c r="D83" s="6">
        <v>25</v>
      </c>
      <c r="E83" s="4" t="s">
        <v>159</v>
      </c>
    </row>
    <row r="84" spans="1:5" x14ac:dyDescent="0.25">
      <c r="A84" s="8">
        <v>2.0499999999999998</v>
      </c>
      <c r="B84" s="8">
        <f t="shared" si="0"/>
        <v>2.0499999999999998</v>
      </c>
      <c r="C84" s="6">
        <v>21</v>
      </c>
      <c r="D84" s="6">
        <v>20</v>
      </c>
      <c r="E84" s="4" t="s">
        <v>50</v>
      </c>
    </row>
    <row r="85" spans="1:5" x14ac:dyDescent="0.25">
      <c r="A85" s="8">
        <v>2.06</v>
      </c>
      <c r="B85" s="8">
        <f t="shared" si="0"/>
        <v>2.06</v>
      </c>
      <c r="C85" s="6">
        <v>53</v>
      </c>
      <c r="D85" s="6">
        <v>50</v>
      </c>
      <c r="E85" s="4" t="s">
        <v>50</v>
      </c>
    </row>
    <row r="86" spans="1:5" x14ac:dyDescent="0.25">
      <c r="A86" s="8">
        <v>2.08</v>
      </c>
      <c r="B86" s="8">
        <f t="shared" si="0"/>
        <v>2.08</v>
      </c>
      <c r="C86" s="6">
        <v>27</v>
      </c>
      <c r="D86" s="6">
        <v>25</v>
      </c>
      <c r="E86" s="4" t="s">
        <v>50</v>
      </c>
    </row>
    <row r="87" spans="1:5" x14ac:dyDescent="0.25">
      <c r="A87" s="8">
        <v>2.1</v>
      </c>
      <c r="B87" s="8">
        <f t="shared" si="0"/>
        <v>2.1</v>
      </c>
      <c r="C87" s="6">
        <v>11</v>
      </c>
      <c r="D87" s="6">
        <v>10</v>
      </c>
      <c r="E87" s="4" t="s">
        <v>51</v>
      </c>
    </row>
    <row r="88" spans="1:5" x14ac:dyDescent="0.25">
      <c r="A88" s="8">
        <v>2.12</v>
      </c>
      <c r="B88" s="8">
        <f t="shared" si="0"/>
        <v>2.12</v>
      </c>
      <c r="C88" s="6">
        <v>28</v>
      </c>
      <c r="D88" s="6">
        <v>25</v>
      </c>
      <c r="E88" s="4" t="s">
        <v>51</v>
      </c>
    </row>
    <row r="89" spans="1:5" x14ac:dyDescent="0.25">
      <c r="A89" s="8">
        <v>2.14</v>
      </c>
      <c r="B89" s="8">
        <f t="shared" si="0"/>
        <v>2.1399999999999997</v>
      </c>
      <c r="C89" s="6">
        <v>57</v>
      </c>
      <c r="D89" s="6">
        <v>50</v>
      </c>
      <c r="E89" s="4" t="s">
        <v>51</v>
      </c>
    </row>
    <row r="90" spans="1:5" x14ac:dyDescent="0.25">
      <c r="A90" s="8">
        <v>2.16</v>
      </c>
      <c r="B90" s="8">
        <f t="shared" si="0"/>
        <v>2.16</v>
      </c>
      <c r="C90" s="6">
        <v>29</v>
      </c>
      <c r="D90" s="6">
        <v>25</v>
      </c>
      <c r="E90" s="4" t="s">
        <v>51</v>
      </c>
    </row>
    <row r="91" spans="1:5" x14ac:dyDescent="0.25">
      <c r="A91" s="8">
        <v>2.1800000000000002</v>
      </c>
      <c r="B91" s="8">
        <f t="shared" si="0"/>
        <v>2.1799999999999997</v>
      </c>
      <c r="C91" s="6">
        <v>59</v>
      </c>
      <c r="D91" s="6">
        <v>50</v>
      </c>
      <c r="E91" s="4" t="s">
        <v>51</v>
      </c>
    </row>
    <row r="92" spans="1:5" x14ac:dyDescent="0.25">
      <c r="A92" s="8">
        <v>2.2000000000000002</v>
      </c>
      <c r="B92" s="8">
        <f t="shared" si="0"/>
        <v>2.2000000000000002</v>
      </c>
      <c r="C92" s="6">
        <v>6</v>
      </c>
      <c r="D92" s="6">
        <v>5</v>
      </c>
      <c r="E92" s="4" t="s">
        <v>65</v>
      </c>
    </row>
    <row r="93" spans="1:5" x14ac:dyDescent="0.25">
      <c r="A93" s="8">
        <v>2.2200000000000002</v>
      </c>
      <c r="B93" s="8">
        <f t="shared" si="0"/>
        <v>2.2199999999999998</v>
      </c>
      <c r="C93" s="6">
        <v>61</v>
      </c>
      <c r="D93" s="6">
        <v>50</v>
      </c>
      <c r="E93" s="4" t="s">
        <v>65</v>
      </c>
    </row>
    <row r="94" spans="1:5" x14ac:dyDescent="0.25">
      <c r="A94" s="8">
        <v>2.2400000000000002</v>
      </c>
      <c r="B94" s="8">
        <f t="shared" si="0"/>
        <v>2.2400000000000002</v>
      </c>
      <c r="C94" s="6">
        <v>31</v>
      </c>
      <c r="D94" s="6">
        <v>25</v>
      </c>
      <c r="E94" s="4" t="s">
        <v>65</v>
      </c>
    </row>
    <row r="95" spans="1:5" x14ac:dyDescent="0.25">
      <c r="A95" s="8">
        <v>2.25</v>
      </c>
      <c r="B95" s="8">
        <f t="shared" si="0"/>
        <v>2.25</v>
      </c>
      <c r="C95" s="6">
        <v>5</v>
      </c>
      <c r="D95" s="6">
        <v>4</v>
      </c>
      <c r="E95" s="4" t="s">
        <v>52</v>
      </c>
    </row>
    <row r="96" spans="1:5" x14ac:dyDescent="0.25">
      <c r="A96" s="8">
        <v>2.2599999999999998</v>
      </c>
      <c r="B96" s="8">
        <f t="shared" si="0"/>
        <v>2.2599999999999998</v>
      </c>
      <c r="C96" s="6">
        <v>63</v>
      </c>
      <c r="D96" s="6">
        <v>50</v>
      </c>
      <c r="E96" s="4" t="s">
        <v>52</v>
      </c>
    </row>
    <row r="97" spans="1:5" x14ac:dyDescent="0.25">
      <c r="A97" s="8">
        <v>2.2799999999999998</v>
      </c>
      <c r="B97" s="8">
        <f t="shared" si="0"/>
        <v>2.2800000000000002</v>
      </c>
      <c r="C97" s="6">
        <v>32</v>
      </c>
      <c r="D97" s="6">
        <v>25</v>
      </c>
      <c r="E97" s="4" t="s">
        <v>52</v>
      </c>
    </row>
    <row r="98" spans="1:5" x14ac:dyDescent="0.25">
      <c r="A98" s="8">
        <v>2.2999999999999998</v>
      </c>
      <c r="B98" s="8">
        <f t="shared" si="0"/>
        <v>2.2999999999999998</v>
      </c>
      <c r="C98" s="6">
        <v>13</v>
      </c>
      <c r="D98" s="6">
        <v>10</v>
      </c>
      <c r="E98" s="4" t="s">
        <v>160</v>
      </c>
    </row>
    <row r="99" spans="1:5" x14ac:dyDescent="0.25">
      <c r="A99" s="8">
        <v>2.3199999999999998</v>
      </c>
      <c r="B99" s="8">
        <f t="shared" si="0"/>
        <v>2.3200000000000003</v>
      </c>
      <c r="C99" s="6">
        <v>33</v>
      </c>
      <c r="D99" s="6">
        <v>25</v>
      </c>
      <c r="E99" s="4" t="s">
        <v>160</v>
      </c>
    </row>
    <row r="100" spans="1:5" x14ac:dyDescent="0.25">
      <c r="A100" s="8">
        <v>2.3333300000000001</v>
      </c>
      <c r="B100" s="8">
        <f t="shared" si="0"/>
        <v>2.333333333333333</v>
      </c>
      <c r="C100" s="6">
        <v>4</v>
      </c>
      <c r="D100" s="6">
        <v>3</v>
      </c>
      <c r="E100" s="4" t="s">
        <v>160</v>
      </c>
    </row>
    <row r="101" spans="1:5" x14ac:dyDescent="0.25">
      <c r="A101" s="8">
        <v>2.36</v>
      </c>
      <c r="B101" s="8">
        <f t="shared" si="0"/>
        <v>2.3600000000000003</v>
      </c>
      <c r="C101" s="6">
        <v>34</v>
      </c>
      <c r="D101" s="6">
        <v>25</v>
      </c>
      <c r="E101" s="4" t="s">
        <v>160</v>
      </c>
    </row>
    <row r="102" spans="1:5" x14ac:dyDescent="0.25">
      <c r="A102" s="8">
        <v>2.375</v>
      </c>
      <c r="B102" s="8">
        <f t="shared" si="0"/>
        <v>2.375</v>
      </c>
      <c r="C102" s="6">
        <v>11</v>
      </c>
      <c r="D102" s="6">
        <v>8</v>
      </c>
      <c r="E102" s="4" t="s">
        <v>66</v>
      </c>
    </row>
    <row r="103" spans="1:5" x14ac:dyDescent="0.25">
      <c r="A103" s="8">
        <v>2.38</v>
      </c>
      <c r="B103" s="8">
        <f t="shared" si="0"/>
        <v>2.38</v>
      </c>
      <c r="C103" s="6">
        <v>69</v>
      </c>
      <c r="D103" s="6">
        <v>50</v>
      </c>
      <c r="E103" s="4" t="s">
        <v>66</v>
      </c>
    </row>
    <row r="104" spans="1:5" x14ac:dyDescent="0.25">
      <c r="A104" s="8">
        <v>2.4</v>
      </c>
      <c r="B104" s="8">
        <f t="shared" si="0"/>
        <v>2.4</v>
      </c>
      <c r="C104" s="6">
        <v>7</v>
      </c>
      <c r="D104" s="6">
        <v>5</v>
      </c>
      <c r="E104" s="4" t="s">
        <v>161</v>
      </c>
    </row>
    <row r="105" spans="1:5" x14ac:dyDescent="0.25">
      <c r="A105" s="8">
        <v>2.42</v>
      </c>
      <c r="B105" s="8">
        <f t="shared" si="0"/>
        <v>2.42</v>
      </c>
      <c r="C105" s="6">
        <v>71</v>
      </c>
      <c r="D105" s="6">
        <v>50</v>
      </c>
      <c r="E105" s="4" t="s">
        <v>161</v>
      </c>
    </row>
    <row r="106" spans="1:5" x14ac:dyDescent="0.25">
      <c r="A106" s="8">
        <v>2.44</v>
      </c>
      <c r="B106" s="8">
        <f t="shared" si="0"/>
        <v>2.44</v>
      </c>
      <c r="C106" s="6">
        <v>36</v>
      </c>
      <c r="D106" s="6">
        <v>25</v>
      </c>
      <c r="E106" s="4" t="s">
        <v>161</v>
      </c>
    </row>
    <row r="107" spans="1:5" x14ac:dyDescent="0.25">
      <c r="A107" s="8">
        <v>2.46</v>
      </c>
      <c r="B107" s="8">
        <f t="shared" si="0"/>
        <v>2.46</v>
      </c>
      <c r="C107" s="6">
        <v>73</v>
      </c>
      <c r="D107" s="6">
        <v>50</v>
      </c>
      <c r="E107" s="4" t="s">
        <v>161</v>
      </c>
    </row>
    <row r="108" spans="1:5" x14ac:dyDescent="0.25">
      <c r="A108" s="8">
        <v>2.48</v>
      </c>
      <c r="B108" s="8">
        <f t="shared" si="0"/>
        <v>2.48</v>
      </c>
      <c r="C108" s="6">
        <v>37</v>
      </c>
      <c r="D108" s="6">
        <v>25</v>
      </c>
      <c r="E108" s="4" t="s">
        <v>161</v>
      </c>
    </row>
    <row r="109" spans="1:5" x14ac:dyDescent="0.25">
      <c r="A109" s="8">
        <v>2.5</v>
      </c>
      <c r="B109" s="8">
        <f t="shared" si="0"/>
        <v>2.5</v>
      </c>
      <c r="C109" s="6">
        <v>6</v>
      </c>
      <c r="D109" s="6">
        <v>4</v>
      </c>
      <c r="E109" s="4" t="s">
        <v>53</v>
      </c>
    </row>
    <row r="110" spans="1:5" x14ac:dyDescent="0.25">
      <c r="A110" s="8">
        <v>2.52</v>
      </c>
      <c r="B110" s="8">
        <f t="shared" si="0"/>
        <v>2.52</v>
      </c>
      <c r="C110" s="6">
        <v>38</v>
      </c>
      <c r="D110" s="6">
        <v>25</v>
      </c>
      <c r="E110" s="4" t="s">
        <v>53</v>
      </c>
    </row>
    <row r="111" spans="1:5" x14ac:dyDescent="0.25">
      <c r="A111" s="8">
        <v>2.54</v>
      </c>
      <c r="B111" s="8">
        <f t="shared" si="0"/>
        <v>2.54</v>
      </c>
      <c r="C111" s="6">
        <v>77</v>
      </c>
      <c r="D111" s="6">
        <v>50</v>
      </c>
      <c r="E111" s="4" t="s">
        <v>53</v>
      </c>
    </row>
    <row r="112" spans="1:5" x14ac:dyDescent="0.25">
      <c r="A112" s="8">
        <v>2.56</v>
      </c>
      <c r="B112" s="8">
        <f t="shared" si="0"/>
        <v>2.56</v>
      </c>
      <c r="C112" s="6">
        <v>39</v>
      </c>
      <c r="D112" s="6">
        <v>25</v>
      </c>
      <c r="E112" s="4" t="s">
        <v>53</v>
      </c>
    </row>
    <row r="113" spans="1:5" x14ac:dyDescent="0.25">
      <c r="A113" s="8">
        <v>2.58</v>
      </c>
      <c r="B113" s="8">
        <f t="shared" si="0"/>
        <v>2.58</v>
      </c>
      <c r="C113" s="6">
        <v>79</v>
      </c>
      <c r="D113" s="6">
        <v>50</v>
      </c>
      <c r="E113" s="4" t="s">
        <v>53</v>
      </c>
    </row>
    <row r="114" spans="1:5" x14ac:dyDescent="0.25">
      <c r="A114" s="8">
        <v>2.6</v>
      </c>
      <c r="B114" s="8">
        <f t="shared" si="0"/>
        <v>2.6</v>
      </c>
      <c r="C114" s="6">
        <v>8</v>
      </c>
      <c r="D114" s="6">
        <v>5</v>
      </c>
      <c r="E114" s="4" t="s">
        <v>162</v>
      </c>
    </row>
    <row r="115" spans="1:5" x14ac:dyDescent="0.25">
      <c r="A115" s="8">
        <v>2.62</v>
      </c>
      <c r="B115" s="8">
        <f t="shared" si="0"/>
        <v>2.62</v>
      </c>
      <c r="C115" s="6">
        <v>81</v>
      </c>
      <c r="D115" s="6">
        <v>50</v>
      </c>
      <c r="E115" s="4" t="s">
        <v>162</v>
      </c>
    </row>
    <row r="116" spans="1:5" x14ac:dyDescent="0.25">
      <c r="A116" s="8">
        <v>2.625</v>
      </c>
      <c r="B116" s="8">
        <f t="shared" si="0"/>
        <v>2.625</v>
      </c>
      <c r="C116" s="6">
        <v>13</v>
      </c>
      <c r="D116" s="6">
        <v>8</v>
      </c>
      <c r="E116" s="4" t="s">
        <v>67</v>
      </c>
    </row>
    <row r="117" spans="1:5" x14ac:dyDescent="0.25">
      <c r="A117" s="8">
        <v>2.64</v>
      </c>
      <c r="B117" s="8">
        <f t="shared" si="0"/>
        <v>2.6399999999999997</v>
      </c>
      <c r="C117" s="6">
        <v>41</v>
      </c>
      <c r="D117" s="6">
        <v>25</v>
      </c>
      <c r="E117" s="4" t="s">
        <v>67</v>
      </c>
    </row>
    <row r="118" spans="1:5" x14ac:dyDescent="0.25">
      <c r="A118" s="8">
        <v>2.66</v>
      </c>
      <c r="B118" s="8">
        <f t="shared" si="0"/>
        <v>2.66</v>
      </c>
      <c r="C118" s="6">
        <v>83</v>
      </c>
      <c r="D118" s="6">
        <v>50</v>
      </c>
      <c r="E118" s="4" t="s">
        <v>67</v>
      </c>
    </row>
    <row r="119" spans="1:5" x14ac:dyDescent="0.25">
      <c r="A119" s="8">
        <v>2.68</v>
      </c>
      <c r="B119" s="8">
        <f t="shared" si="0"/>
        <v>2.6799999999999997</v>
      </c>
      <c r="C119" s="6">
        <v>42</v>
      </c>
      <c r="D119" s="6">
        <v>25</v>
      </c>
      <c r="E119" s="4" t="s">
        <v>67</v>
      </c>
    </row>
    <row r="120" spans="1:5" x14ac:dyDescent="0.25">
      <c r="A120" s="8">
        <v>2.7</v>
      </c>
      <c r="B120" s="8">
        <f t="shared" si="0"/>
        <v>2.7</v>
      </c>
      <c r="C120" s="6">
        <v>17</v>
      </c>
      <c r="D120" s="6">
        <v>10</v>
      </c>
      <c r="E120" s="4" t="s">
        <v>163</v>
      </c>
    </row>
    <row r="121" spans="1:5" x14ac:dyDescent="0.25">
      <c r="A121" s="8">
        <v>2.72</v>
      </c>
      <c r="B121" s="8">
        <f t="shared" si="0"/>
        <v>2.7199999999999998</v>
      </c>
      <c r="C121" s="6">
        <v>43</v>
      </c>
      <c r="D121" s="6">
        <v>25</v>
      </c>
      <c r="E121" s="4" t="s">
        <v>163</v>
      </c>
    </row>
    <row r="122" spans="1:5" x14ac:dyDescent="0.25">
      <c r="A122" s="8">
        <v>2.74</v>
      </c>
      <c r="B122" s="8">
        <f t="shared" si="0"/>
        <v>2.74</v>
      </c>
      <c r="C122" s="6">
        <v>87</v>
      </c>
      <c r="D122" s="6">
        <v>50</v>
      </c>
      <c r="E122" s="4" t="s">
        <v>163</v>
      </c>
    </row>
    <row r="123" spans="1:5" x14ac:dyDescent="0.25">
      <c r="A123" s="8">
        <v>2.75</v>
      </c>
      <c r="B123" s="8">
        <f t="shared" si="0"/>
        <v>2.75</v>
      </c>
      <c r="C123" s="6">
        <v>7</v>
      </c>
      <c r="D123" s="6">
        <v>4</v>
      </c>
      <c r="E123" s="4" t="s">
        <v>68</v>
      </c>
    </row>
    <row r="124" spans="1:5" x14ac:dyDescent="0.25">
      <c r="A124" s="8">
        <v>2.76</v>
      </c>
      <c r="B124" s="8">
        <f t="shared" si="0"/>
        <v>2.76</v>
      </c>
      <c r="C124" s="6">
        <v>44</v>
      </c>
      <c r="D124" s="6">
        <v>25</v>
      </c>
      <c r="E124" s="4" t="s">
        <v>68</v>
      </c>
    </row>
    <row r="125" spans="1:5" x14ac:dyDescent="0.25">
      <c r="A125" s="8">
        <v>2.78</v>
      </c>
      <c r="B125" s="8">
        <f t="shared" si="0"/>
        <v>2.7800000000000002</v>
      </c>
      <c r="C125" s="6">
        <v>89</v>
      </c>
      <c r="D125" s="6">
        <v>50</v>
      </c>
      <c r="E125" s="4" t="s">
        <v>68</v>
      </c>
    </row>
    <row r="126" spans="1:5" x14ac:dyDescent="0.25">
      <c r="A126" s="8">
        <v>2.8</v>
      </c>
      <c r="B126" s="8">
        <f t="shared" si="0"/>
        <v>2.8</v>
      </c>
      <c r="C126" s="6">
        <v>9</v>
      </c>
      <c r="D126" s="6">
        <v>5</v>
      </c>
      <c r="E126" s="4" t="s">
        <v>164</v>
      </c>
    </row>
    <row r="127" spans="1:5" x14ac:dyDescent="0.25">
      <c r="A127" s="8">
        <v>2.82</v>
      </c>
      <c r="B127" s="8">
        <f t="shared" si="0"/>
        <v>2.8200000000000003</v>
      </c>
      <c r="C127" s="6">
        <v>91</v>
      </c>
      <c r="D127" s="6">
        <v>50</v>
      </c>
      <c r="E127" s="4" t="s">
        <v>164</v>
      </c>
    </row>
    <row r="128" spans="1:5" x14ac:dyDescent="0.25">
      <c r="A128" s="8">
        <v>2.84</v>
      </c>
      <c r="B128" s="8">
        <f t="shared" si="0"/>
        <v>2.84</v>
      </c>
      <c r="C128" s="6">
        <v>46</v>
      </c>
      <c r="D128" s="6">
        <v>25</v>
      </c>
      <c r="E128" s="4" t="s">
        <v>164</v>
      </c>
    </row>
    <row r="129" spans="1:5" x14ac:dyDescent="0.25">
      <c r="A129" s="8">
        <v>2.86</v>
      </c>
      <c r="B129" s="8">
        <f t="shared" si="0"/>
        <v>2.8600000000000003</v>
      </c>
      <c r="C129" s="6">
        <v>93</v>
      </c>
      <c r="D129" s="6">
        <v>50</v>
      </c>
      <c r="E129" s="4" t="s">
        <v>164</v>
      </c>
    </row>
    <row r="130" spans="1:5" x14ac:dyDescent="0.25">
      <c r="A130" s="8">
        <v>2.875</v>
      </c>
      <c r="B130" s="8">
        <f t="shared" si="0"/>
        <v>2.875</v>
      </c>
      <c r="C130" s="6">
        <v>15</v>
      </c>
      <c r="D130" s="6">
        <v>8</v>
      </c>
      <c r="E130" s="4" t="s">
        <v>69</v>
      </c>
    </row>
    <row r="131" spans="1:5" x14ac:dyDescent="0.25">
      <c r="A131" s="8">
        <v>2.88</v>
      </c>
      <c r="B131" s="8">
        <f t="shared" si="0"/>
        <v>2.88</v>
      </c>
      <c r="C131" s="6">
        <v>47</v>
      </c>
      <c r="D131" s="6">
        <v>25</v>
      </c>
      <c r="E131" s="4" t="s">
        <v>69</v>
      </c>
    </row>
    <row r="132" spans="1:5" x14ac:dyDescent="0.25">
      <c r="A132" s="8">
        <v>2.9</v>
      </c>
      <c r="B132" s="8">
        <f t="shared" si="0"/>
        <v>2.9</v>
      </c>
      <c r="C132" s="6">
        <v>19</v>
      </c>
      <c r="D132" s="6">
        <v>10</v>
      </c>
      <c r="E132" s="4" t="s">
        <v>165</v>
      </c>
    </row>
    <row r="133" spans="1:5" x14ac:dyDescent="0.25">
      <c r="A133" s="8">
        <v>2.92</v>
      </c>
      <c r="B133" s="8">
        <f t="shared" si="0"/>
        <v>2.92</v>
      </c>
      <c r="C133" s="6">
        <v>48</v>
      </c>
      <c r="D133" s="6">
        <v>25</v>
      </c>
      <c r="E133" s="4" t="s">
        <v>165</v>
      </c>
    </row>
    <row r="134" spans="1:5" x14ac:dyDescent="0.25">
      <c r="A134" s="8">
        <v>2.94</v>
      </c>
      <c r="B134" s="8">
        <f t="shared" si="0"/>
        <v>2.94</v>
      </c>
      <c r="C134" s="6">
        <v>97</v>
      </c>
      <c r="D134" s="6">
        <v>50</v>
      </c>
      <c r="E134" s="4" t="s">
        <v>165</v>
      </c>
    </row>
    <row r="135" spans="1:5" x14ac:dyDescent="0.25">
      <c r="A135" s="8">
        <v>2.96</v>
      </c>
      <c r="B135" s="8">
        <f t="shared" si="0"/>
        <v>2.96</v>
      </c>
      <c r="C135" s="6">
        <v>49</v>
      </c>
      <c r="D135" s="6">
        <v>25</v>
      </c>
      <c r="E135" s="4" t="s">
        <v>165</v>
      </c>
    </row>
    <row r="136" spans="1:5" x14ac:dyDescent="0.25">
      <c r="A136" s="8">
        <v>2.98</v>
      </c>
      <c r="B136" s="8">
        <f t="shared" si="0"/>
        <v>2.98</v>
      </c>
      <c r="C136" s="6">
        <v>99</v>
      </c>
      <c r="D136" s="6">
        <v>50</v>
      </c>
      <c r="E136" s="4" t="s">
        <v>165</v>
      </c>
    </row>
    <row r="137" spans="1:5" x14ac:dyDescent="0.25">
      <c r="A137" s="8">
        <v>3</v>
      </c>
      <c r="B137" s="8">
        <f t="shared" si="0"/>
        <v>3</v>
      </c>
      <c r="C137" s="6">
        <v>2</v>
      </c>
      <c r="D137" s="6">
        <v>1</v>
      </c>
      <c r="E137" s="4" t="s">
        <v>70</v>
      </c>
    </row>
    <row r="138" spans="1:5" x14ac:dyDescent="0.25">
      <c r="A138" s="8">
        <v>3.04</v>
      </c>
      <c r="B138" s="8">
        <f t="shared" si="0"/>
        <v>3.04</v>
      </c>
      <c r="C138" s="6">
        <v>51</v>
      </c>
      <c r="D138" s="6">
        <v>25</v>
      </c>
      <c r="E138" s="4" t="s">
        <v>70</v>
      </c>
    </row>
    <row r="139" spans="1:5" x14ac:dyDescent="0.25">
      <c r="A139" s="8">
        <v>3.08</v>
      </c>
      <c r="B139" s="8">
        <f t="shared" si="0"/>
        <v>3.08</v>
      </c>
      <c r="C139" s="6">
        <v>52</v>
      </c>
      <c r="D139" s="6">
        <v>25</v>
      </c>
      <c r="E139" s="4" t="s">
        <v>70</v>
      </c>
    </row>
    <row r="140" spans="1:5" x14ac:dyDescent="0.25">
      <c r="A140" s="8">
        <v>3.1</v>
      </c>
      <c r="B140" s="8">
        <f t="shared" si="0"/>
        <v>3.1</v>
      </c>
      <c r="C140" s="6">
        <v>21</v>
      </c>
      <c r="D140" s="6">
        <v>10</v>
      </c>
      <c r="E140" s="4" t="s">
        <v>166</v>
      </c>
    </row>
    <row r="141" spans="1:5" x14ac:dyDescent="0.25">
      <c r="A141" s="8">
        <v>3.12</v>
      </c>
      <c r="B141" s="8">
        <f t="shared" si="0"/>
        <v>3.12</v>
      </c>
      <c r="C141" s="6">
        <v>53</v>
      </c>
      <c r="D141" s="6">
        <v>25</v>
      </c>
      <c r="E141" s="4" t="s">
        <v>166</v>
      </c>
    </row>
    <row r="142" spans="1:5" x14ac:dyDescent="0.25">
      <c r="A142" s="8">
        <v>3.16</v>
      </c>
      <c r="B142" s="8">
        <f t="shared" si="0"/>
        <v>3.16</v>
      </c>
      <c r="C142" s="6">
        <v>54</v>
      </c>
      <c r="D142" s="6">
        <v>25</v>
      </c>
      <c r="E142" s="4" t="s">
        <v>166</v>
      </c>
    </row>
    <row r="143" spans="1:5" x14ac:dyDescent="0.25">
      <c r="A143" s="8">
        <v>3.2</v>
      </c>
      <c r="B143" s="8">
        <f t="shared" si="0"/>
        <v>3.2</v>
      </c>
      <c r="C143" s="6">
        <v>11</v>
      </c>
      <c r="D143" s="6">
        <v>5</v>
      </c>
      <c r="E143" s="4" t="s">
        <v>167</v>
      </c>
    </row>
    <row r="144" spans="1:5" x14ac:dyDescent="0.25">
      <c r="A144" s="8">
        <v>3.24</v>
      </c>
      <c r="B144" s="8">
        <f t="shared" si="0"/>
        <v>3.24</v>
      </c>
      <c r="C144" s="6">
        <v>56</v>
      </c>
      <c r="D144" s="6">
        <v>25</v>
      </c>
      <c r="E144" s="4" t="s">
        <v>167</v>
      </c>
    </row>
    <row r="145" spans="1:5" x14ac:dyDescent="0.25">
      <c r="A145" s="8">
        <v>3.25</v>
      </c>
      <c r="B145" s="8">
        <f t="shared" si="0"/>
        <v>3.25</v>
      </c>
      <c r="C145" s="6">
        <v>9</v>
      </c>
      <c r="D145" s="6">
        <v>4</v>
      </c>
      <c r="E145" s="4" t="s">
        <v>71</v>
      </c>
    </row>
    <row r="146" spans="1:5" x14ac:dyDescent="0.25">
      <c r="A146" s="8">
        <v>3.28</v>
      </c>
      <c r="B146" s="8">
        <f t="shared" si="0"/>
        <v>3.28</v>
      </c>
      <c r="C146" s="6">
        <v>57</v>
      </c>
      <c r="D146" s="6">
        <v>25</v>
      </c>
      <c r="E146" s="4" t="s">
        <v>71</v>
      </c>
    </row>
    <row r="147" spans="1:5" x14ac:dyDescent="0.25">
      <c r="A147" s="8">
        <v>3.3</v>
      </c>
      <c r="B147" s="8">
        <f t="shared" si="0"/>
        <v>3.3</v>
      </c>
      <c r="C147" s="6">
        <v>23</v>
      </c>
      <c r="D147" s="6">
        <v>10</v>
      </c>
      <c r="E147" s="4" t="s">
        <v>168</v>
      </c>
    </row>
    <row r="148" spans="1:5" x14ac:dyDescent="0.25">
      <c r="A148" s="8">
        <v>3.32</v>
      </c>
      <c r="B148" s="8">
        <f t="shared" si="0"/>
        <v>3.32</v>
      </c>
      <c r="C148" s="6">
        <v>58</v>
      </c>
      <c r="D148" s="6">
        <v>25</v>
      </c>
      <c r="E148" s="4" t="s">
        <v>168</v>
      </c>
    </row>
    <row r="149" spans="1:5" x14ac:dyDescent="0.25">
      <c r="A149" s="8">
        <v>3.36</v>
      </c>
      <c r="B149" s="8">
        <f t="shared" si="0"/>
        <v>3.36</v>
      </c>
      <c r="C149" s="6">
        <v>59</v>
      </c>
      <c r="D149" s="6">
        <v>25</v>
      </c>
      <c r="E149" s="4" t="s">
        <v>168</v>
      </c>
    </row>
    <row r="150" spans="1:5" x14ac:dyDescent="0.25">
      <c r="A150" s="8">
        <v>3.4</v>
      </c>
      <c r="B150" s="8">
        <f t="shared" si="0"/>
        <v>3.4</v>
      </c>
      <c r="C150" s="6">
        <v>12</v>
      </c>
      <c r="D150" s="6">
        <v>5</v>
      </c>
      <c r="E150" s="4" t="s">
        <v>169</v>
      </c>
    </row>
    <row r="151" spans="1:5" x14ac:dyDescent="0.25">
      <c r="A151" s="8">
        <v>3.44</v>
      </c>
      <c r="B151" s="8">
        <f t="shared" si="0"/>
        <v>3.44</v>
      </c>
      <c r="C151" s="6">
        <v>61</v>
      </c>
      <c r="D151" s="6">
        <v>25</v>
      </c>
      <c r="E151" s="4" t="s">
        <v>169</v>
      </c>
    </row>
    <row r="152" spans="1:5" x14ac:dyDescent="0.25">
      <c r="A152" s="8">
        <v>3.48</v>
      </c>
      <c r="B152" s="8">
        <f t="shared" si="0"/>
        <v>3.48</v>
      </c>
      <c r="C152" s="6">
        <v>62</v>
      </c>
      <c r="D152" s="6">
        <v>25</v>
      </c>
      <c r="E152" s="4" t="s">
        <v>169</v>
      </c>
    </row>
    <row r="153" spans="1:5" x14ac:dyDescent="0.25">
      <c r="A153" s="8">
        <v>3.5</v>
      </c>
      <c r="B153" s="8">
        <f t="shared" si="0"/>
        <v>3.5</v>
      </c>
      <c r="C153" s="6">
        <v>5</v>
      </c>
      <c r="D153" s="6">
        <v>2</v>
      </c>
      <c r="E153" s="4" t="s">
        <v>72</v>
      </c>
    </row>
    <row r="154" spans="1:5" x14ac:dyDescent="0.25">
      <c r="A154" s="8">
        <v>3.52</v>
      </c>
      <c r="B154" s="8">
        <f t="shared" si="0"/>
        <v>3.52</v>
      </c>
      <c r="C154" s="6">
        <v>63</v>
      </c>
      <c r="D154" s="6">
        <v>25</v>
      </c>
      <c r="E154" s="4" t="s">
        <v>72</v>
      </c>
    </row>
    <row r="155" spans="1:5" x14ac:dyDescent="0.25">
      <c r="A155" s="8">
        <v>3.56</v>
      </c>
      <c r="B155" s="8">
        <f t="shared" si="0"/>
        <v>3.56</v>
      </c>
      <c r="C155" s="6">
        <v>64</v>
      </c>
      <c r="D155" s="6">
        <v>25</v>
      </c>
      <c r="E155" s="4" t="s">
        <v>72</v>
      </c>
    </row>
    <row r="156" spans="1:5" x14ac:dyDescent="0.25">
      <c r="A156" s="8">
        <v>3.6</v>
      </c>
      <c r="B156" s="8">
        <f t="shared" si="0"/>
        <v>3.6</v>
      </c>
      <c r="C156" s="6">
        <v>13</v>
      </c>
      <c r="D156" s="6">
        <v>5</v>
      </c>
      <c r="E156" s="4" t="s">
        <v>170</v>
      </c>
    </row>
    <row r="157" spans="1:5" x14ac:dyDescent="0.25">
      <c r="A157" s="8">
        <v>3.64</v>
      </c>
      <c r="B157" s="8">
        <f t="shared" si="0"/>
        <v>3.64</v>
      </c>
      <c r="C157" s="6">
        <v>66</v>
      </c>
      <c r="D157" s="6">
        <v>25</v>
      </c>
      <c r="E157" s="4" t="s">
        <v>170</v>
      </c>
    </row>
    <row r="158" spans="1:5" x14ac:dyDescent="0.25">
      <c r="A158" s="8">
        <v>3.68</v>
      </c>
      <c r="B158" s="8">
        <f t="shared" si="0"/>
        <v>3.68</v>
      </c>
      <c r="C158" s="6">
        <v>67</v>
      </c>
      <c r="D158" s="6">
        <v>25</v>
      </c>
      <c r="E158" s="4" t="s">
        <v>170</v>
      </c>
    </row>
    <row r="159" spans="1:5" x14ac:dyDescent="0.25">
      <c r="A159" s="8">
        <v>3.7</v>
      </c>
      <c r="B159" s="8">
        <f t="shared" si="0"/>
        <v>3.7</v>
      </c>
      <c r="C159" s="6">
        <v>27</v>
      </c>
      <c r="D159" s="6">
        <v>10</v>
      </c>
      <c r="E159" s="4" t="s">
        <v>170</v>
      </c>
    </row>
    <row r="160" spans="1:5" x14ac:dyDescent="0.25">
      <c r="A160" s="8">
        <v>3.72</v>
      </c>
      <c r="B160" s="8">
        <f t="shared" si="0"/>
        <v>3.72</v>
      </c>
      <c r="C160" s="6">
        <v>68</v>
      </c>
      <c r="D160" s="6">
        <v>25</v>
      </c>
      <c r="E160" s="4" t="s">
        <v>170</v>
      </c>
    </row>
    <row r="161" spans="1:5" x14ac:dyDescent="0.25">
      <c r="A161" s="8">
        <v>3.75</v>
      </c>
      <c r="B161" s="8">
        <f t="shared" si="0"/>
        <v>3.75</v>
      </c>
      <c r="C161" s="6">
        <v>11</v>
      </c>
      <c r="D161" s="6">
        <v>4</v>
      </c>
      <c r="E161" s="4" t="s">
        <v>73</v>
      </c>
    </row>
    <row r="162" spans="1:5" x14ac:dyDescent="0.25">
      <c r="A162" s="8">
        <v>3.76</v>
      </c>
      <c r="B162" s="8">
        <f t="shared" si="0"/>
        <v>3.76</v>
      </c>
      <c r="C162" s="6">
        <v>69</v>
      </c>
      <c r="D162" s="6">
        <v>25</v>
      </c>
      <c r="E162" s="4" t="s">
        <v>73</v>
      </c>
    </row>
    <row r="163" spans="1:5" x14ac:dyDescent="0.25">
      <c r="A163" s="8">
        <v>3.8</v>
      </c>
      <c r="B163" s="8">
        <f t="shared" si="0"/>
        <v>3.8</v>
      </c>
      <c r="C163" s="6">
        <v>14</v>
      </c>
      <c r="D163" s="6">
        <v>5</v>
      </c>
      <c r="E163" s="4" t="s">
        <v>171</v>
      </c>
    </row>
    <row r="164" spans="1:5" x14ac:dyDescent="0.25">
      <c r="A164" s="8">
        <v>3.84</v>
      </c>
      <c r="B164" s="8">
        <f t="shared" si="0"/>
        <v>3.84</v>
      </c>
      <c r="C164" s="6">
        <v>71</v>
      </c>
      <c r="D164" s="6">
        <v>25</v>
      </c>
      <c r="E164" s="4" t="s">
        <v>171</v>
      </c>
    </row>
    <row r="165" spans="1:5" x14ac:dyDescent="0.25">
      <c r="A165" s="8">
        <v>3.88</v>
      </c>
      <c r="B165" s="8">
        <f t="shared" si="0"/>
        <v>3.88</v>
      </c>
      <c r="C165" s="6">
        <v>72</v>
      </c>
      <c r="D165" s="6">
        <v>25</v>
      </c>
      <c r="E165" s="4" t="s">
        <v>171</v>
      </c>
    </row>
    <row r="166" spans="1:5" x14ac:dyDescent="0.25">
      <c r="A166" s="8">
        <v>3.9</v>
      </c>
      <c r="B166" s="8">
        <f t="shared" si="0"/>
        <v>3.9</v>
      </c>
      <c r="C166" s="6">
        <v>29</v>
      </c>
      <c r="D166" s="6">
        <v>10</v>
      </c>
      <c r="E166" s="4" t="s">
        <v>171</v>
      </c>
    </row>
    <row r="167" spans="1:5" x14ac:dyDescent="0.25">
      <c r="A167" s="8">
        <v>3.92</v>
      </c>
      <c r="B167" s="8">
        <f t="shared" si="0"/>
        <v>3.92</v>
      </c>
      <c r="C167" s="6">
        <v>73</v>
      </c>
      <c r="D167" s="6">
        <v>25</v>
      </c>
      <c r="E167" s="4" t="s">
        <v>171</v>
      </c>
    </row>
    <row r="168" spans="1:5" x14ac:dyDescent="0.25">
      <c r="A168" s="8">
        <v>3.96</v>
      </c>
      <c r="B168" s="8">
        <f t="shared" si="0"/>
        <v>3.96</v>
      </c>
      <c r="C168" s="6">
        <v>74</v>
      </c>
      <c r="D168" s="6">
        <v>25</v>
      </c>
      <c r="E168" s="4" t="s">
        <v>171</v>
      </c>
    </row>
    <row r="169" spans="1:5" x14ac:dyDescent="0.25">
      <c r="A169" s="8">
        <v>4</v>
      </c>
      <c r="B169" s="8">
        <f t="shared" si="0"/>
        <v>4</v>
      </c>
      <c r="C169" s="6">
        <v>3</v>
      </c>
      <c r="D169" s="6">
        <v>1</v>
      </c>
      <c r="E169" s="4" t="s">
        <v>74</v>
      </c>
    </row>
    <row r="170" spans="1:5" x14ac:dyDescent="0.25">
      <c r="A170" s="8">
        <v>4.04</v>
      </c>
      <c r="B170" s="8">
        <f t="shared" si="0"/>
        <v>4.04</v>
      </c>
      <c r="C170" s="6">
        <v>76</v>
      </c>
      <c r="D170" s="6">
        <v>25</v>
      </c>
      <c r="E170" s="4" t="s">
        <v>74</v>
      </c>
    </row>
    <row r="171" spans="1:5" x14ac:dyDescent="0.25">
      <c r="A171" s="8">
        <v>4.08</v>
      </c>
      <c r="B171" s="8">
        <f t="shared" si="0"/>
        <v>4.08</v>
      </c>
      <c r="C171" s="6">
        <v>77</v>
      </c>
      <c r="D171" s="6">
        <v>25</v>
      </c>
      <c r="E171" s="4" t="s">
        <v>74</v>
      </c>
    </row>
    <row r="172" spans="1:5" x14ac:dyDescent="0.25">
      <c r="A172" s="8">
        <v>4.0999999999999996</v>
      </c>
      <c r="B172" s="8">
        <f t="shared" si="0"/>
        <v>4.0999999999999996</v>
      </c>
      <c r="C172" s="6">
        <v>31</v>
      </c>
      <c r="D172" s="6">
        <v>10</v>
      </c>
      <c r="E172" s="4" t="s">
        <v>172</v>
      </c>
    </row>
    <row r="173" spans="1:5" x14ac:dyDescent="0.25">
      <c r="A173" s="8">
        <v>4.12</v>
      </c>
      <c r="B173" s="8">
        <f t="shared" si="0"/>
        <v>4.12</v>
      </c>
      <c r="C173" s="6">
        <v>78</v>
      </c>
      <c r="D173" s="6">
        <v>25</v>
      </c>
      <c r="E173" s="4" t="s">
        <v>172</v>
      </c>
    </row>
    <row r="174" spans="1:5" x14ac:dyDescent="0.25">
      <c r="A174" s="8">
        <v>4.16</v>
      </c>
      <c r="B174" s="8">
        <f t="shared" si="0"/>
        <v>4.16</v>
      </c>
      <c r="C174" s="6">
        <v>79</v>
      </c>
      <c r="D174" s="6">
        <v>25</v>
      </c>
      <c r="E174" s="4" t="s">
        <v>172</v>
      </c>
    </row>
    <row r="175" spans="1:5" x14ac:dyDescent="0.25">
      <c r="A175" s="8">
        <v>4.2</v>
      </c>
      <c r="B175" s="8">
        <f t="shared" si="0"/>
        <v>4.2</v>
      </c>
      <c r="C175" s="6">
        <v>16</v>
      </c>
      <c r="D175" s="6">
        <v>5</v>
      </c>
      <c r="E175" s="4" t="s">
        <v>173</v>
      </c>
    </row>
    <row r="176" spans="1:5" x14ac:dyDescent="0.25">
      <c r="A176" s="8">
        <v>4.24</v>
      </c>
      <c r="B176" s="8">
        <f t="shared" si="0"/>
        <v>4.24</v>
      </c>
      <c r="C176" s="6">
        <v>81</v>
      </c>
      <c r="D176" s="6">
        <v>25</v>
      </c>
      <c r="E176" s="4" t="s">
        <v>173</v>
      </c>
    </row>
    <row r="177" spans="1:5" x14ac:dyDescent="0.25">
      <c r="A177" s="8">
        <v>4.28</v>
      </c>
      <c r="B177" s="8">
        <f t="shared" si="0"/>
        <v>4.2799999999999994</v>
      </c>
      <c r="C177" s="6">
        <v>82</v>
      </c>
      <c r="D177" s="6">
        <v>25</v>
      </c>
      <c r="E177" s="4" t="s">
        <v>173</v>
      </c>
    </row>
    <row r="178" spans="1:5" x14ac:dyDescent="0.25">
      <c r="A178" s="8">
        <v>4.3</v>
      </c>
      <c r="B178" s="8">
        <f t="shared" si="0"/>
        <v>4.3</v>
      </c>
      <c r="C178" s="6">
        <v>33</v>
      </c>
      <c r="D178" s="6">
        <v>10</v>
      </c>
      <c r="E178" s="4" t="s">
        <v>174</v>
      </c>
    </row>
    <row r="179" spans="1:5" x14ac:dyDescent="0.25">
      <c r="A179" s="8">
        <v>4.32</v>
      </c>
      <c r="B179" s="8">
        <f t="shared" si="0"/>
        <v>4.32</v>
      </c>
      <c r="C179" s="6">
        <v>83</v>
      </c>
      <c r="D179" s="6">
        <v>25</v>
      </c>
      <c r="E179" s="4" t="s">
        <v>174</v>
      </c>
    </row>
    <row r="180" spans="1:5" x14ac:dyDescent="0.25">
      <c r="A180" s="8">
        <v>4.33</v>
      </c>
      <c r="B180" s="8">
        <f t="shared" si="0"/>
        <v>4.3333333333333339</v>
      </c>
      <c r="C180" s="6">
        <v>10</v>
      </c>
      <c r="D180" s="6">
        <v>3</v>
      </c>
      <c r="E180" s="4" t="s">
        <v>93</v>
      </c>
    </row>
    <row r="181" spans="1:5" x14ac:dyDescent="0.25">
      <c r="A181" s="8">
        <v>4.3600000000000003</v>
      </c>
      <c r="B181" s="8">
        <f t="shared" si="0"/>
        <v>4.3599999999999994</v>
      </c>
      <c r="C181" s="6">
        <v>84</v>
      </c>
      <c r="D181" s="6">
        <v>25</v>
      </c>
      <c r="E181" s="4" t="s">
        <v>93</v>
      </c>
    </row>
    <row r="182" spans="1:5" x14ac:dyDescent="0.25">
      <c r="A182" s="8">
        <v>4.4000000000000004</v>
      </c>
      <c r="B182" s="8">
        <f t="shared" si="0"/>
        <v>4.4000000000000004</v>
      </c>
      <c r="C182" s="6">
        <v>17</v>
      </c>
      <c r="D182" s="6">
        <v>5</v>
      </c>
      <c r="E182" s="4" t="s">
        <v>93</v>
      </c>
    </row>
    <row r="183" spans="1:5" x14ac:dyDescent="0.25">
      <c r="A183" s="8">
        <v>4.4400000000000004</v>
      </c>
      <c r="B183" s="8">
        <f t="shared" si="0"/>
        <v>4.4399999999999995</v>
      </c>
      <c r="C183" s="6">
        <v>86</v>
      </c>
      <c r="D183" s="6">
        <v>25</v>
      </c>
      <c r="E183" s="4" t="s">
        <v>93</v>
      </c>
    </row>
    <row r="184" spans="1:5" x14ac:dyDescent="0.25">
      <c r="A184" s="8">
        <v>4.4800000000000004</v>
      </c>
      <c r="B184" s="8">
        <f t="shared" si="0"/>
        <v>4.4800000000000004</v>
      </c>
      <c r="C184" s="6">
        <v>87</v>
      </c>
      <c r="D184" s="6">
        <v>25</v>
      </c>
      <c r="E184" s="4" t="s">
        <v>93</v>
      </c>
    </row>
    <row r="185" spans="1:5" x14ac:dyDescent="0.25">
      <c r="A185" s="8">
        <v>4.5</v>
      </c>
      <c r="B185" s="8">
        <f t="shared" si="0"/>
        <v>4.5</v>
      </c>
      <c r="C185" s="6">
        <v>7</v>
      </c>
      <c r="D185" s="6">
        <v>2</v>
      </c>
      <c r="E185" s="4" t="s">
        <v>75</v>
      </c>
    </row>
    <row r="186" spans="1:5" x14ac:dyDescent="0.25">
      <c r="A186" s="8">
        <v>4.5199999999999996</v>
      </c>
      <c r="B186" s="8">
        <f t="shared" si="0"/>
        <v>4.5199999999999996</v>
      </c>
      <c r="C186" s="6">
        <v>88</v>
      </c>
      <c r="D186" s="6">
        <v>25</v>
      </c>
      <c r="E186" s="4" t="s">
        <v>75</v>
      </c>
    </row>
    <row r="187" spans="1:5" x14ac:dyDescent="0.25">
      <c r="A187" s="8">
        <v>4.5599999999999996</v>
      </c>
      <c r="B187" s="8">
        <f t="shared" si="0"/>
        <v>4.5600000000000005</v>
      </c>
      <c r="C187" s="6">
        <v>89</v>
      </c>
      <c r="D187" s="6">
        <v>25</v>
      </c>
      <c r="E187" s="4" t="s">
        <v>75</v>
      </c>
    </row>
    <row r="188" spans="1:5" x14ac:dyDescent="0.25">
      <c r="A188" s="8">
        <v>4.5999999999999996</v>
      </c>
      <c r="B188" s="8">
        <f t="shared" si="0"/>
        <v>4.5999999999999996</v>
      </c>
      <c r="C188" s="6">
        <v>18</v>
      </c>
      <c r="D188" s="6">
        <v>5</v>
      </c>
      <c r="E188" s="4" t="s">
        <v>75</v>
      </c>
    </row>
    <row r="189" spans="1:5" x14ac:dyDescent="0.25">
      <c r="A189" s="8">
        <v>4.6399999999999997</v>
      </c>
      <c r="B189" s="8">
        <f t="shared" si="0"/>
        <v>4.6400000000000006</v>
      </c>
      <c r="C189" s="6">
        <v>91</v>
      </c>
      <c r="D189" s="6">
        <v>25</v>
      </c>
      <c r="E189" s="4" t="s">
        <v>75</v>
      </c>
    </row>
    <row r="190" spans="1:5" x14ac:dyDescent="0.25">
      <c r="A190" s="8">
        <v>4.68</v>
      </c>
      <c r="B190" s="8">
        <f t="shared" si="0"/>
        <v>4.68</v>
      </c>
      <c r="C190" s="6">
        <v>92</v>
      </c>
      <c r="D190" s="6">
        <v>25</v>
      </c>
      <c r="E190" s="4" t="s">
        <v>75</v>
      </c>
    </row>
    <row r="191" spans="1:5" x14ac:dyDescent="0.25">
      <c r="A191" s="8">
        <v>4.7</v>
      </c>
      <c r="B191" s="8">
        <f t="shared" si="0"/>
        <v>4.7</v>
      </c>
      <c r="C191" s="6">
        <v>37</v>
      </c>
      <c r="D191" s="6">
        <v>10</v>
      </c>
      <c r="E191" s="4" t="s">
        <v>75</v>
      </c>
    </row>
    <row r="192" spans="1:5" x14ac:dyDescent="0.25">
      <c r="A192" s="8">
        <v>4.72</v>
      </c>
      <c r="B192" s="8">
        <f t="shared" si="0"/>
        <v>4.7200000000000006</v>
      </c>
      <c r="C192" s="6">
        <v>93</v>
      </c>
      <c r="D192" s="6">
        <v>25</v>
      </c>
      <c r="E192" s="4" t="s">
        <v>75</v>
      </c>
    </row>
    <row r="193" spans="1:5" x14ac:dyDescent="0.25">
      <c r="A193" s="8">
        <v>4.76</v>
      </c>
      <c r="B193" s="8">
        <f t="shared" si="0"/>
        <v>4.76</v>
      </c>
      <c r="C193" s="6">
        <v>94</v>
      </c>
      <c r="D193" s="6">
        <v>25</v>
      </c>
      <c r="E193" s="4" t="s">
        <v>75</v>
      </c>
    </row>
    <row r="194" spans="1:5" x14ac:dyDescent="0.25">
      <c r="A194" s="8">
        <v>4.8</v>
      </c>
      <c r="B194" s="8">
        <f t="shared" si="0"/>
        <v>4.8</v>
      </c>
      <c r="C194" s="6">
        <v>19</v>
      </c>
      <c r="D194" s="6">
        <v>5</v>
      </c>
      <c r="E194" s="4" t="s">
        <v>75</v>
      </c>
    </row>
    <row r="195" spans="1:5" x14ac:dyDescent="0.25">
      <c r="A195" s="8">
        <v>4.84</v>
      </c>
      <c r="B195" s="8">
        <f t="shared" si="0"/>
        <v>4.84</v>
      </c>
      <c r="C195" s="6">
        <v>96</v>
      </c>
      <c r="D195" s="6">
        <v>25</v>
      </c>
      <c r="E195" s="4" t="s">
        <v>75</v>
      </c>
    </row>
    <row r="196" spans="1:5" x14ac:dyDescent="0.25">
      <c r="A196" s="8">
        <v>4.88</v>
      </c>
      <c r="B196" s="8">
        <f t="shared" si="0"/>
        <v>4.88</v>
      </c>
      <c r="C196" s="6">
        <v>97</v>
      </c>
      <c r="D196" s="6">
        <v>25</v>
      </c>
      <c r="E196" s="4" t="s">
        <v>75</v>
      </c>
    </row>
    <row r="197" spans="1:5" x14ac:dyDescent="0.25">
      <c r="A197" s="8">
        <v>4.9000000000000004</v>
      </c>
      <c r="B197" s="8">
        <f t="shared" si="0"/>
        <v>4.9000000000000004</v>
      </c>
      <c r="C197" s="6">
        <v>39</v>
      </c>
      <c r="D197" s="6">
        <v>10</v>
      </c>
      <c r="E197" s="4" t="s">
        <v>75</v>
      </c>
    </row>
    <row r="198" spans="1:5" x14ac:dyDescent="0.25">
      <c r="A198" s="8">
        <v>4.92</v>
      </c>
      <c r="B198" s="8">
        <f t="shared" si="0"/>
        <v>4.92</v>
      </c>
      <c r="C198" s="6">
        <v>98</v>
      </c>
      <c r="D198" s="6">
        <v>25</v>
      </c>
      <c r="E198" s="4" t="s">
        <v>75</v>
      </c>
    </row>
    <row r="199" spans="1:5" x14ac:dyDescent="0.25">
      <c r="A199" s="8">
        <v>4.96</v>
      </c>
      <c r="B199" s="8">
        <f t="shared" si="0"/>
        <v>4.96</v>
      </c>
      <c r="C199" s="6">
        <v>99</v>
      </c>
      <c r="D199" s="6">
        <v>25</v>
      </c>
      <c r="E199" s="4" t="s">
        <v>75</v>
      </c>
    </row>
    <row r="200" spans="1:5" x14ac:dyDescent="0.25">
      <c r="A200" s="8">
        <v>5</v>
      </c>
      <c r="B200" s="8">
        <f t="shared" si="0"/>
        <v>5</v>
      </c>
      <c r="C200" s="6">
        <v>4</v>
      </c>
      <c r="D200" s="6">
        <v>1</v>
      </c>
      <c r="E200" s="4" t="s">
        <v>76</v>
      </c>
    </row>
    <row r="201" spans="1:5" x14ac:dyDescent="0.25">
      <c r="A201" s="8">
        <v>5.0999999999999996</v>
      </c>
      <c r="B201" s="8">
        <f t="shared" si="0"/>
        <v>5.0999999999999996</v>
      </c>
      <c r="C201" s="6">
        <v>41</v>
      </c>
      <c r="D201" s="6">
        <v>10</v>
      </c>
      <c r="E201" s="4" t="s">
        <v>76</v>
      </c>
    </row>
    <row r="202" spans="1:5" x14ac:dyDescent="0.25">
      <c r="A202" s="8">
        <v>5.2</v>
      </c>
      <c r="B202" s="8">
        <f t="shared" si="0"/>
        <v>5.2</v>
      </c>
      <c r="C202" s="6">
        <v>21</v>
      </c>
      <c r="D202" s="6">
        <v>5</v>
      </c>
      <c r="E202" s="4" t="s">
        <v>76</v>
      </c>
    </row>
    <row r="203" spans="1:5" x14ac:dyDescent="0.25">
      <c r="A203" s="8">
        <v>5.3</v>
      </c>
      <c r="B203" s="8">
        <f t="shared" si="0"/>
        <v>5.3</v>
      </c>
      <c r="C203" s="6">
        <v>43</v>
      </c>
      <c r="D203" s="6">
        <v>10</v>
      </c>
      <c r="E203" s="4" t="s">
        <v>76</v>
      </c>
    </row>
    <row r="204" spans="1:5" x14ac:dyDescent="0.25">
      <c r="A204" s="8">
        <v>5.4</v>
      </c>
      <c r="B204" s="8">
        <f t="shared" si="0"/>
        <v>5.4</v>
      </c>
      <c r="C204" s="6">
        <v>22</v>
      </c>
      <c r="D204" s="6">
        <v>5</v>
      </c>
      <c r="E204" s="4" t="s">
        <v>76</v>
      </c>
    </row>
    <row r="205" spans="1:5" x14ac:dyDescent="0.25">
      <c r="A205" s="8">
        <v>5.5</v>
      </c>
      <c r="B205" s="8">
        <f t="shared" si="0"/>
        <v>5.5</v>
      </c>
      <c r="C205" s="6">
        <v>9</v>
      </c>
      <c r="D205" s="6">
        <v>2</v>
      </c>
      <c r="E205" s="4" t="s">
        <v>77</v>
      </c>
    </row>
    <row r="206" spans="1:5" x14ac:dyDescent="0.25">
      <c r="A206" s="8">
        <v>5.6</v>
      </c>
      <c r="B206" s="8">
        <f t="shared" si="0"/>
        <v>5.6</v>
      </c>
      <c r="C206" s="6">
        <v>23</v>
      </c>
      <c r="D206" s="6">
        <v>5</v>
      </c>
      <c r="E206" s="4" t="s">
        <v>77</v>
      </c>
    </row>
    <row r="207" spans="1:5" x14ac:dyDescent="0.25">
      <c r="A207" s="8">
        <v>5.7</v>
      </c>
      <c r="B207" s="8">
        <f t="shared" si="0"/>
        <v>5.7</v>
      </c>
      <c r="C207" s="6">
        <v>47</v>
      </c>
      <c r="D207" s="6">
        <v>10</v>
      </c>
      <c r="E207" s="4" t="s">
        <v>77</v>
      </c>
    </row>
    <row r="208" spans="1:5" x14ac:dyDescent="0.25">
      <c r="A208" s="8">
        <v>5.8</v>
      </c>
      <c r="B208" s="8">
        <f t="shared" si="0"/>
        <v>5.8</v>
      </c>
      <c r="C208" s="6">
        <v>24</v>
      </c>
      <c r="D208" s="6">
        <v>5</v>
      </c>
      <c r="E208" s="4" t="s">
        <v>77</v>
      </c>
    </row>
    <row r="209" spans="1:5" x14ac:dyDescent="0.25">
      <c r="A209" s="8">
        <v>5.9</v>
      </c>
      <c r="B209" s="8">
        <f t="shared" si="0"/>
        <v>5.9</v>
      </c>
      <c r="C209" s="6">
        <v>49</v>
      </c>
      <c r="D209" s="6">
        <v>10</v>
      </c>
      <c r="E209" s="4" t="s">
        <v>77</v>
      </c>
    </row>
    <row r="210" spans="1:5" x14ac:dyDescent="0.25">
      <c r="A210" s="8">
        <v>6</v>
      </c>
      <c r="B210" s="8">
        <f t="shared" si="0"/>
        <v>6</v>
      </c>
      <c r="C210" s="6">
        <v>5</v>
      </c>
      <c r="D210" s="6">
        <v>1</v>
      </c>
      <c r="E210" s="4" t="s">
        <v>78</v>
      </c>
    </row>
    <row r="211" spans="1:5" x14ac:dyDescent="0.25">
      <c r="A211" s="8">
        <v>6.1</v>
      </c>
      <c r="B211" s="8">
        <f t="shared" si="0"/>
        <v>6.1</v>
      </c>
      <c r="C211" s="6">
        <v>51</v>
      </c>
      <c r="D211" s="6">
        <v>10</v>
      </c>
      <c r="E211" s="4" t="s">
        <v>78</v>
      </c>
    </row>
    <row r="212" spans="1:5" x14ac:dyDescent="0.25">
      <c r="A212" s="8">
        <v>6.2</v>
      </c>
      <c r="B212" s="8">
        <f t="shared" si="0"/>
        <v>6.2</v>
      </c>
      <c r="C212" s="6">
        <v>26</v>
      </c>
      <c r="D212" s="6">
        <v>5</v>
      </c>
      <c r="E212" s="4" t="s">
        <v>78</v>
      </c>
    </row>
    <row r="213" spans="1:5" x14ac:dyDescent="0.25">
      <c r="A213" s="8">
        <v>6.3</v>
      </c>
      <c r="B213" s="8">
        <f t="shared" si="0"/>
        <v>6.3</v>
      </c>
      <c r="C213" s="6">
        <v>53</v>
      </c>
      <c r="D213" s="6">
        <v>10</v>
      </c>
      <c r="E213" s="4" t="s">
        <v>78</v>
      </c>
    </row>
    <row r="214" spans="1:5" x14ac:dyDescent="0.25">
      <c r="A214" s="8">
        <v>6.4</v>
      </c>
      <c r="B214" s="8">
        <f t="shared" si="0"/>
        <v>6.4</v>
      </c>
      <c r="C214" s="6">
        <v>27</v>
      </c>
      <c r="D214" s="6">
        <v>5</v>
      </c>
      <c r="E214" s="4" t="s">
        <v>78</v>
      </c>
    </row>
    <row r="215" spans="1:5" x14ac:dyDescent="0.25">
      <c r="A215" s="8">
        <v>6.5</v>
      </c>
      <c r="B215" s="8">
        <f t="shared" si="0"/>
        <v>6.5</v>
      </c>
      <c r="C215" s="6">
        <v>11</v>
      </c>
      <c r="D215" s="6">
        <v>2</v>
      </c>
      <c r="E215" s="4" t="s">
        <v>79</v>
      </c>
    </row>
    <row r="216" spans="1:5" x14ac:dyDescent="0.25">
      <c r="A216" s="8">
        <v>6.6</v>
      </c>
      <c r="B216" s="8">
        <f t="shared" si="0"/>
        <v>6.6</v>
      </c>
      <c r="C216" s="6">
        <v>28</v>
      </c>
      <c r="D216" s="6">
        <v>5</v>
      </c>
      <c r="E216" s="4" t="s">
        <v>79</v>
      </c>
    </row>
    <row r="217" spans="1:5" x14ac:dyDescent="0.25">
      <c r="A217" s="8">
        <v>6.7</v>
      </c>
      <c r="B217" s="8">
        <f t="shared" si="0"/>
        <v>6.7</v>
      </c>
      <c r="C217" s="6">
        <v>57</v>
      </c>
      <c r="D217" s="6">
        <v>10</v>
      </c>
      <c r="E217" s="4" t="s">
        <v>79</v>
      </c>
    </row>
    <row r="218" spans="1:5" x14ac:dyDescent="0.25">
      <c r="A218" s="8">
        <v>6.8</v>
      </c>
      <c r="B218" s="8">
        <f t="shared" si="0"/>
        <v>6.8</v>
      </c>
      <c r="C218" s="6">
        <v>29</v>
      </c>
      <c r="D218" s="6">
        <v>5</v>
      </c>
      <c r="E218" s="4" t="s">
        <v>79</v>
      </c>
    </row>
    <row r="219" spans="1:5" x14ac:dyDescent="0.25">
      <c r="A219" s="8">
        <v>6.9</v>
      </c>
      <c r="B219" s="8">
        <f t="shared" si="0"/>
        <v>6.9</v>
      </c>
      <c r="C219" s="6">
        <v>59</v>
      </c>
      <c r="D219" s="6">
        <v>10</v>
      </c>
      <c r="E219" s="4" t="s">
        <v>79</v>
      </c>
    </row>
    <row r="220" spans="1:5" x14ac:dyDescent="0.25">
      <c r="A220" s="8">
        <v>7</v>
      </c>
      <c r="B220" s="8">
        <f t="shared" si="0"/>
        <v>7</v>
      </c>
      <c r="C220" s="6">
        <v>6</v>
      </c>
      <c r="D220" s="6">
        <v>1</v>
      </c>
      <c r="E220" s="4" t="s">
        <v>80</v>
      </c>
    </row>
    <row r="221" spans="1:5" x14ac:dyDescent="0.25">
      <c r="A221" s="8">
        <v>7.1</v>
      </c>
      <c r="B221" s="8">
        <f t="shared" si="0"/>
        <v>7.1</v>
      </c>
      <c r="C221" s="6">
        <v>61</v>
      </c>
      <c r="D221" s="6">
        <v>10</v>
      </c>
      <c r="E221" s="4" t="s">
        <v>80</v>
      </c>
    </row>
    <row r="222" spans="1:5" x14ac:dyDescent="0.25">
      <c r="A222" s="8">
        <v>7.2</v>
      </c>
      <c r="B222" s="8">
        <f t="shared" si="0"/>
        <v>7.2</v>
      </c>
      <c r="C222" s="6">
        <v>31</v>
      </c>
      <c r="D222" s="6">
        <v>5</v>
      </c>
      <c r="E222" s="4" t="s">
        <v>80</v>
      </c>
    </row>
    <row r="223" spans="1:5" x14ac:dyDescent="0.25">
      <c r="A223" s="8">
        <v>7.3</v>
      </c>
      <c r="B223" s="8">
        <f t="shared" si="0"/>
        <v>7.3</v>
      </c>
      <c r="C223" s="6">
        <v>63</v>
      </c>
      <c r="D223" s="6">
        <v>10</v>
      </c>
      <c r="E223" s="4" t="s">
        <v>80</v>
      </c>
    </row>
    <row r="224" spans="1:5" x14ac:dyDescent="0.25">
      <c r="A224" s="8">
        <v>7.4</v>
      </c>
      <c r="B224" s="8">
        <f t="shared" ref="B224:B287" si="1">1+C224/D224</f>
        <v>7.4</v>
      </c>
      <c r="C224" s="6">
        <v>32</v>
      </c>
      <c r="D224" s="6">
        <v>5</v>
      </c>
      <c r="E224" s="4" t="s">
        <v>80</v>
      </c>
    </row>
    <row r="225" spans="1:5" x14ac:dyDescent="0.25">
      <c r="A225" s="8">
        <v>7.5</v>
      </c>
      <c r="B225" s="8">
        <f t="shared" si="1"/>
        <v>7.5</v>
      </c>
      <c r="C225" s="6">
        <v>13</v>
      </c>
      <c r="D225" s="6">
        <v>2</v>
      </c>
      <c r="E225" s="4" t="s">
        <v>81</v>
      </c>
    </row>
    <row r="226" spans="1:5" x14ac:dyDescent="0.25">
      <c r="A226" s="8">
        <v>7.6</v>
      </c>
      <c r="B226" s="8">
        <f t="shared" si="1"/>
        <v>7.6</v>
      </c>
      <c r="C226" s="6">
        <v>33</v>
      </c>
      <c r="D226" s="6">
        <v>5</v>
      </c>
      <c r="E226" s="4" t="s">
        <v>81</v>
      </c>
    </row>
    <row r="227" spans="1:5" x14ac:dyDescent="0.25">
      <c r="A227" s="8">
        <v>7.7</v>
      </c>
      <c r="B227" s="8">
        <f t="shared" si="1"/>
        <v>7.7</v>
      </c>
      <c r="C227" s="6">
        <v>67</v>
      </c>
      <c r="D227" s="6">
        <v>10</v>
      </c>
      <c r="E227" s="4" t="s">
        <v>81</v>
      </c>
    </row>
    <row r="228" spans="1:5" x14ac:dyDescent="0.25">
      <c r="A228" s="8">
        <v>7.8</v>
      </c>
      <c r="B228" s="8">
        <f t="shared" si="1"/>
        <v>7.8</v>
      </c>
      <c r="C228" s="6">
        <v>34</v>
      </c>
      <c r="D228" s="6">
        <v>5</v>
      </c>
      <c r="E228" s="4" t="s">
        <v>81</v>
      </c>
    </row>
    <row r="229" spans="1:5" x14ac:dyDescent="0.25">
      <c r="A229" s="8">
        <v>7.9</v>
      </c>
      <c r="B229" s="8">
        <f t="shared" si="1"/>
        <v>7.9</v>
      </c>
      <c r="C229" s="6">
        <v>69</v>
      </c>
      <c r="D229" s="6">
        <v>10</v>
      </c>
      <c r="E229" s="4" t="s">
        <v>81</v>
      </c>
    </row>
    <row r="230" spans="1:5" x14ac:dyDescent="0.25">
      <c r="A230" s="8">
        <v>8</v>
      </c>
      <c r="B230" s="8">
        <f t="shared" si="1"/>
        <v>8</v>
      </c>
      <c r="C230" s="6">
        <v>7</v>
      </c>
      <c r="D230" s="6">
        <v>1</v>
      </c>
      <c r="E230" s="4" t="s">
        <v>82</v>
      </c>
    </row>
    <row r="231" spans="1:5" x14ac:dyDescent="0.25">
      <c r="A231" s="8">
        <v>8.1</v>
      </c>
      <c r="B231" s="8">
        <f t="shared" si="1"/>
        <v>8.1</v>
      </c>
      <c r="C231" s="6">
        <v>71</v>
      </c>
      <c r="D231" s="6">
        <v>10</v>
      </c>
      <c r="E231" s="4" t="s">
        <v>82</v>
      </c>
    </row>
    <row r="232" spans="1:5" x14ac:dyDescent="0.25">
      <c r="A232" s="8">
        <v>8.1999999999999993</v>
      </c>
      <c r="B232" s="8">
        <f t="shared" si="1"/>
        <v>8.1999999999999993</v>
      </c>
      <c r="C232" s="6">
        <v>36</v>
      </c>
      <c r="D232" s="6">
        <v>5</v>
      </c>
      <c r="E232" s="4" t="s">
        <v>82</v>
      </c>
    </row>
    <row r="233" spans="1:5" x14ac:dyDescent="0.25">
      <c r="A233" s="8">
        <v>8.3000000000000007</v>
      </c>
      <c r="B233" s="8">
        <f t="shared" si="1"/>
        <v>8.3000000000000007</v>
      </c>
      <c r="C233" s="6">
        <v>73</v>
      </c>
      <c r="D233" s="6">
        <v>10</v>
      </c>
      <c r="E233" s="4" t="s">
        <v>82</v>
      </c>
    </row>
    <row r="234" spans="1:5" x14ac:dyDescent="0.25">
      <c r="A234" s="8">
        <v>8.4</v>
      </c>
      <c r="B234" s="8">
        <f t="shared" si="1"/>
        <v>8.4</v>
      </c>
      <c r="C234" s="6">
        <v>37</v>
      </c>
      <c r="D234" s="6">
        <v>5</v>
      </c>
      <c r="E234" s="4" t="s">
        <v>82</v>
      </c>
    </row>
    <row r="235" spans="1:5" x14ac:dyDescent="0.25">
      <c r="A235" s="8">
        <v>8.5</v>
      </c>
      <c r="B235" s="8">
        <f t="shared" si="1"/>
        <v>8.5</v>
      </c>
      <c r="C235" s="6">
        <v>15</v>
      </c>
      <c r="D235" s="6">
        <v>2</v>
      </c>
      <c r="E235" s="4" t="s">
        <v>83</v>
      </c>
    </row>
    <row r="236" spans="1:5" x14ac:dyDescent="0.25">
      <c r="A236" s="8">
        <v>8.6</v>
      </c>
      <c r="B236" s="8">
        <f t="shared" si="1"/>
        <v>8.6</v>
      </c>
      <c r="C236" s="6">
        <v>38</v>
      </c>
      <c r="D236" s="6">
        <v>5</v>
      </c>
      <c r="E236" s="4" t="s">
        <v>83</v>
      </c>
    </row>
    <row r="237" spans="1:5" x14ac:dyDescent="0.25">
      <c r="A237" s="8">
        <v>8.6999999999999993</v>
      </c>
      <c r="B237" s="8">
        <f t="shared" si="1"/>
        <v>8.6999999999999993</v>
      </c>
      <c r="C237" s="6">
        <v>77</v>
      </c>
      <c r="D237" s="6">
        <v>10</v>
      </c>
      <c r="E237" s="4" t="s">
        <v>83</v>
      </c>
    </row>
    <row r="238" spans="1:5" x14ac:dyDescent="0.25">
      <c r="A238" s="8">
        <v>8.8000000000000007</v>
      </c>
      <c r="B238" s="8">
        <f t="shared" si="1"/>
        <v>8.8000000000000007</v>
      </c>
      <c r="C238" s="6">
        <v>39</v>
      </c>
      <c r="D238" s="6">
        <v>5</v>
      </c>
      <c r="E238" s="4" t="s">
        <v>83</v>
      </c>
    </row>
    <row r="239" spans="1:5" x14ac:dyDescent="0.25">
      <c r="A239" s="8">
        <v>8.9</v>
      </c>
      <c r="B239" s="8">
        <f t="shared" si="1"/>
        <v>8.9</v>
      </c>
      <c r="C239" s="6">
        <v>79</v>
      </c>
      <c r="D239" s="6">
        <v>10</v>
      </c>
      <c r="E239" s="4" t="s">
        <v>83</v>
      </c>
    </row>
    <row r="240" spans="1:5" x14ac:dyDescent="0.25">
      <c r="A240" s="8">
        <v>9</v>
      </c>
      <c r="B240" s="8">
        <f t="shared" si="1"/>
        <v>9</v>
      </c>
      <c r="C240" s="6">
        <v>8</v>
      </c>
      <c r="D240" s="6">
        <v>1</v>
      </c>
      <c r="E240" s="4" t="s">
        <v>84</v>
      </c>
    </row>
    <row r="241" spans="1:5" x14ac:dyDescent="0.25">
      <c r="A241" s="8">
        <v>9.1</v>
      </c>
      <c r="B241" s="8">
        <f t="shared" si="1"/>
        <v>9.1</v>
      </c>
      <c r="C241" s="6">
        <v>81</v>
      </c>
      <c r="D241" s="6">
        <v>10</v>
      </c>
      <c r="E241" s="4" t="s">
        <v>84</v>
      </c>
    </row>
    <row r="242" spans="1:5" x14ac:dyDescent="0.25">
      <c r="A242" s="8">
        <v>9.1999999999999993</v>
      </c>
      <c r="B242" s="8">
        <f t="shared" si="1"/>
        <v>9.1999999999999993</v>
      </c>
      <c r="C242" s="6">
        <v>41</v>
      </c>
      <c r="D242" s="6">
        <v>5</v>
      </c>
      <c r="E242" s="4" t="s">
        <v>84</v>
      </c>
    </row>
    <row r="243" spans="1:5" x14ac:dyDescent="0.25">
      <c r="A243" s="8">
        <v>9.3000000000000007</v>
      </c>
      <c r="B243" s="8">
        <f t="shared" si="1"/>
        <v>9.3000000000000007</v>
      </c>
      <c r="C243" s="6">
        <v>83</v>
      </c>
      <c r="D243" s="6">
        <v>10</v>
      </c>
      <c r="E243" s="4" t="s">
        <v>84</v>
      </c>
    </row>
    <row r="244" spans="1:5" x14ac:dyDescent="0.25">
      <c r="A244" s="8">
        <v>9.4</v>
      </c>
      <c r="B244" s="8">
        <f t="shared" si="1"/>
        <v>9.4</v>
      </c>
      <c r="C244" s="6">
        <v>42</v>
      </c>
      <c r="D244" s="6">
        <v>5</v>
      </c>
      <c r="E244" s="4" t="s">
        <v>84</v>
      </c>
    </row>
    <row r="245" spans="1:5" x14ac:dyDescent="0.25">
      <c r="A245" s="8">
        <v>9.5</v>
      </c>
      <c r="B245" s="8">
        <f t="shared" si="1"/>
        <v>9.5</v>
      </c>
      <c r="C245" s="6">
        <v>17</v>
      </c>
      <c r="D245" s="6">
        <v>2</v>
      </c>
      <c r="E245" s="4" t="s">
        <v>85</v>
      </c>
    </row>
    <row r="246" spans="1:5" x14ac:dyDescent="0.25">
      <c r="A246" s="8">
        <v>9.6</v>
      </c>
      <c r="B246" s="8">
        <f t="shared" si="1"/>
        <v>9.6</v>
      </c>
      <c r="C246" s="6">
        <v>43</v>
      </c>
      <c r="D246" s="6">
        <v>5</v>
      </c>
      <c r="E246" s="4" t="s">
        <v>85</v>
      </c>
    </row>
    <row r="247" spans="1:5" x14ac:dyDescent="0.25">
      <c r="A247" s="8">
        <v>9.6999999999999993</v>
      </c>
      <c r="B247" s="8">
        <f t="shared" si="1"/>
        <v>9.6999999999999993</v>
      </c>
      <c r="C247" s="6">
        <v>87</v>
      </c>
      <c r="D247" s="6">
        <v>10</v>
      </c>
      <c r="E247" s="4" t="s">
        <v>85</v>
      </c>
    </row>
    <row r="248" spans="1:5" x14ac:dyDescent="0.25">
      <c r="A248" s="8">
        <v>9.8000000000000007</v>
      </c>
      <c r="B248" s="8">
        <f t="shared" si="1"/>
        <v>9.8000000000000007</v>
      </c>
      <c r="C248" s="6">
        <v>44</v>
      </c>
      <c r="D248" s="6">
        <v>5</v>
      </c>
      <c r="E248" s="4" t="s">
        <v>85</v>
      </c>
    </row>
    <row r="249" spans="1:5" x14ac:dyDescent="0.25">
      <c r="A249" s="8">
        <v>9.9</v>
      </c>
      <c r="B249" s="8">
        <f t="shared" si="1"/>
        <v>9.9</v>
      </c>
      <c r="C249" s="6">
        <v>89</v>
      </c>
      <c r="D249" s="6">
        <v>10</v>
      </c>
      <c r="E249" s="4" t="s">
        <v>85</v>
      </c>
    </row>
    <row r="250" spans="1:5" x14ac:dyDescent="0.25">
      <c r="A250" s="8">
        <v>10</v>
      </c>
      <c r="B250" s="8">
        <f t="shared" si="1"/>
        <v>10</v>
      </c>
      <c r="C250" s="6">
        <v>9</v>
      </c>
      <c r="D250" s="6">
        <v>1</v>
      </c>
      <c r="E250" s="4" t="s">
        <v>86</v>
      </c>
    </row>
    <row r="251" spans="1:5" x14ac:dyDescent="0.25">
      <c r="A251" s="8">
        <v>10.1</v>
      </c>
      <c r="B251" s="8">
        <f t="shared" si="1"/>
        <v>10.1</v>
      </c>
      <c r="C251" s="6">
        <v>91</v>
      </c>
      <c r="D251" s="6">
        <v>10</v>
      </c>
      <c r="E251" s="4" t="s">
        <v>86</v>
      </c>
    </row>
    <row r="252" spans="1:5" x14ac:dyDescent="0.25">
      <c r="A252" s="8">
        <v>10.199999999999999</v>
      </c>
      <c r="B252" s="8">
        <f t="shared" si="1"/>
        <v>10.199999999999999</v>
      </c>
      <c r="C252" s="6">
        <v>46</v>
      </c>
      <c r="D252" s="6">
        <v>5</v>
      </c>
      <c r="E252" s="4" t="s">
        <v>86</v>
      </c>
    </row>
    <row r="253" spans="1:5" x14ac:dyDescent="0.25">
      <c r="A253" s="8">
        <v>10.3</v>
      </c>
      <c r="B253" s="8">
        <f t="shared" si="1"/>
        <v>10.3</v>
      </c>
      <c r="C253" s="6">
        <v>93</v>
      </c>
      <c r="D253" s="6">
        <v>10</v>
      </c>
      <c r="E253" s="4" t="s">
        <v>86</v>
      </c>
    </row>
    <row r="254" spans="1:5" x14ac:dyDescent="0.25">
      <c r="A254" s="8">
        <v>10.4</v>
      </c>
      <c r="B254" s="8">
        <f t="shared" si="1"/>
        <v>10.4</v>
      </c>
      <c r="C254" s="6">
        <v>47</v>
      </c>
      <c r="D254" s="6">
        <v>5</v>
      </c>
      <c r="E254" s="4" t="s">
        <v>86</v>
      </c>
    </row>
    <row r="255" spans="1:5" x14ac:dyDescent="0.25">
      <c r="A255" s="8">
        <v>10.5</v>
      </c>
      <c r="B255" s="8">
        <f t="shared" si="1"/>
        <v>10.5</v>
      </c>
      <c r="C255" s="6">
        <v>19</v>
      </c>
      <c r="D255" s="6">
        <v>2</v>
      </c>
      <c r="E255" s="4" t="s">
        <v>175</v>
      </c>
    </row>
    <row r="256" spans="1:5" x14ac:dyDescent="0.25">
      <c r="A256" s="8">
        <v>10.6</v>
      </c>
      <c r="B256" s="8">
        <f t="shared" si="1"/>
        <v>10.6</v>
      </c>
      <c r="C256" s="6">
        <v>48</v>
      </c>
      <c r="D256" s="6">
        <v>5</v>
      </c>
      <c r="E256" s="4" t="s">
        <v>175</v>
      </c>
    </row>
    <row r="257" spans="1:5" x14ac:dyDescent="0.25">
      <c r="A257" s="8">
        <v>10.7</v>
      </c>
      <c r="B257" s="8">
        <f t="shared" si="1"/>
        <v>10.7</v>
      </c>
      <c r="C257" s="6">
        <v>97</v>
      </c>
      <c r="D257" s="6">
        <v>10</v>
      </c>
      <c r="E257" s="4" t="s">
        <v>175</v>
      </c>
    </row>
    <row r="258" spans="1:5" x14ac:dyDescent="0.25">
      <c r="A258" s="8">
        <v>10.8</v>
      </c>
      <c r="B258" s="8">
        <f t="shared" si="1"/>
        <v>10.8</v>
      </c>
      <c r="C258" s="6">
        <v>49</v>
      </c>
      <c r="D258" s="6">
        <v>5</v>
      </c>
      <c r="E258" s="4" t="s">
        <v>175</v>
      </c>
    </row>
    <row r="259" spans="1:5" x14ac:dyDescent="0.25">
      <c r="A259" s="8">
        <v>10.9</v>
      </c>
      <c r="B259" s="8">
        <f t="shared" si="1"/>
        <v>10.9</v>
      </c>
      <c r="C259" s="6">
        <v>99</v>
      </c>
      <c r="D259" s="6">
        <v>10</v>
      </c>
      <c r="E259" s="4" t="s">
        <v>175</v>
      </c>
    </row>
    <row r="260" spans="1:5" x14ac:dyDescent="0.25">
      <c r="A260" s="8">
        <v>11</v>
      </c>
      <c r="B260" s="8">
        <f t="shared" si="1"/>
        <v>11</v>
      </c>
      <c r="C260" s="6">
        <v>10</v>
      </c>
      <c r="D260" s="6">
        <v>1</v>
      </c>
      <c r="E260" s="4" t="s">
        <v>87</v>
      </c>
    </row>
    <row r="261" spans="1:5" x14ac:dyDescent="0.25">
      <c r="A261" s="8">
        <v>11.2</v>
      </c>
      <c r="B261" s="8">
        <f t="shared" si="1"/>
        <v>11.2</v>
      </c>
      <c r="C261" s="6">
        <v>51</v>
      </c>
      <c r="D261" s="6">
        <v>5</v>
      </c>
      <c r="E261" s="4" t="s">
        <v>87</v>
      </c>
    </row>
    <row r="262" spans="1:5" x14ac:dyDescent="0.25">
      <c r="A262" s="8">
        <v>11.33</v>
      </c>
      <c r="B262" s="8">
        <f t="shared" si="1"/>
        <v>11.333333333333334</v>
      </c>
      <c r="C262" s="6">
        <v>31</v>
      </c>
      <c r="D262" s="6">
        <v>3</v>
      </c>
      <c r="E262" s="4" t="s">
        <v>87</v>
      </c>
    </row>
    <row r="263" spans="1:5" x14ac:dyDescent="0.25">
      <c r="A263" s="8">
        <v>11.4</v>
      </c>
      <c r="B263" s="8">
        <f t="shared" si="1"/>
        <v>11.4</v>
      </c>
      <c r="C263" s="6">
        <v>52</v>
      </c>
      <c r="D263" s="6">
        <v>5</v>
      </c>
      <c r="E263" s="4" t="s">
        <v>87</v>
      </c>
    </row>
    <row r="264" spans="1:5" x14ac:dyDescent="0.25">
      <c r="A264" s="8">
        <v>11.5</v>
      </c>
      <c r="B264" s="8">
        <f t="shared" si="1"/>
        <v>11.5</v>
      </c>
      <c r="C264" s="6">
        <v>21</v>
      </c>
      <c r="D264" s="6">
        <v>2</v>
      </c>
      <c r="E264" s="4" t="s">
        <v>176</v>
      </c>
    </row>
    <row r="265" spans="1:5" x14ac:dyDescent="0.25">
      <c r="A265" s="8">
        <v>11.6</v>
      </c>
      <c r="B265" s="8">
        <f t="shared" si="1"/>
        <v>11.6</v>
      </c>
      <c r="C265" s="6">
        <v>53</v>
      </c>
      <c r="D265" s="6">
        <v>5</v>
      </c>
      <c r="E265" s="4" t="s">
        <v>176</v>
      </c>
    </row>
    <row r="266" spans="1:5" x14ac:dyDescent="0.25">
      <c r="A266" s="8">
        <v>11.8</v>
      </c>
      <c r="B266" s="8">
        <f t="shared" si="1"/>
        <v>11.8</v>
      </c>
      <c r="C266" s="6">
        <v>54</v>
      </c>
      <c r="D266" s="6">
        <v>5</v>
      </c>
      <c r="E266" s="4" t="s">
        <v>176</v>
      </c>
    </row>
    <row r="267" spans="1:5" x14ac:dyDescent="0.25">
      <c r="A267" s="8">
        <v>12</v>
      </c>
      <c r="B267" s="8">
        <f t="shared" si="1"/>
        <v>12</v>
      </c>
      <c r="C267" s="6">
        <v>11</v>
      </c>
      <c r="D267" s="6">
        <v>1</v>
      </c>
      <c r="E267" s="4" t="s">
        <v>88</v>
      </c>
    </row>
    <row r="268" spans="1:5" x14ac:dyDescent="0.25">
      <c r="A268" s="8">
        <v>12.2</v>
      </c>
      <c r="B268" s="8">
        <f t="shared" si="1"/>
        <v>12.2</v>
      </c>
      <c r="C268" s="6">
        <v>56</v>
      </c>
      <c r="D268" s="6">
        <v>5</v>
      </c>
      <c r="E268" s="4" t="s">
        <v>88</v>
      </c>
    </row>
    <row r="269" spans="1:5" x14ac:dyDescent="0.25">
      <c r="A269" s="8">
        <v>12.33</v>
      </c>
      <c r="B269" s="8">
        <f t="shared" si="1"/>
        <v>12.333333333333334</v>
      </c>
      <c r="C269" s="6">
        <v>34</v>
      </c>
      <c r="D269" s="6">
        <v>3</v>
      </c>
      <c r="E269" s="4" t="s">
        <v>88</v>
      </c>
    </row>
    <row r="270" spans="1:5" x14ac:dyDescent="0.25">
      <c r="A270" s="8">
        <v>12.4</v>
      </c>
      <c r="B270" s="8">
        <f t="shared" si="1"/>
        <v>12.4</v>
      </c>
      <c r="C270" s="6">
        <v>57</v>
      </c>
      <c r="D270" s="6">
        <v>5</v>
      </c>
      <c r="E270" s="4" t="s">
        <v>88</v>
      </c>
    </row>
    <row r="271" spans="1:5" x14ac:dyDescent="0.25">
      <c r="A271" s="8">
        <v>12.5</v>
      </c>
      <c r="B271" s="8">
        <f t="shared" si="1"/>
        <v>12.5</v>
      </c>
      <c r="C271" s="6">
        <v>23</v>
      </c>
      <c r="D271" s="6">
        <v>2</v>
      </c>
      <c r="E271" s="4" t="s">
        <v>177</v>
      </c>
    </row>
    <row r="272" spans="1:5" x14ac:dyDescent="0.25">
      <c r="A272" s="8">
        <v>12.6</v>
      </c>
      <c r="B272" s="8">
        <f t="shared" si="1"/>
        <v>12.6</v>
      </c>
      <c r="C272" s="6">
        <v>58</v>
      </c>
      <c r="D272" s="6">
        <v>5</v>
      </c>
      <c r="E272" s="4" t="s">
        <v>177</v>
      </c>
    </row>
    <row r="273" spans="1:5" x14ac:dyDescent="0.25">
      <c r="A273" s="8">
        <v>12.8</v>
      </c>
      <c r="B273" s="8">
        <f t="shared" si="1"/>
        <v>12.8</v>
      </c>
      <c r="C273" s="6">
        <v>59</v>
      </c>
      <c r="D273" s="6">
        <v>5</v>
      </c>
      <c r="E273" s="4" t="s">
        <v>177</v>
      </c>
    </row>
    <row r="274" spans="1:5" x14ac:dyDescent="0.25">
      <c r="A274" s="8">
        <v>13</v>
      </c>
      <c r="B274" s="8">
        <f t="shared" si="1"/>
        <v>13</v>
      </c>
      <c r="C274" s="6">
        <v>12</v>
      </c>
      <c r="D274" s="6">
        <v>1</v>
      </c>
      <c r="E274" s="4" t="s">
        <v>89</v>
      </c>
    </row>
    <row r="275" spans="1:5" x14ac:dyDescent="0.25">
      <c r="A275" s="8">
        <v>13.2</v>
      </c>
      <c r="B275" s="8">
        <f t="shared" si="1"/>
        <v>13.2</v>
      </c>
      <c r="C275" s="6">
        <v>61</v>
      </c>
      <c r="D275" s="6">
        <v>5</v>
      </c>
      <c r="E275" s="4" t="s">
        <v>89</v>
      </c>
    </row>
    <row r="276" spans="1:5" x14ac:dyDescent="0.25">
      <c r="A276" s="8">
        <v>13.33</v>
      </c>
      <c r="B276" s="8">
        <f t="shared" si="1"/>
        <v>13.333333333333334</v>
      </c>
      <c r="C276" s="6">
        <v>37</v>
      </c>
      <c r="D276" s="6">
        <v>3</v>
      </c>
      <c r="E276" s="4" t="s">
        <v>89</v>
      </c>
    </row>
    <row r="277" spans="1:5" x14ac:dyDescent="0.25">
      <c r="A277" s="8">
        <v>13.4</v>
      </c>
      <c r="B277" s="8">
        <f t="shared" si="1"/>
        <v>13.4</v>
      </c>
      <c r="C277" s="6">
        <v>62</v>
      </c>
      <c r="D277" s="6">
        <v>5</v>
      </c>
      <c r="E277" s="4" t="s">
        <v>89</v>
      </c>
    </row>
    <row r="278" spans="1:5" x14ac:dyDescent="0.25">
      <c r="A278" s="8">
        <v>13.5</v>
      </c>
      <c r="B278" s="8">
        <f t="shared" si="1"/>
        <v>13.5</v>
      </c>
      <c r="C278" s="6">
        <v>25</v>
      </c>
      <c r="D278" s="6">
        <v>2</v>
      </c>
      <c r="E278" s="4" t="s">
        <v>178</v>
      </c>
    </row>
    <row r="279" spans="1:5" x14ac:dyDescent="0.25">
      <c r="A279" s="8">
        <v>13.6</v>
      </c>
      <c r="B279" s="8">
        <f t="shared" si="1"/>
        <v>13.6</v>
      </c>
      <c r="C279" s="6">
        <v>63</v>
      </c>
      <c r="D279" s="6">
        <v>5</v>
      </c>
      <c r="E279" s="4" t="s">
        <v>178</v>
      </c>
    </row>
    <row r="280" spans="1:5" x14ac:dyDescent="0.25">
      <c r="A280" s="8">
        <v>13.8</v>
      </c>
      <c r="B280" s="8">
        <f t="shared" si="1"/>
        <v>13.8</v>
      </c>
      <c r="C280" s="6">
        <v>64</v>
      </c>
      <c r="D280" s="6">
        <v>5</v>
      </c>
      <c r="E280" s="4" t="s">
        <v>178</v>
      </c>
    </row>
    <row r="281" spans="1:5" x14ac:dyDescent="0.25">
      <c r="A281" s="8">
        <v>14</v>
      </c>
      <c r="B281" s="8">
        <f t="shared" si="1"/>
        <v>14</v>
      </c>
      <c r="C281" s="6">
        <v>13</v>
      </c>
      <c r="D281" s="6">
        <v>1</v>
      </c>
      <c r="E281" s="4" t="s">
        <v>179</v>
      </c>
    </row>
    <row r="282" spans="1:5" x14ac:dyDescent="0.25">
      <c r="A282" s="8">
        <v>14.2</v>
      </c>
      <c r="B282" s="8">
        <f t="shared" si="1"/>
        <v>14.2</v>
      </c>
      <c r="C282" s="6">
        <v>66</v>
      </c>
      <c r="D282" s="6">
        <v>5</v>
      </c>
      <c r="E282" s="4" t="s">
        <v>179</v>
      </c>
    </row>
    <row r="283" spans="1:5" x14ac:dyDescent="0.25">
      <c r="A283" s="8">
        <v>14.33</v>
      </c>
      <c r="B283" s="8">
        <f t="shared" si="1"/>
        <v>14.333333333333334</v>
      </c>
      <c r="C283" s="6">
        <v>40</v>
      </c>
      <c r="D283" s="6">
        <v>3</v>
      </c>
      <c r="E283" s="4" t="s">
        <v>179</v>
      </c>
    </row>
    <row r="284" spans="1:5" x14ac:dyDescent="0.25">
      <c r="A284" s="8">
        <v>14.4</v>
      </c>
      <c r="B284" s="8">
        <f t="shared" si="1"/>
        <v>14.4</v>
      </c>
      <c r="C284" s="6">
        <v>67</v>
      </c>
      <c r="D284" s="6">
        <v>5</v>
      </c>
      <c r="E284" s="4" t="s">
        <v>179</v>
      </c>
    </row>
    <row r="285" spans="1:5" x14ac:dyDescent="0.25">
      <c r="A285" s="8">
        <v>14.5</v>
      </c>
      <c r="B285" s="8">
        <f t="shared" si="1"/>
        <v>14.5</v>
      </c>
      <c r="C285" s="6">
        <v>27</v>
      </c>
      <c r="D285" s="6">
        <v>2</v>
      </c>
      <c r="E285" s="4" t="s">
        <v>180</v>
      </c>
    </row>
    <row r="286" spans="1:5" x14ac:dyDescent="0.25">
      <c r="A286" s="8">
        <v>14.6</v>
      </c>
      <c r="B286" s="8">
        <f t="shared" si="1"/>
        <v>14.6</v>
      </c>
      <c r="C286" s="6">
        <v>68</v>
      </c>
      <c r="D286" s="6">
        <v>5</v>
      </c>
      <c r="E286" s="4" t="s">
        <v>180</v>
      </c>
    </row>
    <row r="287" spans="1:5" x14ac:dyDescent="0.25">
      <c r="A287" s="8">
        <v>14.8</v>
      </c>
      <c r="B287" s="8">
        <f t="shared" si="1"/>
        <v>14.8</v>
      </c>
      <c r="C287" s="6">
        <v>69</v>
      </c>
      <c r="D287" s="6">
        <v>5</v>
      </c>
      <c r="E287" s="4" t="s">
        <v>180</v>
      </c>
    </row>
    <row r="288" spans="1:5" x14ac:dyDescent="0.25">
      <c r="A288" s="8">
        <v>15</v>
      </c>
      <c r="B288" s="8">
        <f t="shared" ref="B288:B351" si="2">1+C288/D288</f>
        <v>15</v>
      </c>
      <c r="C288" s="6">
        <v>14</v>
      </c>
      <c r="D288" s="6">
        <v>1</v>
      </c>
      <c r="E288" s="4" t="s">
        <v>90</v>
      </c>
    </row>
    <row r="289" spans="1:5" x14ac:dyDescent="0.25">
      <c r="A289" s="8">
        <v>15.2</v>
      </c>
      <c r="B289" s="8">
        <f t="shared" si="2"/>
        <v>15.2</v>
      </c>
      <c r="C289" s="6">
        <v>71</v>
      </c>
      <c r="D289" s="6">
        <v>5</v>
      </c>
      <c r="E289" s="4" t="s">
        <v>90</v>
      </c>
    </row>
    <row r="290" spans="1:5" x14ac:dyDescent="0.25">
      <c r="A290" s="8">
        <v>15.33</v>
      </c>
      <c r="B290" s="8">
        <f t="shared" si="2"/>
        <v>15.333333333333334</v>
      </c>
      <c r="C290" s="6">
        <v>43</v>
      </c>
      <c r="D290" s="6">
        <v>3</v>
      </c>
      <c r="E290" s="4" t="s">
        <v>90</v>
      </c>
    </row>
    <row r="291" spans="1:5" x14ac:dyDescent="0.25">
      <c r="A291" s="8">
        <v>15.4</v>
      </c>
      <c r="B291" s="8">
        <f t="shared" si="2"/>
        <v>15.4</v>
      </c>
      <c r="C291" s="6">
        <v>72</v>
      </c>
      <c r="D291" s="6">
        <v>5</v>
      </c>
      <c r="E291" s="4" t="s">
        <v>90</v>
      </c>
    </row>
    <row r="292" spans="1:5" x14ac:dyDescent="0.25">
      <c r="A292" s="8">
        <v>15.5</v>
      </c>
      <c r="B292" s="8">
        <f t="shared" si="2"/>
        <v>15.5</v>
      </c>
      <c r="C292" s="6">
        <v>29</v>
      </c>
      <c r="D292" s="6">
        <v>2</v>
      </c>
      <c r="E292" s="4" t="s">
        <v>181</v>
      </c>
    </row>
    <row r="293" spans="1:5" x14ac:dyDescent="0.25">
      <c r="A293" s="8">
        <v>15.6</v>
      </c>
      <c r="B293" s="8">
        <f t="shared" si="2"/>
        <v>15.6</v>
      </c>
      <c r="C293" s="6">
        <v>73</v>
      </c>
      <c r="D293" s="6">
        <v>5</v>
      </c>
      <c r="E293" s="4" t="s">
        <v>181</v>
      </c>
    </row>
    <row r="294" spans="1:5" x14ac:dyDescent="0.25">
      <c r="A294" s="8">
        <v>15.8</v>
      </c>
      <c r="B294" s="8">
        <f t="shared" si="2"/>
        <v>15.8</v>
      </c>
      <c r="C294" s="6">
        <v>74</v>
      </c>
      <c r="D294" s="6">
        <v>5</v>
      </c>
      <c r="E294" s="4" t="s">
        <v>181</v>
      </c>
    </row>
    <row r="295" spans="1:5" x14ac:dyDescent="0.25">
      <c r="A295" s="8">
        <v>16</v>
      </c>
      <c r="B295" s="8">
        <f t="shared" si="2"/>
        <v>16</v>
      </c>
      <c r="C295" s="6">
        <v>15</v>
      </c>
      <c r="D295" s="6">
        <v>1</v>
      </c>
      <c r="E295" s="4" t="s">
        <v>182</v>
      </c>
    </row>
    <row r="296" spans="1:5" x14ac:dyDescent="0.25">
      <c r="A296" s="8">
        <v>16.2</v>
      </c>
      <c r="B296" s="8">
        <f t="shared" si="2"/>
        <v>16.2</v>
      </c>
      <c r="C296" s="6">
        <v>76</v>
      </c>
      <c r="D296" s="6">
        <v>5</v>
      </c>
      <c r="E296" s="4" t="s">
        <v>182</v>
      </c>
    </row>
    <row r="297" spans="1:5" x14ac:dyDescent="0.25">
      <c r="A297" s="8">
        <v>16.329999999999998</v>
      </c>
      <c r="B297" s="8">
        <f t="shared" si="2"/>
        <v>16.333333333333336</v>
      </c>
      <c r="C297" s="6">
        <v>46</v>
      </c>
      <c r="D297" s="6">
        <v>3</v>
      </c>
      <c r="E297" s="4" t="s">
        <v>182</v>
      </c>
    </row>
    <row r="298" spans="1:5" x14ac:dyDescent="0.25">
      <c r="A298" s="8">
        <v>16.399999999999999</v>
      </c>
      <c r="B298" s="8">
        <f t="shared" si="2"/>
        <v>16.399999999999999</v>
      </c>
      <c r="C298" s="6">
        <v>77</v>
      </c>
      <c r="D298" s="6">
        <v>5</v>
      </c>
      <c r="E298" s="4" t="s">
        <v>182</v>
      </c>
    </row>
    <row r="299" spans="1:5" x14ac:dyDescent="0.25">
      <c r="A299" s="8">
        <v>16.5</v>
      </c>
      <c r="B299" s="8">
        <f t="shared" si="2"/>
        <v>16.5</v>
      </c>
      <c r="C299" s="6">
        <v>31</v>
      </c>
      <c r="D299" s="6">
        <v>2</v>
      </c>
      <c r="E299" s="4" t="s">
        <v>183</v>
      </c>
    </row>
    <row r="300" spans="1:5" x14ac:dyDescent="0.25">
      <c r="A300" s="8">
        <v>16.600000000000001</v>
      </c>
      <c r="B300" s="8">
        <f t="shared" si="2"/>
        <v>16.600000000000001</v>
      </c>
      <c r="C300" s="6">
        <v>78</v>
      </c>
      <c r="D300" s="6">
        <v>5</v>
      </c>
      <c r="E300" s="4" t="s">
        <v>183</v>
      </c>
    </row>
    <row r="301" spans="1:5" x14ac:dyDescent="0.25">
      <c r="A301" s="8">
        <v>16.8</v>
      </c>
      <c r="B301" s="8">
        <f t="shared" si="2"/>
        <v>16.8</v>
      </c>
      <c r="C301" s="6">
        <v>79</v>
      </c>
      <c r="D301" s="6">
        <v>5</v>
      </c>
      <c r="E301" s="4" t="s">
        <v>183</v>
      </c>
    </row>
    <row r="302" spans="1:5" x14ac:dyDescent="0.25">
      <c r="A302" s="8">
        <v>17</v>
      </c>
      <c r="B302" s="8">
        <f t="shared" si="2"/>
        <v>17</v>
      </c>
      <c r="C302" s="6">
        <v>16</v>
      </c>
      <c r="D302" s="6">
        <v>1</v>
      </c>
      <c r="E302" s="4" t="s">
        <v>30</v>
      </c>
    </row>
    <row r="303" spans="1:5" x14ac:dyDescent="0.25">
      <c r="A303" s="8">
        <v>17.2</v>
      </c>
      <c r="B303" s="8">
        <f t="shared" si="2"/>
        <v>17.2</v>
      </c>
      <c r="C303" s="6">
        <v>81</v>
      </c>
      <c r="D303" s="6">
        <v>5</v>
      </c>
      <c r="E303" s="4" t="s">
        <v>30</v>
      </c>
    </row>
    <row r="304" spans="1:5" x14ac:dyDescent="0.25">
      <c r="A304" s="8">
        <v>17.329999999999998</v>
      </c>
      <c r="B304" s="8">
        <f t="shared" si="2"/>
        <v>17.333333333333332</v>
      </c>
      <c r="C304" s="6">
        <v>49</v>
      </c>
      <c r="D304" s="6">
        <v>3</v>
      </c>
      <c r="E304" s="4" t="s">
        <v>30</v>
      </c>
    </row>
    <row r="305" spans="1:5" x14ac:dyDescent="0.25">
      <c r="A305" s="8">
        <v>17.399999999999999</v>
      </c>
      <c r="B305" s="8">
        <f t="shared" si="2"/>
        <v>17.399999999999999</v>
      </c>
      <c r="C305" s="6">
        <v>82</v>
      </c>
      <c r="D305" s="6">
        <v>5</v>
      </c>
      <c r="E305" s="4" t="s">
        <v>30</v>
      </c>
    </row>
    <row r="306" spans="1:5" x14ac:dyDescent="0.25">
      <c r="A306" s="8">
        <v>17.5</v>
      </c>
      <c r="B306" s="8">
        <f t="shared" si="2"/>
        <v>17.5</v>
      </c>
      <c r="C306" s="6">
        <v>33</v>
      </c>
      <c r="D306" s="6">
        <v>2</v>
      </c>
      <c r="E306" s="4" t="s">
        <v>184</v>
      </c>
    </row>
    <row r="307" spans="1:5" x14ac:dyDescent="0.25">
      <c r="A307" s="8">
        <v>17.600000000000001</v>
      </c>
      <c r="B307" s="8">
        <f t="shared" si="2"/>
        <v>17.600000000000001</v>
      </c>
      <c r="C307" s="6">
        <v>83</v>
      </c>
      <c r="D307" s="6">
        <v>5</v>
      </c>
      <c r="E307" s="4" t="s">
        <v>184</v>
      </c>
    </row>
    <row r="308" spans="1:5" x14ac:dyDescent="0.25">
      <c r="A308" s="8">
        <v>17.8</v>
      </c>
      <c r="B308" s="8">
        <f t="shared" si="2"/>
        <v>17.8</v>
      </c>
      <c r="C308" s="6">
        <v>84</v>
      </c>
      <c r="D308" s="6">
        <v>5</v>
      </c>
      <c r="E308" s="4" t="s">
        <v>184</v>
      </c>
    </row>
    <row r="309" spans="1:5" x14ac:dyDescent="0.25">
      <c r="A309" s="8">
        <v>18</v>
      </c>
      <c r="B309" s="8">
        <f t="shared" si="2"/>
        <v>18</v>
      </c>
      <c r="C309" s="6">
        <v>17</v>
      </c>
      <c r="D309" s="6">
        <v>1</v>
      </c>
      <c r="E309" s="4" t="s">
        <v>185</v>
      </c>
    </row>
    <row r="310" spans="1:5" x14ac:dyDescent="0.25">
      <c r="A310" s="8">
        <v>18.2</v>
      </c>
      <c r="B310" s="8">
        <f t="shared" si="2"/>
        <v>18.2</v>
      </c>
      <c r="C310" s="6">
        <v>86</v>
      </c>
      <c r="D310" s="6">
        <v>5</v>
      </c>
      <c r="E310" s="4" t="s">
        <v>185</v>
      </c>
    </row>
    <row r="311" spans="1:5" x14ac:dyDescent="0.25">
      <c r="A311" s="8">
        <v>18.329999999999998</v>
      </c>
      <c r="B311" s="8">
        <f t="shared" si="2"/>
        <v>18.333333333333332</v>
      </c>
      <c r="C311" s="6">
        <v>52</v>
      </c>
      <c r="D311" s="6">
        <v>3</v>
      </c>
      <c r="E311" s="4" t="s">
        <v>185</v>
      </c>
    </row>
    <row r="312" spans="1:5" x14ac:dyDescent="0.25">
      <c r="A312" s="8">
        <v>18.399999999999999</v>
      </c>
      <c r="B312" s="8">
        <f t="shared" si="2"/>
        <v>18.399999999999999</v>
      </c>
      <c r="C312" s="6">
        <v>87</v>
      </c>
      <c r="D312" s="6">
        <v>5</v>
      </c>
      <c r="E312" s="4" t="s">
        <v>185</v>
      </c>
    </row>
    <row r="313" spans="1:5" x14ac:dyDescent="0.25">
      <c r="A313" s="8">
        <v>18.5</v>
      </c>
      <c r="B313" s="8">
        <f t="shared" si="2"/>
        <v>18.5</v>
      </c>
      <c r="C313" s="6">
        <v>35</v>
      </c>
      <c r="D313" s="6">
        <v>2</v>
      </c>
      <c r="E313" s="4" t="s">
        <v>186</v>
      </c>
    </row>
    <row r="314" spans="1:5" x14ac:dyDescent="0.25">
      <c r="A314" s="8">
        <v>18.600000000000001</v>
      </c>
      <c r="B314" s="8">
        <f t="shared" si="2"/>
        <v>18.600000000000001</v>
      </c>
      <c r="C314" s="6">
        <v>88</v>
      </c>
      <c r="D314" s="6">
        <v>5</v>
      </c>
      <c r="E314" s="4" t="s">
        <v>186</v>
      </c>
    </row>
    <row r="315" spans="1:5" x14ac:dyDescent="0.25">
      <c r="A315" s="8">
        <v>18.8</v>
      </c>
      <c r="B315" s="8">
        <f t="shared" si="2"/>
        <v>18.8</v>
      </c>
      <c r="C315" s="6">
        <v>89</v>
      </c>
      <c r="D315" s="6">
        <v>5</v>
      </c>
      <c r="E315" s="4" t="s">
        <v>186</v>
      </c>
    </row>
    <row r="316" spans="1:5" x14ac:dyDescent="0.25">
      <c r="A316" s="8">
        <v>19</v>
      </c>
      <c r="B316" s="8">
        <f t="shared" si="2"/>
        <v>19</v>
      </c>
      <c r="C316" s="6">
        <v>18</v>
      </c>
      <c r="D316" s="6">
        <v>1</v>
      </c>
      <c r="E316" s="4" t="s">
        <v>187</v>
      </c>
    </row>
    <row r="317" spans="1:5" x14ac:dyDescent="0.25">
      <c r="A317" s="8">
        <v>19.2</v>
      </c>
      <c r="B317" s="8">
        <f t="shared" si="2"/>
        <v>19.2</v>
      </c>
      <c r="C317" s="6">
        <v>91</v>
      </c>
      <c r="D317" s="6">
        <v>5</v>
      </c>
      <c r="E317" s="4" t="s">
        <v>187</v>
      </c>
    </row>
    <row r="318" spans="1:5" x14ac:dyDescent="0.25">
      <c r="A318" s="8">
        <v>19.329999999999998</v>
      </c>
      <c r="B318" s="8">
        <f t="shared" si="2"/>
        <v>19.333333333333332</v>
      </c>
      <c r="C318" s="6">
        <v>55</v>
      </c>
      <c r="D318" s="6">
        <v>3</v>
      </c>
      <c r="E318" s="4" t="s">
        <v>187</v>
      </c>
    </row>
    <row r="319" spans="1:5" x14ac:dyDescent="0.25">
      <c r="A319" s="8">
        <v>19.399999999999999</v>
      </c>
      <c r="B319" s="8">
        <f t="shared" si="2"/>
        <v>19.399999999999999</v>
      </c>
      <c r="C319" s="6">
        <v>92</v>
      </c>
      <c r="D319" s="6">
        <v>5</v>
      </c>
      <c r="E319" s="4" t="s">
        <v>187</v>
      </c>
    </row>
    <row r="320" spans="1:5" x14ac:dyDescent="0.25">
      <c r="A320" s="8">
        <v>19.5</v>
      </c>
      <c r="B320" s="8">
        <f t="shared" si="2"/>
        <v>19.5</v>
      </c>
      <c r="C320" s="6">
        <v>37</v>
      </c>
      <c r="D320" s="6">
        <v>2</v>
      </c>
      <c r="E320" s="4" t="s">
        <v>188</v>
      </c>
    </row>
    <row r="321" spans="1:5" x14ac:dyDescent="0.25">
      <c r="A321" s="8">
        <v>19.600000000000001</v>
      </c>
      <c r="B321" s="8">
        <f t="shared" si="2"/>
        <v>19.600000000000001</v>
      </c>
      <c r="C321" s="6">
        <v>93</v>
      </c>
      <c r="D321" s="6">
        <v>5</v>
      </c>
      <c r="E321" s="4" t="s">
        <v>188</v>
      </c>
    </row>
    <row r="322" spans="1:5" x14ac:dyDescent="0.25">
      <c r="A322" s="8">
        <v>19.8</v>
      </c>
      <c r="B322" s="8">
        <f t="shared" si="2"/>
        <v>19.8</v>
      </c>
      <c r="C322" s="6">
        <v>94</v>
      </c>
      <c r="D322" s="6">
        <v>5</v>
      </c>
      <c r="E322" s="4" t="s">
        <v>188</v>
      </c>
    </row>
    <row r="323" spans="1:5" x14ac:dyDescent="0.25">
      <c r="A323" s="8">
        <v>20</v>
      </c>
      <c r="B323" s="8">
        <f t="shared" si="2"/>
        <v>20</v>
      </c>
      <c r="C323" s="6">
        <v>19</v>
      </c>
      <c r="D323" s="6">
        <v>1</v>
      </c>
      <c r="E323" s="4" t="s">
        <v>189</v>
      </c>
    </row>
    <row r="324" spans="1:5" x14ac:dyDescent="0.25">
      <c r="A324" s="8">
        <v>20.2</v>
      </c>
      <c r="B324" s="8">
        <f t="shared" si="2"/>
        <v>20.2</v>
      </c>
      <c r="C324" s="6">
        <v>96</v>
      </c>
      <c r="D324" s="6">
        <v>5</v>
      </c>
      <c r="E324" s="4" t="s">
        <v>189</v>
      </c>
    </row>
    <row r="325" spans="1:5" x14ac:dyDescent="0.25">
      <c r="A325" s="8">
        <v>20.329999999999998</v>
      </c>
      <c r="B325" s="8">
        <f t="shared" si="2"/>
        <v>20.333333333333332</v>
      </c>
      <c r="C325" s="6">
        <v>58</v>
      </c>
      <c r="D325" s="6">
        <v>3</v>
      </c>
      <c r="E325" s="4" t="s">
        <v>189</v>
      </c>
    </row>
    <row r="326" spans="1:5" x14ac:dyDescent="0.25">
      <c r="A326" s="8">
        <v>20.399999999999999</v>
      </c>
      <c r="B326" s="8">
        <f t="shared" si="2"/>
        <v>20.399999999999999</v>
      </c>
      <c r="C326" s="6">
        <v>97</v>
      </c>
      <c r="D326" s="6">
        <v>5</v>
      </c>
      <c r="E326" s="4" t="s">
        <v>189</v>
      </c>
    </row>
    <row r="327" spans="1:5" x14ac:dyDescent="0.25">
      <c r="A327" s="8">
        <v>20.5</v>
      </c>
      <c r="B327" s="8">
        <f t="shared" si="2"/>
        <v>20.5</v>
      </c>
      <c r="C327" s="6">
        <v>39</v>
      </c>
      <c r="D327" s="6">
        <v>2</v>
      </c>
      <c r="E327" s="4" t="s">
        <v>190</v>
      </c>
    </row>
    <row r="328" spans="1:5" x14ac:dyDescent="0.25">
      <c r="A328" s="8">
        <v>20.6</v>
      </c>
      <c r="B328" s="8">
        <f t="shared" si="2"/>
        <v>20.6</v>
      </c>
      <c r="C328" s="6">
        <v>98</v>
      </c>
      <c r="D328" s="6">
        <v>5</v>
      </c>
      <c r="E328" s="4" t="s">
        <v>190</v>
      </c>
    </row>
    <row r="329" spans="1:5" x14ac:dyDescent="0.25">
      <c r="A329" s="8">
        <v>20.8</v>
      </c>
      <c r="B329" s="8">
        <f t="shared" si="2"/>
        <v>20.8</v>
      </c>
      <c r="C329" s="6">
        <v>99</v>
      </c>
      <c r="D329" s="6">
        <v>5</v>
      </c>
      <c r="E329" s="4" t="s">
        <v>190</v>
      </c>
    </row>
    <row r="330" spans="1:5" x14ac:dyDescent="0.25">
      <c r="A330" s="8">
        <v>21</v>
      </c>
      <c r="B330" s="8">
        <f t="shared" si="2"/>
        <v>21</v>
      </c>
      <c r="C330" s="6">
        <v>20</v>
      </c>
      <c r="D330" s="6">
        <v>1</v>
      </c>
      <c r="E330" s="4" t="s">
        <v>29</v>
      </c>
    </row>
    <row r="331" spans="1:5" x14ac:dyDescent="0.25">
      <c r="A331" s="8">
        <v>22</v>
      </c>
      <c r="B331" s="8">
        <f t="shared" si="2"/>
        <v>22</v>
      </c>
      <c r="C331" s="6">
        <v>21</v>
      </c>
      <c r="D331" s="6">
        <v>1</v>
      </c>
      <c r="E331" s="4" t="s">
        <v>191</v>
      </c>
    </row>
    <row r="332" spans="1:5" x14ac:dyDescent="0.25">
      <c r="A332" s="8">
        <v>23</v>
      </c>
      <c r="B332" s="8">
        <f t="shared" si="2"/>
        <v>23</v>
      </c>
      <c r="C332" s="6">
        <v>22</v>
      </c>
      <c r="D332" s="6">
        <v>1</v>
      </c>
      <c r="E332" s="4" t="s">
        <v>192</v>
      </c>
    </row>
    <row r="333" spans="1:5" x14ac:dyDescent="0.25">
      <c r="A333" s="8">
        <v>24</v>
      </c>
      <c r="B333" s="8">
        <f t="shared" si="2"/>
        <v>24</v>
      </c>
      <c r="C333" s="6">
        <v>23</v>
      </c>
      <c r="D333" s="6">
        <v>1</v>
      </c>
      <c r="E333" s="4" t="s">
        <v>193</v>
      </c>
    </row>
    <row r="334" spans="1:5" x14ac:dyDescent="0.25">
      <c r="A334" s="8">
        <v>25</v>
      </c>
      <c r="B334" s="8">
        <f t="shared" si="2"/>
        <v>25</v>
      </c>
      <c r="C334" s="6">
        <v>24</v>
      </c>
      <c r="D334" s="6">
        <v>1</v>
      </c>
      <c r="E334" s="4" t="s">
        <v>194</v>
      </c>
    </row>
    <row r="335" spans="1:5" x14ac:dyDescent="0.25">
      <c r="A335" s="8">
        <v>26</v>
      </c>
      <c r="B335" s="8">
        <f t="shared" si="2"/>
        <v>26</v>
      </c>
      <c r="C335" s="6">
        <v>25</v>
      </c>
      <c r="D335" s="6">
        <v>1</v>
      </c>
      <c r="E335" s="4" t="s">
        <v>96</v>
      </c>
    </row>
    <row r="336" spans="1:5" x14ac:dyDescent="0.25">
      <c r="A336" s="8">
        <v>27</v>
      </c>
      <c r="B336" s="8">
        <f t="shared" si="2"/>
        <v>27</v>
      </c>
      <c r="C336" s="6">
        <v>26</v>
      </c>
      <c r="D336" s="6">
        <v>1</v>
      </c>
      <c r="E336" s="4" t="s">
        <v>195</v>
      </c>
    </row>
    <row r="337" spans="1:5" x14ac:dyDescent="0.25">
      <c r="A337" s="8">
        <v>28</v>
      </c>
      <c r="B337" s="8">
        <f t="shared" si="2"/>
        <v>28</v>
      </c>
      <c r="C337" s="6">
        <v>27</v>
      </c>
      <c r="D337" s="6">
        <v>1</v>
      </c>
      <c r="E337" s="4" t="s">
        <v>196</v>
      </c>
    </row>
    <row r="338" spans="1:5" x14ac:dyDescent="0.25">
      <c r="A338" s="8">
        <v>29</v>
      </c>
      <c r="B338" s="8">
        <f t="shared" si="2"/>
        <v>29</v>
      </c>
      <c r="C338" s="6">
        <v>28</v>
      </c>
      <c r="D338" s="6">
        <v>1</v>
      </c>
      <c r="E338" s="4" t="s">
        <v>197</v>
      </c>
    </row>
    <row r="339" spans="1:5" x14ac:dyDescent="0.25">
      <c r="A339" s="8">
        <v>30</v>
      </c>
      <c r="B339" s="8">
        <f t="shared" si="2"/>
        <v>30</v>
      </c>
      <c r="C339" s="6">
        <v>29</v>
      </c>
      <c r="D339" s="6">
        <v>1</v>
      </c>
      <c r="E339" s="4" t="s">
        <v>198</v>
      </c>
    </row>
    <row r="340" spans="1:5" x14ac:dyDescent="0.25">
      <c r="A340" s="8">
        <v>31</v>
      </c>
      <c r="B340" s="8">
        <f t="shared" si="2"/>
        <v>31</v>
      </c>
      <c r="C340" s="6">
        <v>30</v>
      </c>
      <c r="D340" s="6">
        <v>1</v>
      </c>
      <c r="E340" s="4" t="s">
        <v>199</v>
      </c>
    </row>
    <row r="341" spans="1:5" x14ac:dyDescent="0.25">
      <c r="A341" s="8">
        <v>32</v>
      </c>
      <c r="B341" s="8">
        <f t="shared" si="2"/>
        <v>32</v>
      </c>
      <c r="C341" s="6">
        <v>31</v>
      </c>
      <c r="D341" s="6">
        <v>1</v>
      </c>
      <c r="E341" s="4" t="s">
        <v>200</v>
      </c>
    </row>
    <row r="342" spans="1:5" x14ac:dyDescent="0.25">
      <c r="A342" s="8">
        <v>33</v>
      </c>
      <c r="B342" s="8">
        <f t="shared" si="2"/>
        <v>33</v>
      </c>
      <c r="C342" s="6">
        <v>32</v>
      </c>
      <c r="D342" s="6">
        <v>1</v>
      </c>
      <c r="E342" s="4" t="s">
        <v>201</v>
      </c>
    </row>
    <row r="343" spans="1:5" x14ac:dyDescent="0.25">
      <c r="A343" s="8">
        <v>34</v>
      </c>
      <c r="B343" s="8">
        <f t="shared" si="2"/>
        <v>34</v>
      </c>
      <c r="C343" s="6">
        <v>33</v>
      </c>
      <c r="D343" s="6">
        <v>1</v>
      </c>
      <c r="E343" s="4" t="s">
        <v>202</v>
      </c>
    </row>
    <row r="344" spans="1:5" x14ac:dyDescent="0.25">
      <c r="A344" s="8">
        <v>35</v>
      </c>
      <c r="B344" s="8">
        <f t="shared" si="2"/>
        <v>35</v>
      </c>
      <c r="C344" s="6">
        <v>34</v>
      </c>
      <c r="D344" s="6">
        <v>1</v>
      </c>
      <c r="E344" s="4" t="s">
        <v>203</v>
      </c>
    </row>
    <row r="345" spans="1:5" x14ac:dyDescent="0.25">
      <c r="A345" s="8">
        <v>36</v>
      </c>
      <c r="B345" s="8">
        <f t="shared" si="2"/>
        <v>36</v>
      </c>
      <c r="C345" s="6">
        <v>35</v>
      </c>
      <c r="D345" s="6">
        <v>1</v>
      </c>
      <c r="E345" s="4" t="s">
        <v>204</v>
      </c>
    </row>
    <row r="346" spans="1:5" x14ac:dyDescent="0.25">
      <c r="A346" s="8">
        <v>37</v>
      </c>
      <c r="B346" s="8">
        <f t="shared" si="2"/>
        <v>37</v>
      </c>
      <c r="C346" s="6">
        <v>36</v>
      </c>
      <c r="D346" s="6">
        <v>1</v>
      </c>
      <c r="E346" s="4" t="s">
        <v>205</v>
      </c>
    </row>
    <row r="347" spans="1:5" x14ac:dyDescent="0.25">
      <c r="A347" s="8">
        <v>38</v>
      </c>
      <c r="B347" s="8">
        <f t="shared" si="2"/>
        <v>38</v>
      </c>
      <c r="C347" s="6">
        <v>37</v>
      </c>
      <c r="D347" s="6">
        <v>1</v>
      </c>
      <c r="E347" s="4" t="s">
        <v>206</v>
      </c>
    </row>
    <row r="348" spans="1:5" x14ac:dyDescent="0.25">
      <c r="A348" s="8">
        <v>39</v>
      </c>
      <c r="B348" s="8">
        <f t="shared" si="2"/>
        <v>39</v>
      </c>
      <c r="C348" s="6">
        <v>38</v>
      </c>
      <c r="D348" s="6">
        <v>1</v>
      </c>
      <c r="E348" s="4" t="s">
        <v>207</v>
      </c>
    </row>
    <row r="349" spans="1:5" x14ac:dyDescent="0.25">
      <c r="A349" s="8">
        <v>40</v>
      </c>
      <c r="B349" s="8">
        <f t="shared" si="2"/>
        <v>40</v>
      </c>
      <c r="C349" s="6">
        <v>39</v>
      </c>
      <c r="D349" s="6">
        <v>1</v>
      </c>
      <c r="E349" s="4" t="s">
        <v>208</v>
      </c>
    </row>
    <row r="350" spans="1:5" x14ac:dyDescent="0.25">
      <c r="A350" s="8">
        <v>41</v>
      </c>
      <c r="B350" s="8">
        <f t="shared" si="2"/>
        <v>41</v>
      </c>
      <c r="C350" s="6">
        <v>40</v>
      </c>
      <c r="D350" s="6">
        <v>1</v>
      </c>
      <c r="E350" s="4" t="s">
        <v>209</v>
      </c>
    </row>
    <row r="351" spans="1:5" x14ac:dyDescent="0.25">
      <c r="A351" s="8">
        <v>42</v>
      </c>
      <c r="B351" s="8">
        <f t="shared" si="2"/>
        <v>42</v>
      </c>
      <c r="C351" s="6">
        <v>41</v>
      </c>
      <c r="D351" s="6">
        <v>1</v>
      </c>
      <c r="E351" s="4" t="s">
        <v>210</v>
      </c>
    </row>
    <row r="352" spans="1:5" x14ac:dyDescent="0.25">
      <c r="A352" s="8">
        <v>43</v>
      </c>
      <c r="B352" s="8">
        <f t="shared" ref="B352:B409" si="3">1+C352/D352</f>
        <v>43</v>
      </c>
      <c r="C352" s="6">
        <v>42</v>
      </c>
      <c r="D352" s="6">
        <v>1</v>
      </c>
      <c r="E352" s="4" t="s">
        <v>211</v>
      </c>
    </row>
    <row r="353" spans="1:5" x14ac:dyDescent="0.25">
      <c r="A353" s="8">
        <v>43</v>
      </c>
      <c r="B353" s="8">
        <f t="shared" si="3"/>
        <v>43</v>
      </c>
      <c r="C353" s="6">
        <v>42</v>
      </c>
      <c r="D353" s="6">
        <v>1</v>
      </c>
      <c r="E353" s="4" t="s">
        <v>211</v>
      </c>
    </row>
    <row r="354" spans="1:5" x14ac:dyDescent="0.25">
      <c r="A354" s="8">
        <v>44</v>
      </c>
      <c r="B354" s="8">
        <f t="shared" si="3"/>
        <v>44</v>
      </c>
      <c r="C354" s="6">
        <v>43</v>
      </c>
      <c r="D354" s="6">
        <v>1</v>
      </c>
      <c r="E354" s="4" t="s">
        <v>212</v>
      </c>
    </row>
    <row r="355" spans="1:5" x14ac:dyDescent="0.25">
      <c r="A355" s="8">
        <v>45</v>
      </c>
      <c r="B355" s="8">
        <f t="shared" si="3"/>
        <v>45</v>
      </c>
      <c r="C355" s="6">
        <v>44</v>
      </c>
      <c r="D355" s="6">
        <v>1</v>
      </c>
      <c r="E355" s="4" t="s">
        <v>213</v>
      </c>
    </row>
    <row r="356" spans="1:5" x14ac:dyDescent="0.25">
      <c r="A356" s="8">
        <v>46</v>
      </c>
      <c r="B356" s="8">
        <f t="shared" si="3"/>
        <v>46</v>
      </c>
      <c r="C356" s="6">
        <v>45</v>
      </c>
      <c r="D356" s="6">
        <v>1</v>
      </c>
      <c r="E356" s="4" t="s">
        <v>214</v>
      </c>
    </row>
    <row r="357" spans="1:5" x14ac:dyDescent="0.25">
      <c r="A357" s="8">
        <v>47</v>
      </c>
      <c r="B357" s="8">
        <f t="shared" si="3"/>
        <v>47</v>
      </c>
      <c r="C357" s="6">
        <v>46</v>
      </c>
      <c r="D357" s="6">
        <v>1</v>
      </c>
      <c r="E357" s="4" t="s">
        <v>215</v>
      </c>
    </row>
    <row r="358" spans="1:5" x14ac:dyDescent="0.25">
      <c r="A358" s="8">
        <v>48</v>
      </c>
      <c r="B358" s="8">
        <f t="shared" si="3"/>
        <v>48</v>
      </c>
      <c r="C358" s="6">
        <v>47</v>
      </c>
      <c r="D358" s="6">
        <v>1</v>
      </c>
      <c r="E358" s="4" t="s">
        <v>216</v>
      </c>
    </row>
    <row r="359" spans="1:5" x14ac:dyDescent="0.25">
      <c r="A359" s="8">
        <v>49</v>
      </c>
      <c r="B359" s="8">
        <f t="shared" si="3"/>
        <v>49</v>
      </c>
      <c r="C359" s="6">
        <v>48</v>
      </c>
      <c r="D359" s="6">
        <v>1</v>
      </c>
      <c r="E359" s="4" t="s">
        <v>217</v>
      </c>
    </row>
    <row r="360" spans="1:5" x14ac:dyDescent="0.25">
      <c r="A360" s="8">
        <v>50</v>
      </c>
      <c r="B360" s="8">
        <f t="shared" si="3"/>
        <v>50</v>
      </c>
      <c r="C360" s="6">
        <v>49</v>
      </c>
      <c r="D360" s="6">
        <v>1</v>
      </c>
      <c r="E360" s="4" t="s">
        <v>218</v>
      </c>
    </row>
    <row r="361" spans="1:5" x14ac:dyDescent="0.25">
      <c r="A361" s="8">
        <v>51</v>
      </c>
      <c r="B361" s="8">
        <f t="shared" si="3"/>
        <v>51</v>
      </c>
      <c r="C361" s="6">
        <v>50</v>
      </c>
      <c r="D361" s="6">
        <v>1</v>
      </c>
      <c r="E361" s="4" t="s">
        <v>219</v>
      </c>
    </row>
    <row r="362" spans="1:5" x14ac:dyDescent="0.25">
      <c r="A362" s="8">
        <v>52</v>
      </c>
      <c r="B362" s="8">
        <f t="shared" si="3"/>
        <v>52</v>
      </c>
      <c r="C362" s="6">
        <v>51</v>
      </c>
      <c r="D362" s="6">
        <v>1</v>
      </c>
      <c r="E362" s="4" t="s">
        <v>220</v>
      </c>
    </row>
    <row r="363" spans="1:5" x14ac:dyDescent="0.25">
      <c r="A363" s="8">
        <v>53</v>
      </c>
      <c r="B363" s="8">
        <f t="shared" si="3"/>
        <v>53</v>
      </c>
      <c r="C363" s="6">
        <v>52</v>
      </c>
      <c r="D363" s="6">
        <v>1</v>
      </c>
      <c r="E363" s="4" t="s">
        <v>221</v>
      </c>
    </row>
    <row r="364" spans="1:5" x14ac:dyDescent="0.25">
      <c r="A364" s="8">
        <v>54</v>
      </c>
      <c r="B364" s="8">
        <f t="shared" si="3"/>
        <v>54</v>
      </c>
      <c r="C364" s="6">
        <v>53</v>
      </c>
      <c r="D364" s="6">
        <v>1</v>
      </c>
      <c r="E364" s="4" t="s">
        <v>222</v>
      </c>
    </row>
    <row r="365" spans="1:5" x14ac:dyDescent="0.25">
      <c r="A365" s="8">
        <v>55</v>
      </c>
      <c r="B365" s="8">
        <f t="shared" si="3"/>
        <v>55</v>
      </c>
      <c r="C365" s="6">
        <v>54</v>
      </c>
      <c r="D365" s="6">
        <v>1</v>
      </c>
      <c r="E365" s="4" t="s">
        <v>223</v>
      </c>
    </row>
    <row r="366" spans="1:5" x14ac:dyDescent="0.25">
      <c r="A366" s="8">
        <v>56</v>
      </c>
      <c r="B366" s="8">
        <f t="shared" si="3"/>
        <v>56</v>
      </c>
      <c r="C366" s="6">
        <v>55</v>
      </c>
      <c r="D366" s="6">
        <v>1</v>
      </c>
      <c r="E366" s="4" t="s">
        <v>224</v>
      </c>
    </row>
    <row r="367" spans="1:5" x14ac:dyDescent="0.25">
      <c r="A367" s="8">
        <v>57</v>
      </c>
      <c r="B367" s="8">
        <f t="shared" si="3"/>
        <v>57</v>
      </c>
      <c r="C367" s="6">
        <v>56</v>
      </c>
      <c r="D367" s="6">
        <v>1</v>
      </c>
      <c r="E367" s="4" t="s">
        <v>225</v>
      </c>
    </row>
    <row r="368" spans="1:5" x14ac:dyDescent="0.25">
      <c r="A368" s="8">
        <v>58</v>
      </c>
      <c r="B368" s="8">
        <f t="shared" si="3"/>
        <v>58</v>
      </c>
      <c r="C368" s="6">
        <v>57</v>
      </c>
      <c r="D368" s="6">
        <v>1</v>
      </c>
      <c r="E368" s="4" t="s">
        <v>226</v>
      </c>
    </row>
    <row r="369" spans="1:5" x14ac:dyDescent="0.25">
      <c r="A369" s="8">
        <v>59</v>
      </c>
      <c r="B369" s="8">
        <f t="shared" si="3"/>
        <v>59</v>
      </c>
      <c r="C369" s="6">
        <v>58</v>
      </c>
      <c r="D369" s="6">
        <v>1</v>
      </c>
      <c r="E369" s="4" t="s">
        <v>227</v>
      </c>
    </row>
    <row r="370" spans="1:5" x14ac:dyDescent="0.25">
      <c r="A370" s="8">
        <v>60</v>
      </c>
      <c r="B370" s="8">
        <f t="shared" si="3"/>
        <v>60</v>
      </c>
      <c r="C370" s="6">
        <v>59</v>
      </c>
      <c r="D370" s="6">
        <v>1</v>
      </c>
      <c r="E370" s="4" t="s">
        <v>228</v>
      </c>
    </row>
    <row r="371" spans="1:5" x14ac:dyDescent="0.25">
      <c r="A371" s="8">
        <v>61</v>
      </c>
      <c r="B371" s="8">
        <f t="shared" si="3"/>
        <v>61</v>
      </c>
      <c r="C371" s="6">
        <v>60</v>
      </c>
      <c r="D371" s="6">
        <v>1</v>
      </c>
      <c r="E371" s="4" t="s">
        <v>229</v>
      </c>
    </row>
    <row r="372" spans="1:5" x14ac:dyDescent="0.25">
      <c r="A372" s="8">
        <v>62</v>
      </c>
      <c r="B372" s="8">
        <f t="shared" si="3"/>
        <v>62</v>
      </c>
      <c r="C372" s="6">
        <v>61</v>
      </c>
      <c r="D372" s="6">
        <v>1</v>
      </c>
      <c r="E372" s="4" t="s">
        <v>230</v>
      </c>
    </row>
    <row r="373" spans="1:5" x14ac:dyDescent="0.25">
      <c r="A373" s="8">
        <v>63</v>
      </c>
      <c r="B373" s="8">
        <f t="shared" si="3"/>
        <v>63</v>
      </c>
      <c r="C373" s="6">
        <v>62</v>
      </c>
      <c r="D373" s="6">
        <v>1</v>
      </c>
      <c r="E373" s="4" t="s">
        <v>231</v>
      </c>
    </row>
    <row r="374" spans="1:5" x14ac:dyDescent="0.25">
      <c r="A374" s="8">
        <v>64</v>
      </c>
      <c r="B374" s="8">
        <f t="shared" si="3"/>
        <v>64</v>
      </c>
      <c r="C374" s="6">
        <v>63</v>
      </c>
      <c r="D374" s="6">
        <v>1</v>
      </c>
      <c r="E374" s="4" t="s">
        <v>232</v>
      </c>
    </row>
    <row r="375" spans="1:5" x14ac:dyDescent="0.25">
      <c r="A375" s="8">
        <v>65</v>
      </c>
      <c r="B375" s="8">
        <f t="shared" si="3"/>
        <v>65</v>
      </c>
      <c r="C375" s="6">
        <v>64</v>
      </c>
      <c r="D375" s="6">
        <v>1</v>
      </c>
      <c r="E375" s="4" t="s">
        <v>233</v>
      </c>
    </row>
    <row r="376" spans="1:5" x14ac:dyDescent="0.25">
      <c r="A376" s="8">
        <v>66</v>
      </c>
      <c r="B376" s="8">
        <f t="shared" si="3"/>
        <v>66</v>
      </c>
      <c r="C376" s="6">
        <v>65</v>
      </c>
      <c r="D376" s="6">
        <v>1</v>
      </c>
      <c r="E376" s="4" t="s">
        <v>234</v>
      </c>
    </row>
    <row r="377" spans="1:5" x14ac:dyDescent="0.25">
      <c r="A377" s="8">
        <v>67</v>
      </c>
      <c r="B377" s="8">
        <f t="shared" si="3"/>
        <v>67</v>
      </c>
      <c r="C377" s="6">
        <v>66</v>
      </c>
      <c r="D377" s="6">
        <v>1</v>
      </c>
      <c r="E377" s="4" t="s">
        <v>235</v>
      </c>
    </row>
    <row r="378" spans="1:5" x14ac:dyDescent="0.25">
      <c r="A378" s="8">
        <v>68</v>
      </c>
      <c r="B378" s="8">
        <f t="shared" si="3"/>
        <v>68</v>
      </c>
      <c r="C378" s="6">
        <v>67</v>
      </c>
      <c r="D378" s="6">
        <v>1</v>
      </c>
      <c r="E378" s="4" t="s">
        <v>236</v>
      </c>
    </row>
    <row r="379" spans="1:5" x14ac:dyDescent="0.25">
      <c r="A379" s="8">
        <v>69</v>
      </c>
      <c r="B379" s="8">
        <f t="shared" si="3"/>
        <v>69</v>
      </c>
      <c r="C379" s="6">
        <v>68</v>
      </c>
      <c r="D379" s="6">
        <v>1</v>
      </c>
      <c r="E379" s="4" t="s">
        <v>237</v>
      </c>
    </row>
    <row r="380" spans="1:5" x14ac:dyDescent="0.25">
      <c r="A380" s="8">
        <v>70</v>
      </c>
      <c r="B380" s="8">
        <f t="shared" si="3"/>
        <v>70</v>
      </c>
      <c r="C380" s="6">
        <v>69</v>
      </c>
      <c r="D380" s="6">
        <v>1</v>
      </c>
      <c r="E380" s="4" t="s">
        <v>238</v>
      </c>
    </row>
    <row r="381" spans="1:5" x14ac:dyDescent="0.25">
      <c r="A381" s="8">
        <v>71</v>
      </c>
      <c r="B381" s="8">
        <f t="shared" si="3"/>
        <v>71</v>
      </c>
      <c r="C381" s="6">
        <v>70</v>
      </c>
      <c r="D381" s="6">
        <v>1</v>
      </c>
      <c r="E381" s="4" t="s">
        <v>239</v>
      </c>
    </row>
    <row r="382" spans="1:5" x14ac:dyDescent="0.25">
      <c r="A382" s="8">
        <v>72</v>
      </c>
      <c r="B382" s="8">
        <f t="shared" si="3"/>
        <v>72</v>
      </c>
      <c r="C382" s="6">
        <v>71</v>
      </c>
      <c r="D382" s="6">
        <v>1</v>
      </c>
      <c r="E382" s="4" t="s">
        <v>240</v>
      </c>
    </row>
    <row r="383" spans="1:5" x14ac:dyDescent="0.25">
      <c r="A383" s="8">
        <v>73</v>
      </c>
      <c r="B383" s="8">
        <f t="shared" si="3"/>
        <v>73</v>
      </c>
      <c r="C383" s="6">
        <v>72</v>
      </c>
      <c r="D383" s="6">
        <v>1</v>
      </c>
      <c r="E383" s="4" t="s">
        <v>241</v>
      </c>
    </row>
    <row r="384" spans="1:5" x14ac:dyDescent="0.25">
      <c r="A384" s="8">
        <v>74</v>
      </c>
      <c r="B384" s="8">
        <f t="shared" si="3"/>
        <v>74</v>
      </c>
      <c r="C384" s="6">
        <v>73</v>
      </c>
      <c r="D384" s="6">
        <v>1</v>
      </c>
      <c r="E384" s="4" t="s">
        <v>242</v>
      </c>
    </row>
    <row r="385" spans="1:5" x14ac:dyDescent="0.25">
      <c r="A385" s="8">
        <v>75</v>
      </c>
      <c r="B385" s="8">
        <f t="shared" si="3"/>
        <v>75</v>
      </c>
      <c r="C385" s="6">
        <v>74</v>
      </c>
      <c r="D385" s="6">
        <v>1</v>
      </c>
      <c r="E385" s="4" t="s">
        <v>243</v>
      </c>
    </row>
    <row r="386" spans="1:5" x14ac:dyDescent="0.25">
      <c r="A386" s="8">
        <v>76</v>
      </c>
      <c r="B386" s="8">
        <f t="shared" si="3"/>
        <v>76</v>
      </c>
      <c r="C386" s="6">
        <v>75</v>
      </c>
      <c r="D386" s="6">
        <v>1</v>
      </c>
      <c r="E386" s="4" t="s">
        <v>244</v>
      </c>
    </row>
    <row r="387" spans="1:5" x14ac:dyDescent="0.25">
      <c r="A387" s="8">
        <v>77</v>
      </c>
      <c r="B387" s="8">
        <f t="shared" si="3"/>
        <v>77</v>
      </c>
      <c r="C387" s="6">
        <v>76</v>
      </c>
      <c r="D387" s="6">
        <v>1</v>
      </c>
      <c r="E387" s="4" t="s">
        <v>245</v>
      </c>
    </row>
    <row r="388" spans="1:5" x14ac:dyDescent="0.25">
      <c r="A388" s="8">
        <v>78</v>
      </c>
      <c r="B388" s="8">
        <f t="shared" si="3"/>
        <v>78</v>
      </c>
      <c r="C388" s="6">
        <v>77</v>
      </c>
      <c r="D388" s="6">
        <v>1</v>
      </c>
      <c r="E388" s="4" t="s">
        <v>246</v>
      </c>
    </row>
    <row r="389" spans="1:5" x14ac:dyDescent="0.25">
      <c r="A389" s="8">
        <v>79</v>
      </c>
      <c r="B389" s="8">
        <f t="shared" si="3"/>
        <v>79</v>
      </c>
      <c r="C389" s="6">
        <v>78</v>
      </c>
      <c r="D389" s="6">
        <v>1</v>
      </c>
      <c r="E389" s="4" t="s">
        <v>247</v>
      </c>
    </row>
    <row r="390" spans="1:5" x14ac:dyDescent="0.25">
      <c r="A390" s="8">
        <v>80</v>
      </c>
      <c r="B390" s="8">
        <f t="shared" si="3"/>
        <v>80</v>
      </c>
      <c r="C390" s="6">
        <v>79</v>
      </c>
      <c r="D390" s="6">
        <v>1</v>
      </c>
      <c r="E390" s="4" t="s">
        <v>248</v>
      </c>
    </row>
    <row r="391" spans="1:5" x14ac:dyDescent="0.25">
      <c r="A391" s="8">
        <v>81</v>
      </c>
      <c r="B391" s="8">
        <f t="shared" si="3"/>
        <v>81</v>
      </c>
      <c r="C391" s="6">
        <v>80</v>
      </c>
      <c r="D391" s="6">
        <v>1</v>
      </c>
      <c r="E391" s="4" t="s">
        <v>249</v>
      </c>
    </row>
    <row r="392" spans="1:5" x14ac:dyDescent="0.25">
      <c r="A392" s="8">
        <v>82</v>
      </c>
      <c r="B392" s="8">
        <f t="shared" si="3"/>
        <v>82</v>
      </c>
      <c r="C392" s="6">
        <v>81</v>
      </c>
      <c r="D392" s="6">
        <v>1</v>
      </c>
      <c r="E392" s="4" t="s">
        <v>250</v>
      </c>
    </row>
    <row r="393" spans="1:5" x14ac:dyDescent="0.25">
      <c r="A393" s="8">
        <v>83</v>
      </c>
      <c r="B393" s="8">
        <f t="shared" si="3"/>
        <v>83</v>
      </c>
      <c r="C393" s="6">
        <v>82</v>
      </c>
      <c r="D393" s="6">
        <v>1</v>
      </c>
      <c r="E393" s="4" t="s">
        <v>251</v>
      </c>
    </row>
    <row r="394" spans="1:5" x14ac:dyDescent="0.25">
      <c r="A394" s="8">
        <v>84</v>
      </c>
      <c r="B394" s="8">
        <f t="shared" si="3"/>
        <v>84</v>
      </c>
      <c r="C394" s="6">
        <v>83</v>
      </c>
      <c r="D394" s="6">
        <v>1</v>
      </c>
      <c r="E394" s="4" t="s">
        <v>252</v>
      </c>
    </row>
    <row r="395" spans="1:5" x14ac:dyDescent="0.25">
      <c r="A395" s="8">
        <v>85</v>
      </c>
      <c r="B395" s="8">
        <f t="shared" si="3"/>
        <v>85</v>
      </c>
      <c r="C395" s="6">
        <v>84</v>
      </c>
      <c r="D395" s="6">
        <v>1</v>
      </c>
      <c r="E395" s="4" t="s">
        <v>253</v>
      </c>
    </row>
    <row r="396" spans="1:5" x14ac:dyDescent="0.25">
      <c r="A396" s="8">
        <v>86</v>
      </c>
      <c r="B396" s="8">
        <f t="shared" si="3"/>
        <v>86</v>
      </c>
      <c r="C396" s="6">
        <v>85</v>
      </c>
      <c r="D396" s="6">
        <v>1</v>
      </c>
      <c r="E396" s="4" t="s">
        <v>254</v>
      </c>
    </row>
    <row r="397" spans="1:5" x14ac:dyDescent="0.25">
      <c r="A397" s="8">
        <v>87</v>
      </c>
      <c r="B397" s="8">
        <f t="shared" si="3"/>
        <v>87</v>
      </c>
      <c r="C397" s="6">
        <v>86</v>
      </c>
      <c r="D397" s="6">
        <v>1</v>
      </c>
      <c r="E397" s="4" t="s">
        <v>255</v>
      </c>
    </row>
    <row r="398" spans="1:5" x14ac:dyDescent="0.25">
      <c r="A398" s="8">
        <v>88</v>
      </c>
      <c r="B398" s="8">
        <f t="shared" si="3"/>
        <v>88</v>
      </c>
      <c r="C398" s="6">
        <v>87</v>
      </c>
      <c r="D398" s="6">
        <v>1</v>
      </c>
      <c r="E398" s="4" t="s">
        <v>256</v>
      </c>
    </row>
    <row r="399" spans="1:5" x14ac:dyDescent="0.25">
      <c r="A399" s="8">
        <v>89</v>
      </c>
      <c r="B399" s="8">
        <f t="shared" si="3"/>
        <v>89</v>
      </c>
      <c r="C399" s="6">
        <v>88</v>
      </c>
      <c r="D399" s="6">
        <v>1</v>
      </c>
      <c r="E399" s="4" t="s">
        <v>257</v>
      </c>
    </row>
    <row r="400" spans="1:5" x14ac:dyDescent="0.25">
      <c r="A400" s="8">
        <v>90</v>
      </c>
      <c r="B400" s="8">
        <f t="shared" si="3"/>
        <v>90</v>
      </c>
      <c r="C400" s="6">
        <v>89</v>
      </c>
      <c r="D400" s="6">
        <v>1</v>
      </c>
      <c r="E400" s="4" t="s">
        <v>258</v>
      </c>
    </row>
    <row r="401" spans="1:5" x14ac:dyDescent="0.25">
      <c r="A401" s="8">
        <v>91</v>
      </c>
      <c r="B401" s="8">
        <f t="shared" si="3"/>
        <v>91</v>
      </c>
      <c r="C401" s="6">
        <v>90</v>
      </c>
      <c r="D401" s="6">
        <v>1</v>
      </c>
      <c r="E401" s="4" t="s">
        <v>259</v>
      </c>
    </row>
    <row r="402" spans="1:5" x14ac:dyDescent="0.25">
      <c r="A402" s="8">
        <v>92</v>
      </c>
      <c r="B402" s="8">
        <f t="shared" si="3"/>
        <v>92</v>
      </c>
      <c r="C402" s="6">
        <v>91</v>
      </c>
      <c r="D402" s="6">
        <v>1</v>
      </c>
      <c r="E402" s="4" t="s">
        <v>260</v>
      </c>
    </row>
    <row r="403" spans="1:5" x14ac:dyDescent="0.25">
      <c r="A403" s="8">
        <v>93</v>
      </c>
      <c r="B403" s="8">
        <f t="shared" si="3"/>
        <v>93</v>
      </c>
      <c r="C403" s="6">
        <v>92</v>
      </c>
      <c r="D403" s="6">
        <v>1</v>
      </c>
      <c r="E403" s="4" t="s">
        <v>261</v>
      </c>
    </row>
    <row r="404" spans="1:5" x14ac:dyDescent="0.25">
      <c r="A404" s="8">
        <v>94</v>
      </c>
      <c r="B404" s="8">
        <f t="shared" si="3"/>
        <v>94</v>
      </c>
      <c r="C404" s="6">
        <v>93</v>
      </c>
      <c r="D404" s="6">
        <v>1</v>
      </c>
      <c r="E404" s="4" t="s">
        <v>262</v>
      </c>
    </row>
    <row r="405" spans="1:5" x14ac:dyDescent="0.25">
      <c r="A405" s="8">
        <v>95</v>
      </c>
      <c r="B405" s="8">
        <f t="shared" si="3"/>
        <v>95</v>
      </c>
      <c r="C405" s="6">
        <v>94</v>
      </c>
      <c r="D405" s="6">
        <v>1</v>
      </c>
      <c r="E405" s="4" t="s">
        <v>263</v>
      </c>
    </row>
    <row r="406" spans="1:5" x14ac:dyDescent="0.25">
      <c r="A406" s="8">
        <v>96</v>
      </c>
      <c r="B406" s="8">
        <f t="shared" si="3"/>
        <v>96</v>
      </c>
      <c r="C406" s="6">
        <v>95</v>
      </c>
      <c r="D406" s="6">
        <v>1</v>
      </c>
      <c r="E406" s="4" t="s">
        <v>264</v>
      </c>
    </row>
    <row r="407" spans="1:5" x14ac:dyDescent="0.25">
      <c r="A407" s="8">
        <v>97</v>
      </c>
      <c r="B407" s="8">
        <f t="shared" si="3"/>
        <v>97</v>
      </c>
      <c r="C407" s="6">
        <v>96</v>
      </c>
      <c r="D407" s="6">
        <v>1</v>
      </c>
      <c r="E407" s="4" t="s">
        <v>265</v>
      </c>
    </row>
    <row r="408" spans="1:5" x14ac:dyDescent="0.25">
      <c r="A408" s="8">
        <v>98</v>
      </c>
      <c r="B408" s="8">
        <f t="shared" si="3"/>
        <v>98</v>
      </c>
      <c r="C408" s="6">
        <v>97</v>
      </c>
      <c r="D408" s="6">
        <v>1</v>
      </c>
      <c r="E408" s="4" t="s">
        <v>266</v>
      </c>
    </row>
    <row r="409" spans="1:5" x14ac:dyDescent="0.25">
      <c r="A409" s="8">
        <v>99</v>
      </c>
      <c r="B409" s="8">
        <f t="shared" si="3"/>
        <v>99</v>
      </c>
      <c r="C409" s="6">
        <v>98</v>
      </c>
      <c r="D409" s="6">
        <v>1</v>
      </c>
      <c r="E409" s="4" t="s">
        <v>267</v>
      </c>
    </row>
    <row r="410" spans="1:5" x14ac:dyDescent="0.25">
      <c r="A410" s="8">
        <v>100</v>
      </c>
      <c r="B410" s="8">
        <f>1+C410/D410</f>
        <v>100</v>
      </c>
      <c r="C410" s="6">
        <v>99</v>
      </c>
      <c r="D410" s="6">
        <v>1</v>
      </c>
      <c r="E410" s="4" t="s">
        <v>390</v>
      </c>
    </row>
  </sheetData>
  <sheetProtection selectLockedCells="1"/>
  <pageMargins left="0.7" right="0.7" top="0.75" bottom="0.75" header="0.3" footer="0.3"/>
  <ignoredErrors>
    <ignoredError sqref="E8"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739DA-74D0-4905-8468-D512B6A66DD5}">
  <sheetPr>
    <tabColor rgb="FF7030A0"/>
  </sheetPr>
  <dimension ref="A1:Z49"/>
  <sheetViews>
    <sheetView workbookViewId="0">
      <pane ySplit="2" topLeftCell="A20"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28" t="s">
        <v>320</v>
      </c>
      <c r="B1" s="216" t="str">
        <f>A2&amp;1</f>
        <v>E1</v>
      </c>
      <c r="C1" s="216" t="str">
        <f>A2&amp;2</f>
        <v>E2</v>
      </c>
      <c r="D1" s="216" t="str">
        <f>A2&amp;3</f>
        <v>E3</v>
      </c>
      <c r="E1" s="216" t="str">
        <f>A2&amp;4</f>
        <v>E4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329</v>
      </c>
      <c r="B2" s="217" t="str">
        <f>VLOOKUP(B1,Lookup08,2,FALSE)</f>
        <v>Germany</v>
      </c>
      <c r="C2" s="217" t="str">
        <f>VLOOKUP(C1,Lookup08,2,FALSE)</f>
        <v>Curaçao</v>
      </c>
      <c r="D2" s="217" t="str">
        <f>VLOOKUP(D1,Lookup08,2,FALSE)</f>
        <v>Cote d'Ivorie</v>
      </c>
      <c r="E2" s="217" t="str">
        <f>VLOOKUP(E1,Lookup08,2,FALSE)</f>
        <v>Ecuador</v>
      </c>
      <c r="F2" s="144"/>
      <c r="G2" s="144"/>
      <c r="H2" s="195"/>
      <c r="I2" s="196" t="str">
        <f>B2</f>
        <v>Germany</v>
      </c>
      <c r="J2" s="196" t="str">
        <f>C2</f>
        <v>Curaçao</v>
      </c>
      <c r="K2" s="196" t="str">
        <f>D2</f>
        <v>Cote d'Ivorie</v>
      </c>
      <c r="L2" s="196" t="str">
        <f>E2</f>
        <v>Ecuador</v>
      </c>
      <c r="M2" s="197" t="s">
        <v>26</v>
      </c>
      <c r="N2" s="195"/>
      <c r="O2" s="196" t="str">
        <f>I2</f>
        <v>Germany</v>
      </c>
      <c r="P2" s="196" t="str">
        <f t="shared" ref="P2:R2" si="0">J2</f>
        <v>Curaçao</v>
      </c>
      <c r="Q2" s="196" t="str">
        <f t="shared" si="0"/>
        <v>Cote d'Ivorie</v>
      </c>
      <c r="R2" s="196" t="str">
        <f t="shared" si="0"/>
        <v>Ecuador</v>
      </c>
      <c r="S2" s="197" t="s">
        <v>26</v>
      </c>
      <c r="T2" s="195"/>
      <c r="U2" s="196" t="str">
        <f>O2</f>
        <v>Germany</v>
      </c>
      <c r="V2" s="196" t="str">
        <f t="shared" ref="V2:X2" si="1">P2</f>
        <v>Curaçao</v>
      </c>
      <c r="W2" s="196" t="str">
        <f t="shared" si="1"/>
        <v>Cote d'Ivorie</v>
      </c>
      <c r="X2" s="196" t="str">
        <f t="shared" si="1"/>
        <v>Ecuador</v>
      </c>
      <c r="Y2" s="197" t="s">
        <v>26</v>
      </c>
    </row>
    <row r="3" spans="1:26" x14ac:dyDescent="0.25">
      <c r="A3" s="144"/>
      <c r="B3" s="144"/>
      <c r="C3" s="144"/>
      <c r="F3" s="144"/>
      <c r="G3" s="144"/>
      <c r="H3" s="195" t="str">
        <f>B2</f>
        <v>Germany</v>
      </c>
      <c r="I3" s="211"/>
      <c r="J3" s="196">
        <f ca="1">IF(G10=G11,1,0)</f>
        <v>1</v>
      </c>
      <c r="K3" s="196">
        <f ca="1">IF(G10=G12,1,0)</f>
        <v>0</v>
      </c>
      <c r="L3" s="196">
        <f ca="1">IF(G10=G13,1,0)</f>
        <v>1</v>
      </c>
      <c r="M3" s="197">
        <f ca="1">SUM(I3:L3)</f>
        <v>2</v>
      </c>
      <c r="N3" s="195" t="str">
        <f>H3</f>
        <v>Germany</v>
      </c>
      <c r="O3" s="211"/>
      <c r="P3" s="196">
        <f ca="1">IF(M10=M11,1,0)</f>
        <v>0</v>
      </c>
      <c r="Q3" s="196">
        <f ca="1">IF(M10=M12,1,0)</f>
        <v>0</v>
      </c>
      <c r="R3" s="196">
        <f ca="1">IF(M10=M13,1,0)</f>
        <v>0</v>
      </c>
      <c r="S3" s="197">
        <f ca="1">SUM(O3:R3)</f>
        <v>0</v>
      </c>
      <c r="T3" s="195" t="str">
        <f>N3</f>
        <v>Germany</v>
      </c>
      <c r="U3" s="211"/>
      <c r="V3" s="196">
        <f ca="1">IF(S10=S11,1,0)</f>
        <v>0</v>
      </c>
      <c r="W3" s="196">
        <f ca="1">IF(S10=S12,1,0)</f>
        <v>0</v>
      </c>
      <c r="X3" s="196">
        <f ca="1">IF(S10=S13,1,0)</f>
        <v>0</v>
      </c>
      <c r="Y3" s="197">
        <f ca="1">SUM(U3:X3)</f>
        <v>0</v>
      </c>
    </row>
    <row r="4" spans="1:26" x14ac:dyDescent="0.25">
      <c r="A4" s="144"/>
      <c r="B4" s="144"/>
      <c r="C4" s="144"/>
      <c r="F4" s="144"/>
      <c r="G4" s="144"/>
      <c r="H4" s="195" t="str">
        <f>C2</f>
        <v>Curaçao</v>
      </c>
      <c r="I4" s="196">
        <f ca="1">IF(G11=G10,1,0)</f>
        <v>1</v>
      </c>
      <c r="J4" s="211"/>
      <c r="K4" s="196">
        <f ca="1">IF(G11=G12,1,0)</f>
        <v>0</v>
      </c>
      <c r="L4" s="196">
        <f ca="1">IF(G11=G13,1,0)</f>
        <v>1</v>
      </c>
      <c r="M4" s="197">
        <f ca="1">SUM(I4:L4)</f>
        <v>2</v>
      </c>
      <c r="N4" s="195" t="str">
        <f t="shared" ref="N4:N6" si="2">H4</f>
        <v>Curaçao</v>
      </c>
      <c r="O4" s="196">
        <f ca="1">IF(M11=M10,1,0)</f>
        <v>0</v>
      </c>
      <c r="P4" s="211"/>
      <c r="Q4" s="196">
        <f ca="1">IF(M11=M12,1,0)</f>
        <v>0</v>
      </c>
      <c r="R4" s="196">
        <f ca="1">IF(M11=M13,1,0)</f>
        <v>0</v>
      </c>
      <c r="S4" s="197">
        <f ca="1">SUM(O4:R4)</f>
        <v>0</v>
      </c>
      <c r="T4" s="195" t="str">
        <f t="shared" ref="T4:T6" si="3">N4</f>
        <v>Curaçao</v>
      </c>
      <c r="U4" s="196">
        <f ca="1">IF(S11=S10,1,0)</f>
        <v>0</v>
      </c>
      <c r="V4" s="211"/>
      <c r="W4" s="196">
        <f ca="1">IF(S11=S12,1,0)</f>
        <v>0</v>
      </c>
      <c r="X4" s="196">
        <f ca="1">IF(S11=S13,1,0)</f>
        <v>0</v>
      </c>
      <c r="Y4" s="197">
        <f ca="1">SUM(U4:X4)</f>
        <v>0</v>
      </c>
    </row>
    <row r="5" spans="1:26" x14ac:dyDescent="0.25">
      <c r="A5" s="144"/>
      <c r="B5" s="144"/>
      <c r="C5" s="144"/>
      <c r="F5" s="144"/>
      <c r="G5" s="144"/>
      <c r="H5" s="195" t="str">
        <f>D2</f>
        <v>Cote d'Ivorie</v>
      </c>
      <c r="I5" s="196">
        <f ca="1">IF(G12=G10,1,0)</f>
        <v>0</v>
      </c>
      <c r="J5" s="196">
        <f ca="1">IF(G12=G11,1,0)</f>
        <v>0</v>
      </c>
      <c r="K5" s="211"/>
      <c r="L5" s="196">
        <f ca="1">IF(G12=G13,1,0)</f>
        <v>0</v>
      </c>
      <c r="M5" s="197">
        <f ca="1">SUM(I5:L5)</f>
        <v>0</v>
      </c>
      <c r="N5" s="195" t="str">
        <f t="shared" si="2"/>
        <v>Cote d'Ivorie</v>
      </c>
      <c r="O5" s="196">
        <f ca="1">IF(M12=M10,1,0)</f>
        <v>0</v>
      </c>
      <c r="P5" s="196">
        <f ca="1">IF(M12=M11,1,0)</f>
        <v>0</v>
      </c>
      <c r="Q5" s="211"/>
      <c r="R5" s="196">
        <f ca="1">IF(M12=M13,1,0)</f>
        <v>0</v>
      </c>
      <c r="S5" s="197">
        <f ca="1">SUM(O5:R5)</f>
        <v>0</v>
      </c>
      <c r="T5" s="195" t="str">
        <f t="shared" si="3"/>
        <v>Cote d'Ivorie</v>
      </c>
      <c r="U5" s="196">
        <f ca="1">IF(S12=S10,1,0)</f>
        <v>0</v>
      </c>
      <c r="V5" s="196">
        <f ca="1">IF(S12=S11,1,0)</f>
        <v>0</v>
      </c>
      <c r="W5" s="211"/>
      <c r="X5" s="196">
        <f ca="1">IF(S12=S13,1,0)</f>
        <v>0</v>
      </c>
      <c r="Y5" s="197">
        <f ca="1">SUM(U5:X5)</f>
        <v>0</v>
      </c>
    </row>
    <row r="6" spans="1:26" x14ac:dyDescent="0.25">
      <c r="A6" s="144"/>
      <c r="B6" s="144"/>
      <c r="C6" s="144"/>
      <c r="F6" s="144"/>
      <c r="G6" s="144"/>
      <c r="H6" s="198" t="str">
        <f>E2</f>
        <v>Ecuador</v>
      </c>
      <c r="I6" s="199">
        <f ca="1">IF(G13=G10,1,0)</f>
        <v>1</v>
      </c>
      <c r="J6" s="199">
        <f ca="1">IF(G13=G11,1,0)</f>
        <v>1</v>
      </c>
      <c r="K6" s="199">
        <f ca="1">IF(G13=G12,1,0)</f>
        <v>0</v>
      </c>
      <c r="L6" s="212"/>
      <c r="M6" s="200">
        <f ca="1">SUM(I6:L6)</f>
        <v>2</v>
      </c>
      <c r="N6" s="198" t="str">
        <f t="shared" si="2"/>
        <v>Ecuador</v>
      </c>
      <c r="O6" s="199">
        <f ca="1">IF(M13=M10,1,0)</f>
        <v>0</v>
      </c>
      <c r="P6" s="199">
        <f ca="1">IF(M13=M11,1,0)</f>
        <v>0</v>
      </c>
      <c r="Q6" s="199">
        <f ca="1">IF(M13=M12,1,0)</f>
        <v>0</v>
      </c>
      <c r="R6" s="212"/>
      <c r="S6" s="200">
        <f ca="1">SUM(O6:R6)</f>
        <v>0</v>
      </c>
      <c r="T6" s="198" t="str">
        <f t="shared" si="3"/>
        <v>Ecuador</v>
      </c>
      <c r="U6" s="199">
        <f ca="1">IF(S13=S10,1,0)</f>
        <v>0</v>
      </c>
      <c r="V6" s="199">
        <f ca="1">IF(S13=S11,1,0)</f>
        <v>0</v>
      </c>
      <c r="W6" s="199">
        <f ca="1">IF(S13=S12,1,0)</f>
        <v>0</v>
      </c>
      <c r="X6" s="212"/>
      <c r="Y6" s="200">
        <f ca="1">SUM(U6:X6)</f>
        <v>0</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Germany</v>
      </c>
      <c r="D9" s="190" t="str">
        <f>C2</f>
        <v>Curaçao</v>
      </c>
      <c r="E9" s="190" t="str">
        <f>D2</f>
        <v>Cote d'Ivorie</v>
      </c>
      <c r="F9" s="190" t="str">
        <f>E2</f>
        <v>Ecuador</v>
      </c>
      <c r="G9" s="191" t="s">
        <v>26</v>
      </c>
      <c r="H9" s="189"/>
      <c r="I9" s="190" t="str">
        <f>C9</f>
        <v>Germany</v>
      </c>
      <c r="J9" s="190" t="str">
        <f t="shared" ref="J9:L9" si="4">D9</f>
        <v>Curaçao</v>
      </c>
      <c r="K9" s="190" t="str">
        <f t="shared" si="4"/>
        <v>Cote d'Ivorie</v>
      </c>
      <c r="L9" s="190" t="str">
        <f t="shared" si="4"/>
        <v>Ecuador</v>
      </c>
      <c r="M9" s="191" t="s">
        <v>26</v>
      </c>
      <c r="N9" s="189"/>
      <c r="O9" s="190" t="str">
        <f>I9</f>
        <v>Germany</v>
      </c>
      <c r="P9" s="190" t="str">
        <f t="shared" ref="P9:R9" si="5">J9</f>
        <v>Curaçao</v>
      </c>
      <c r="Q9" s="190" t="str">
        <f t="shared" si="5"/>
        <v>Cote d'Ivorie</v>
      </c>
      <c r="R9" s="190" t="str">
        <f t="shared" si="5"/>
        <v>Ecuador</v>
      </c>
      <c r="S9" s="191" t="s">
        <v>26</v>
      </c>
      <c r="T9" s="189"/>
      <c r="U9" s="190" t="str">
        <f>O9</f>
        <v>Germany</v>
      </c>
      <c r="V9" s="190" t="str">
        <f t="shared" ref="V9:X9" si="6">P9</f>
        <v>Curaçao</v>
      </c>
      <c r="W9" s="190" t="str">
        <f t="shared" si="6"/>
        <v>Cote d'Ivorie</v>
      </c>
      <c r="X9" s="190" t="str">
        <f t="shared" si="6"/>
        <v>Ecuador</v>
      </c>
      <c r="Y9" s="191" t="s">
        <v>26</v>
      </c>
      <c r="Z9" s="227" t="s">
        <v>309</v>
      </c>
    </row>
    <row r="10" spans="1:26" x14ac:dyDescent="0.25">
      <c r="A10" s="144"/>
      <c r="B10" s="189" t="str">
        <f>B2</f>
        <v>Germany</v>
      </c>
      <c r="C10" s="204"/>
      <c r="D10" s="190">
        <f>H37</f>
        <v>3</v>
      </c>
      <c r="E10" s="190">
        <f ca="1">H39</f>
        <v>0</v>
      </c>
      <c r="F10" s="190">
        <f ca="1">I42</f>
        <v>0</v>
      </c>
      <c r="G10" s="191">
        <f ca="1">SUM(C10:F10)</f>
        <v>3</v>
      </c>
      <c r="H10" s="189" t="str">
        <f>B10</f>
        <v>Germany</v>
      </c>
      <c r="I10" s="218">
        <f>C10+I17/100+I24/10000</f>
        <v>0</v>
      </c>
      <c r="J10" s="219">
        <f t="shared" ref="J10:L10" ca="1" si="7">D10+J17/100+J24/10000</f>
        <v>3.0607000000000002</v>
      </c>
      <c r="K10" s="219">
        <f t="shared" ca="1" si="7"/>
        <v>0</v>
      </c>
      <c r="L10" s="219">
        <f t="shared" ca="1" si="7"/>
        <v>-0.01</v>
      </c>
      <c r="M10" s="220">
        <f ca="1">SUM(I10:L10)</f>
        <v>3.0507000000000004</v>
      </c>
      <c r="N10" s="189" t="str">
        <f>H10</f>
        <v>Germany</v>
      </c>
      <c r="O10" s="218">
        <f>I10+O17/100+O24/10000</f>
        <v>0</v>
      </c>
      <c r="P10" s="219">
        <f t="shared" ref="P10:R13" ca="1" si="8">J10+P17/100+P24/10000</f>
        <v>3.0607000000000002</v>
      </c>
      <c r="Q10" s="219">
        <f t="shared" ca="1" si="8"/>
        <v>0</v>
      </c>
      <c r="R10" s="219">
        <f t="shared" ca="1" si="8"/>
        <v>-0.01</v>
      </c>
      <c r="S10" s="220">
        <f ca="1">SUM(O10:R10)</f>
        <v>3.0507000000000004</v>
      </c>
      <c r="T10" s="189" t="str">
        <f>N10</f>
        <v>Germany</v>
      </c>
      <c r="U10" s="218">
        <f>O10+U17/100+U24/10000</f>
        <v>0</v>
      </c>
      <c r="V10" s="219">
        <f t="shared" ref="V10:X13" ca="1" si="9">P10+V17/100+V24/10000</f>
        <v>3.0607000000000002</v>
      </c>
      <c r="W10" s="219">
        <f t="shared" ca="1" si="9"/>
        <v>0</v>
      </c>
      <c r="X10" s="219">
        <f t="shared" ca="1" si="9"/>
        <v>-0.01</v>
      </c>
      <c r="Y10" s="220">
        <f ca="1">ROUND(SUM(U10:X10),8)</f>
        <v>3.0507</v>
      </c>
      <c r="Z10" s="224">
        <f ca="1">_xlfn.RANK.EQ(Y10,Y$10:Y$13,1)</f>
        <v>3</v>
      </c>
    </row>
    <row r="11" spans="1:26" x14ac:dyDescent="0.25">
      <c r="A11" s="144"/>
      <c r="B11" s="189" t="str">
        <f>C2</f>
        <v>Curaçao</v>
      </c>
      <c r="C11" s="190">
        <f>I37</f>
        <v>0</v>
      </c>
      <c r="D11" s="204"/>
      <c r="E11" s="190">
        <f ca="1">H41</f>
        <v>0</v>
      </c>
      <c r="F11" s="190">
        <f ca="1">I40</f>
        <v>3</v>
      </c>
      <c r="G11" s="191">
        <f ca="1">SUM(C11:F11)</f>
        <v>3</v>
      </c>
      <c r="H11" s="189" t="str">
        <f t="shared" ref="H11:H13" si="10">B11</f>
        <v>Curaçao</v>
      </c>
      <c r="I11" s="219">
        <f t="shared" ref="I11:L13" ca="1" si="11">C11+I18/100+I25/10000</f>
        <v>-5.9899999999999995E-2</v>
      </c>
      <c r="J11" s="218">
        <f t="shared" si="11"/>
        <v>0</v>
      </c>
      <c r="K11" s="219">
        <f t="shared" ca="1" si="11"/>
        <v>0</v>
      </c>
      <c r="L11" s="219">
        <f t="shared" ca="1" si="11"/>
        <v>3.0303</v>
      </c>
      <c r="M11" s="220">
        <f ca="1">SUM(I11:L11)</f>
        <v>2.9704000000000002</v>
      </c>
      <c r="N11" s="189" t="str">
        <f t="shared" ref="N11:N13" si="12">H11</f>
        <v>Curaçao</v>
      </c>
      <c r="O11" s="219">
        <f t="shared" ref="O11:O13" ca="1" si="13">I11+O18/100+O25/10000</f>
        <v>-5.9899999999999995E-2</v>
      </c>
      <c r="P11" s="218">
        <f t="shared" si="8"/>
        <v>0</v>
      </c>
      <c r="Q11" s="219">
        <f t="shared" ca="1" si="8"/>
        <v>0</v>
      </c>
      <c r="R11" s="219">
        <f t="shared" ca="1" si="8"/>
        <v>3.0303</v>
      </c>
      <c r="S11" s="220">
        <f ca="1">SUM(O11:R11)</f>
        <v>2.9704000000000002</v>
      </c>
      <c r="T11" s="189" t="str">
        <f t="shared" ref="T11:T13" si="14">N11</f>
        <v>Curaçao</v>
      </c>
      <c r="U11" s="219">
        <f t="shared" ref="U11:U13" ca="1" si="15">O11+U18/100+U25/10000</f>
        <v>-5.9899999999999995E-2</v>
      </c>
      <c r="V11" s="218">
        <f t="shared" si="9"/>
        <v>0</v>
      </c>
      <c r="W11" s="219">
        <f t="shared" ca="1" si="9"/>
        <v>0</v>
      </c>
      <c r="X11" s="219">
        <f t="shared" ca="1" si="9"/>
        <v>3.0303</v>
      </c>
      <c r="Y11" s="220">
        <f t="shared" ref="Y11:Y13" ca="1" si="16">ROUND(SUM(U11:X11),8)</f>
        <v>2.9704000000000002</v>
      </c>
      <c r="Z11" s="224">
        <f t="shared" ref="Z11:Z13" ca="1" si="17">_xlfn.RANK.EQ(Y11,Y$10:Y$13,1)</f>
        <v>1</v>
      </c>
    </row>
    <row r="12" spans="1:26" x14ac:dyDescent="0.25">
      <c r="A12" s="144"/>
      <c r="B12" s="189" t="str">
        <f>D2</f>
        <v>Cote d'Ivorie</v>
      </c>
      <c r="C12" s="190">
        <f ca="1">I39</f>
        <v>3</v>
      </c>
      <c r="D12" s="190">
        <f ca="1">I41</f>
        <v>3</v>
      </c>
      <c r="E12" s="204"/>
      <c r="F12" s="190">
        <f>H38</f>
        <v>3</v>
      </c>
      <c r="G12" s="191">
        <f ca="1">SUM(C12:F12)</f>
        <v>9</v>
      </c>
      <c r="H12" s="189" t="str">
        <f t="shared" si="10"/>
        <v>Cote d'Ivorie</v>
      </c>
      <c r="I12" s="219">
        <f t="shared" ca="1" si="11"/>
        <v>3</v>
      </c>
      <c r="J12" s="219">
        <f t="shared" ca="1" si="11"/>
        <v>3</v>
      </c>
      <c r="K12" s="218">
        <f t="shared" si="11"/>
        <v>0</v>
      </c>
      <c r="L12" s="219">
        <f t="shared" ca="1" si="11"/>
        <v>3</v>
      </c>
      <c r="M12" s="220">
        <f ca="1">SUM(I12:L12)</f>
        <v>9</v>
      </c>
      <c r="N12" s="189" t="str">
        <f t="shared" si="12"/>
        <v>Cote d'Ivorie</v>
      </c>
      <c r="O12" s="219">
        <f t="shared" ca="1" si="13"/>
        <v>3</v>
      </c>
      <c r="P12" s="219">
        <f t="shared" ca="1" si="8"/>
        <v>3</v>
      </c>
      <c r="Q12" s="218">
        <f t="shared" si="8"/>
        <v>0</v>
      </c>
      <c r="R12" s="219">
        <f t="shared" ca="1" si="8"/>
        <v>3</v>
      </c>
      <c r="S12" s="220">
        <f ca="1">SUM(O12:R12)</f>
        <v>9</v>
      </c>
      <c r="T12" s="189" t="str">
        <f t="shared" si="14"/>
        <v>Cote d'Ivorie</v>
      </c>
      <c r="U12" s="219">
        <f t="shared" ca="1" si="15"/>
        <v>3</v>
      </c>
      <c r="V12" s="219">
        <f t="shared" ca="1" si="9"/>
        <v>3</v>
      </c>
      <c r="W12" s="218">
        <f t="shared" si="9"/>
        <v>0</v>
      </c>
      <c r="X12" s="219">
        <f t="shared" ca="1" si="9"/>
        <v>3</v>
      </c>
      <c r="Y12" s="220">
        <f t="shared" ca="1" si="16"/>
        <v>9</v>
      </c>
      <c r="Z12" s="224">
        <f t="shared" ca="1" si="17"/>
        <v>4</v>
      </c>
    </row>
    <row r="13" spans="1:26" x14ac:dyDescent="0.25">
      <c r="A13" s="144"/>
      <c r="B13" s="192" t="str">
        <f>E2</f>
        <v>Ecuador</v>
      </c>
      <c r="C13" s="193">
        <f ca="1">H42</f>
        <v>3</v>
      </c>
      <c r="D13" s="193">
        <f ca="1">H40</f>
        <v>0</v>
      </c>
      <c r="E13" s="193">
        <f>I38</f>
        <v>0</v>
      </c>
      <c r="F13" s="205"/>
      <c r="G13" s="194">
        <f ca="1">SUM(C13:F13)</f>
        <v>3</v>
      </c>
      <c r="H13" s="192" t="str">
        <f t="shared" si="10"/>
        <v>Ecuador</v>
      </c>
      <c r="I13" s="221">
        <f t="shared" ca="1" si="11"/>
        <v>3.0101</v>
      </c>
      <c r="J13" s="221">
        <f t="shared" ca="1" si="11"/>
        <v>-0.03</v>
      </c>
      <c r="K13" s="221">
        <f t="shared" ca="1" si="11"/>
        <v>0</v>
      </c>
      <c r="L13" s="222">
        <f t="shared" si="11"/>
        <v>0</v>
      </c>
      <c r="M13" s="223">
        <f ca="1">SUM(I13:L13)</f>
        <v>2.9801000000000002</v>
      </c>
      <c r="N13" s="192" t="str">
        <f t="shared" si="12"/>
        <v>Ecuador</v>
      </c>
      <c r="O13" s="221">
        <f t="shared" ca="1" si="13"/>
        <v>3.0101</v>
      </c>
      <c r="P13" s="221">
        <f t="shared" ca="1" si="8"/>
        <v>-0.03</v>
      </c>
      <c r="Q13" s="221">
        <f t="shared" ca="1" si="8"/>
        <v>0</v>
      </c>
      <c r="R13" s="222">
        <f t="shared" si="8"/>
        <v>0</v>
      </c>
      <c r="S13" s="223">
        <f ca="1">SUM(O13:R13)</f>
        <v>2.9801000000000002</v>
      </c>
      <c r="T13" s="192" t="str">
        <f t="shared" si="14"/>
        <v>Ecuador</v>
      </c>
      <c r="U13" s="221">
        <f t="shared" ca="1" si="15"/>
        <v>3.0101</v>
      </c>
      <c r="V13" s="221">
        <f t="shared" ca="1" si="9"/>
        <v>-0.03</v>
      </c>
      <c r="W13" s="221">
        <f t="shared" ca="1" si="9"/>
        <v>0</v>
      </c>
      <c r="X13" s="222">
        <f t="shared" si="9"/>
        <v>0</v>
      </c>
      <c r="Y13" s="223">
        <f t="shared" ca="1" si="16"/>
        <v>2.9801000000000002</v>
      </c>
      <c r="Z13" s="225">
        <f t="shared" ca="1" si="17"/>
        <v>2</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Germany</v>
      </c>
      <c r="D16" s="177" t="str">
        <f>C2</f>
        <v>Curaçao</v>
      </c>
      <c r="E16" s="177" t="str">
        <f>D2</f>
        <v>Cote d'Ivorie</v>
      </c>
      <c r="F16" s="177" t="str">
        <f>E2</f>
        <v>Ecuador</v>
      </c>
      <c r="G16" s="178" t="s">
        <v>26</v>
      </c>
      <c r="H16" s="183"/>
      <c r="I16" s="184" t="str">
        <f>C16</f>
        <v>Germany</v>
      </c>
      <c r="J16" s="184" t="str">
        <f t="shared" ref="J16:L16" si="18">D16</f>
        <v>Curaçao</v>
      </c>
      <c r="K16" s="184" t="str">
        <f t="shared" si="18"/>
        <v>Cote d'Ivorie</v>
      </c>
      <c r="L16" s="184" t="str">
        <f t="shared" si="18"/>
        <v>Ecuador</v>
      </c>
      <c r="M16" s="185" t="s">
        <v>26</v>
      </c>
      <c r="N16" s="183"/>
      <c r="O16" s="184" t="str">
        <f>I16</f>
        <v>Germany</v>
      </c>
      <c r="P16" s="184" t="str">
        <f t="shared" ref="P16:R16" si="19">J16</f>
        <v>Curaçao</v>
      </c>
      <c r="Q16" s="184" t="str">
        <f t="shared" si="19"/>
        <v>Cote d'Ivorie</v>
      </c>
      <c r="R16" s="184" t="str">
        <f t="shared" si="19"/>
        <v>Ecuador</v>
      </c>
      <c r="S16" s="185" t="s">
        <v>26</v>
      </c>
      <c r="T16" s="183"/>
      <c r="U16" s="184" t="str">
        <f>O16</f>
        <v>Germany</v>
      </c>
      <c r="V16" s="184" t="str">
        <f t="shared" ref="V16:X16" si="20">P16</f>
        <v>Curaçao</v>
      </c>
      <c r="W16" s="184" t="str">
        <f t="shared" si="20"/>
        <v>Cote d'Ivorie</v>
      </c>
      <c r="X16" s="184" t="str">
        <f t="shared" si="20"/>
        <v>Ecuador</v>
      </c>
      <c r="Y16" s="185" t="s">
        <v>26</v>
      </c>
    </row>
    <row r="17" spans="1:25" x14ac:dyDescent="0.25">
      <c r="A17" s="144"/>
      <c r="B17" s="176" t="str">
        <f>B2</f>
        <v>Germany</v>
      </c>
      <c r="C17" s="206"/>
      <c r="D17" s="179">
        <f>IFERROR(F37-G37,0)</f>
        <v>6</v>
      </c>
      <c r="E17" s="179">
        <f ca="1">IFERROR(F39-G39,0)</f>
        <v>-1</v>
      </c>
      <c r="F17" s="179">
        <f ca="1">IFERROR(G42-F42,0)</f>
        <v>-1</v>
      </c>
      <c r="G17" s="178">
        <f ca="1">SUM(C17:F17)</f>
        <v>4</v>
      </c>
      <c r="H17" s="183" t="str">
        <f>B17</f>
        <v>Germany</v>
      </c>
      <c r="I17" s="208"/>
      <c r="J17" s="184">
        <f ca="1">D17*J3</f>
        <v>6</v>
      </c>
      <c r="K17" s="184">
        <f ca="1">E17*K3</f>
        <v>0</v>
      </c>
      <c r="L17" s="184">
        <f ca="1">F17*L3</f>
        <v>-1</v>
      </c>
      <c r="M17" s="185">
        <f ca="1">SUM(I17:L17)</f>
        <v>5</v>
      </c>
      <c r="N17" s="183" t="str">
        <f>H17</f>
        <v>Germany</v>
      </c>
      <c r="O17" s="208"/>
      <c r="P17" s="184">
        <f ca="1">J17*P3</f>
        <v>0</v>
      </c>
      <c r="Q17" s="184">
        <f ca="1">K17*Q3</f>
        <v>0</v>
      </c>
      <c r="R17" s="184">
        <f ca="1">L17*R3</f>
        <v>0</v>
      </c>
      <c r="S17" s="185">
        <f ca="1">SUM(O17:R17)</f>
        <v>0</v>
      </c>
      <c r="T17" s="183" t="str">
        <f>N17</f>
        <v>Germany</v>
      </c>
      <c r="U17" s="208"/>
      <c r="V17" s="184">
        <f ca="1">P17*V3</f>
        <v>0</v>
      </c>
      <c r="W17" s="184">
        <f ca="1">Q17*W3</f>
        <v>0</v>
      </c>
      <c r="X17" s="184">
        <f ca="1">R17*X3</f>
        <v>0</v>
      </c>
      <c r="Y17" s="185">
        <f ca="1">SUM(U17:X17)</f>
        <v>0</v>
      </c>
    </row>
    <row r="18" spans="1:25" x14ac:dyDescent="0.25">
      <c r="A18" s="144"/>
      <c r="B18" s="176" t="str">
        <f>C2</f>
        <v>Curaçao</v>
      </c>
      <c r="C18" s="179">
        <f>IFERROR(G37-F37,0)</f>
        <v>-6</v>
      </c>
      <c r="D18" s="206"/>
      <c r="E18" s="179">
        <f ca="1">IFERROR(F41-G41,0)</f>
        <v>-1</v>
      </c>
      <c r="F18" s="179">
        <f ca="1">IFERROR(G40-F40,0)</f>
        <v>3</v>
      </c>
      <c r="G18" s="178">
        <f ca="1">SUM(C18:F18)</f>
        <v>-4</v>
      </c>
      <c r="H18" s="183" t="str">
        <f t="shared" ref="H18:H20" si="21">B18</f>
        <v>Curaçao</v>
      </c>
      <c r="I18" s="184">
        <f ca="1">C18*I4</f>
        <v>-6</v>
      </c>
      <c r="J18" s="208"/>
      <c r="K18" s="184">
        <f ca="1">E18*K4</f>
        <v>0</v>
      </c>
      <c r="L18" s="184">
        <f ca="1">F18*L4</f>
        <v>3</v>
      </c>
      <c r="M18" s="185">
        <f ca="1">SUM(I18:L18)</f>
        <v>-3</v>
      </c>
      <c r="N18" s="183" t="str">
        <f t="shared" ref="N18:N20" si="22">H18</f>
        <v>Curaçao</v>
      </c>
      <c r="O18" s="184">
        <f ca="1">I18*O4</f>
        <v>0</v>
      </c>
      <c r="P18" s="208"/>
      <c r="Q18" s="184">
        <f ca="1">K18*Q4</f>
        <v>0</v>
      </c>
      <c r="R18" s="184">
        <f ca="1">L18*R4</f>
        <v>0</v>
      </c>
      <c r="S18" s="185">
        <f ca="1">SUM(O18:R18)</f>
        <v>0</v>
      </c>
      <c r="T18" s="183" t="str">
        <f t="shared" ref="T18:T20" si="23">N18</f>
        <v>Curaçao</v>
      </c>
      <c r="U18" s="184">
        <f ca="1">O18*U4</f>
        <v>0</v>
      </c>
      <c r="V18" s="208"/>
      <c r="W18" s="184">
        <f ca="1">Q18*W4</f>
        <v>0</v>
      </c>
      <c r="X18" s="184">
        <f ca="1">R18*X4</f>
        <v>0</v>
      </c>
      <c r="Y18" s="185">
        <f ca="1">SUM(U18:X18)</f>
        <v>0</v>
      </c>
    </row>
    <row r="19" spans="1:25" x14ac:dyDescent="0.25">
      <c r="A19" s="144"/>
      <c r="B19" s="176" t="str">
        <f>D2</f>
        <v>Cote d'Ivorie</v>
      </c>
      <c r="C19" s="179">
        <f ca="1">IFERROR(G39-F39,0)</f>
        <v>1</v>
      </c>
      <c r="D19" s="179">
        <f ca="1">IFERROR(G41-F41,0)</f>
        <v>1</v>
      </c>
      <c r="E19" s="206"/>
      <c r="F19" s="179">
        <f>IFERROR(F38-G38,0)</f>
        <v>1</v>
      </c>
      <c r="G19" s="178">
        <f ca="1">SUM(C19:F19)</f>
        <v>3</v>
      </c>
      <c r="H19" s="183" t="str">
        <f t="shared" si="21"/>
        <v>Cote d'Ivorie</v>
      </c>
      <c r="I19" s="184">
        <f ca="1">C19*I5</f>
        <v>0</v>
      </c>
      <c r="J19" s="184">
        <f ca="1">D19*J5</f>
        <v>0</v>
      </c>
      <c r="K19" s="208"/>
      <c r="L19" s="184">
        <f ca="1">F19*L5</f>
        <v>0</v>
      </c>
      <c r="M19" s="185">
        <f ca="1">SUM(I19:L19)</f>
        <v>0</v>
      </c>
      <c r="N19" s="183" t="str">
        <f t="shared" si="22"/>
        <v>Cote d'Ivorie</v>
      </c>
      <c r="O19" s="184">
        <f ca="1">I19*O5</f>
        <v>0</v>
      </c>
      <c r="P19" s="184">
        <f ca="1">J19*P5</f>
        <v>0</v>
      </c>
      <c r="Q19" s="208"/>
      <c r="R19" s="184">
        <f ca="1">L19*R5</f>
        <v>0</v>
      </c>
      <c r="S19" s="185">
        <f ca="1">SUM(O19:R19)</f>
        <v>0</v>
      </c>
      <c r="T19" s="183" t="str">
        <f t="shared" si="23"/>
        <v>Cote d'Ivorie</v>
      </c>
      <c r="U19" s="184">
        <f ca="1">O19*U5</f>
        <v>0</v>
      </c>
      <c r="V19" s="184">
        <f ca="1">P19*V5</f>
        <v>0</v>
      </c>
      <c r="W19" s="208"/>
      <c r="X19" s="184">
        <f ca="1">R19*X5</f>
        <v>0</v>
      </c>
      <c r="Y19" s="185">
        <f ca="1">SUM(U19:X19)</f>
        <v>0</v>
      </c>
    </row>
    <row r="20" spans="1:25" x14ac:dyDescent="0.25">
      <c r="A20" s="144"/>
      <c r="B20" s="180" t="str">
        <f>E2</f>
        <v>Ecuador</v>
      </c>
      <c r="C20" s="181">
        <f ca="1">IFERROR(F42-G42,0)</f>
        <v>1</v>
      </c>
      <c r="D20" s="181">
        <f ca="1">IFERROR(F40-G40,0)</f>
        <v>-3</v>
      </c>
      <c r="E20" s="181">
        <f>IFERROR(G38-F38,0)</f>
        <v>-1</v>
      </c>
      <c r="F20" s="207"/>
      <c r="G20" s="182">
        <f ca="1">SUM(C20:F20)</f>
        <v>-3</v>
      </c>
      <c r="H20" s="186" t="str">
        <f t="shared" si="21"/>
        <v>Ecuador</v>
      </c>
      <c r="I20" s="187">
        <f ca="1">C20*I6</f>
        <v>1</v>
      </c>
      <c r="J20" s="187">
        <f ca="1">D20*J6</f>
        <v>-3</v>
      </c>
      <c r="K20" s="187">
        <f ca="1">E20*K6</f>
        <v>0</v>
      </c>
      <c r="L20" s="213"/>
      <c r="M20" s="188">
        <f ca="1">SUM(I20:L20)</f>
        <v>-2</v>
      </c>
      <c r="N20" s="186" t="str">
        <f t="shared" si="22"/>
        <v>Ecuador</v>
      </c>
      <c r="O20" s="187">
        <f ca="1">I20*O6</f>
        <v>0</v>
      </c>
      <c r="P20" s="187">
        <f ca="1">J20*P6</f>
        <v>0</v>
      </c>
      <c r="Q20" s="187">
        <f ca="1">K20*Q6</f>
        <v>0</v>
      </c>
      <c r="R20" s="213"/>
      <c r="S20" s="188">
        <f ca="1">SUM(O20:R20)</f>
        <v>0</v>
      </c>
      <c r="T20" s="186" t="str">
        <f t="shared" si="23"/>
        <v>Ecuador</v>
      </c>
      <c r="U20" s="187">
        <f ca="1">O20*U6</f>
        <v>0</v>
      </c>
      <c r="V20" s="187">
        <f ca="1">P20*V6</f>
        <v>0</v>
      </c>
      <c r="W20" s="187">
        <f ca="1">Q20*W6</f>
        <v>0</v>
      </c>
      <c r="X20" s="213"/>
      <c r="Y20" s="188">
        <f ca="1">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Germany</v>
      </c>
      <c r="D23" s="164" t="str">
        <f>C2</f>
        <v>Curaçao</v>
      </c>
      <c r="E23" s="164" t="str">
        <f>D2</f>
        <v>Cote d'Ivorie</v>
      </c>
      <c r="F23" s="164" t="str">
        <f>E2</f>
        <v>Ecuador</v>
      </c>
      <c r="G23" s="165" t="s">
        <v>26</v>
      </c>
      <c r="H23" s="169"/>
      <c r="I23" s="170" t="str">
        <f>C23</f>
        <v>Germany</v>
      </c>
      <c r="J23" s="170" t="str">
        <f t="shared" ref="J23:L23" si="24">D23</f>
        <v>Curaçao</v>
      </c>
      <c r="K23" s="170" t="str">
        <f t="shared" si="24"/>
        <v>Cote d'Ivorie</v>
      </c>
      <c r="L23" s="170" t="str">
        <f t="shared" si="24"/>
        <v>Ecuador</v>
      </c>
      <c r="M23" s="171" t="s">
        <v>26</v>
      </c>
      <c r="N23" s="169"/>
      <c r="O23" s="170" t="str">
        <f>I23</f>
        <v>Germany</v>
      </c>
      <c r="P23" s="170" t="str">
        <f t="shared" ref="P23:R23" si="25">J23</f>
        <v>Curaçao</v>
      </c>
      <c r="Q23" s="170" t="str">
        <f t="shared" si="25"/>
        <v>Cote d'Ivorie</v>
      </c>
      <c r="R23" s="170" t="str">
        <f t="shared" si="25"/>
        <v>Ecuador</v>
      </c>
      <c r="S23" s="171" t="s">
        <v>26</v>
      </c>
      <c r="T23" s="169"/>
      <c r="U23" s="170" t="str">
        <f>O23</f>
        <v>Germany</v>
      </c>
      <c r="V23" s="170" t="str">
        <f t="shared" ref="V23:X23" si="26">P23</f>
        <v>Curaçao</v>
      </c>
      <c r="W23" s="170" t="str">
        <f t="shared" si="26"/>
        <v>Cote d'Ivorie</v>
      </c>
      <c r="X23" s="170" t="str">
        <f t="shared" si="26"/>
        <v>Ecuador</v>
      </c>
      <c r="Y23" s="171" t="s">
        <v>26</v>
      </c>
    </row>
    <row r="24" spans="1:25" x14ac:dyDescent="0.25">
      <c r="A24" s="143"/>
      <c r="B24" s="163" t="str">
        <f>B2</f>
        <v>Germany</v>
      </c>
      <c r="C24" s="209"/>
      <c r="D24" s="164">
        <f>IF(F37="",0,F37)</f>
        <v>7</v>
      </c>
      <c r="E24" s="164">
        <f ca="1">IF(F39="",0,F39)</f>
        <v>1</v>
      </c>
      <c r="F24" s="164">
        <f ca="1">IF(G42="",0,G42)</f>
        <v>0</v>
      </c>
      <c r="G24" s="165">
        <f ca="1">SUM(C24:F24)</f>
        <v>8</v>
      </c>
      <c r="H24" s="169" t="str">
        <f>B24</f>
        <v>Germany</v>
      </c>
      <c r="I24" s="214"/>
      <c r="J24" s="170">
        <f ca="1">D24*J3</f>
        <v>7</v>
      </c>
      <c r="K24" s="170">
        <f ca="1">E24*K3</f>
        <v>0</v>
      </c>
      <c r="L24" s="170">
        <f ca="1">F24*L3</f>
        <v>0</v>
      </c>
      <c r="M24" s="171">
        <f ca="1">SUM(I24:L24)</f>
        <v>7</v>
      </c>
      <c r="N24" s="169" t="str">
        <f>H24</f>
        <v>Germany</v>
      </c>
      <c r="O24" s="214"/>
      <c r="P24" s="170">
        <f ca="1">J24*P3</f>
        <v>0</v>
      </c>
      <c r="Q24" s="170">
        <f ca="1">K24*Q3</f>
        <v>0</v>
      </c>
      <c r="R24" s="170">
        <f ca="1">L24*R3</f>
        <v>0</v>
      </c>
      <c r="S24" s="171">
        <f ca="1">SUM(O24:R24)</f>
        <v>0</v>
      </c>
      <c r="T24" s="169" t="str">
        <f>N24</f>
        <v>Germany</v>
      </c>
      <c r="U24" s="214"/>
      <c r="V24" s="170">
        <f ca="1">P24*V3</f>
        <v>0</v>
      </c>
      <c r="W24" s="170">
        <f ca="1">Q24*W3</f>
        <v>0</v>
      </c>
      <c r="X24" s="170">
        <f ca="1">R24*X3</f>
        <v>0</v>
      </c>
      <c r="Y24" s="171">
        <f ca="1">SUM(U24:X24)</f>
        <v>0</v>
      </c>
    </row>
    <row r="25" spans="1:25" x14ac:dyDescent="0.25">
      <c r="A25" s="143"/>
      <c r="B25" s="163" t="str">
        <f>C2</f>
        <v>Curaçao</v>
      </c>
      <c r="C25" s="164">
        <f>IF(G37="",0,G37)</f>
        <v>1</v>
      </c>
      <c r="D25" s="209"/>
      <c r="E25" s="164">
        <f ca="1">IF(F41="",0,F41)</f>
        <v>1</v>
      </c>
      <c r="F25" s="164">
        <f ca="1">IF(G40="",0,G40)</f>
        <v>3</v>
      </c>
      <c r="G25" s="165">
        <f ca="1">SUM(C25:F25)</f>
        <v>5</v>
      </c>
      <c r="H25" s="169" t="str">
        <f t="shared" ref="H25:H27" si="27">B25</f>
        <v>Curaçao</v>
      </c>
      <c r="I25" s="170">
        <f ca="1">C25*I4</f>
        <v>1</v>
      </c>
      <c r="J25" s="214"/>
      <c r="K25" s="170">
        <f ca="1">E25*K4</f>
        <v>0</v>
      </c>
      <c r="L25" s="170">
        <f ca="1">F25*L4</f>
        <v>3</v>
      </c>
      <c r="M25" s="171">
        <f ca="1">SUM(I25:L25)</f>
        <v>4</v>
      </c>
      <c r="N25" s="169" t="str">
        <f t="shared" ref="N25:N27" si="28">H25</f>
        <v>Curaçao</v>
      </c>
      <c r="O25" s="170">
        <f ca="1">I25*O4</f>
        <v>0</v>
      </c>
      <c r="P25" s="214"/>
      <c r="Q25" s="170">
        <f ca="1">K25*Q4</f>
        <v>0</v>
      </c>
      <c r="R25" s="170">
        <f ca="1">L25*R4</f>
        <v>0</v>
      </c>
      <c r="S25" s="171">
        <f ca="1">SUM(O25:R25)</f>
        <v>0</v>
      </c>
      <c r="T25" s="169" t="str">
        <f t="shared" ref="T25:T27" si="29">N25</f>
        <v>Curaçao</v>
      </c>
      <c r="U25" s="170">
        <f ca="1">O25*U4</f>
        <v>0</v>
      </c>
      <c r="V25" s="214"/>
      <c r="W25" s="170">
        <f ca="1">Q25*W4</f>
        <v>0</v>
      </c>
      <c r="X25" s="170">
        <f ca="1">R25*X4</f>
        <v>0</v>
      </c>
      <c r="Y25" s="171">
        <f ca="1">SUM(U25:X25)</f>
        <v>0</v>
      </c>
    </row>
    <row r="26" spans="1:25" x14ac:dyDescent="0.25">
      <c r="A26" s="143"/>
      <c r="B26" s="163" t="str">
        <f>D2</f>
        <v>Cote d'Ivorie</v>
      </c>
      <c r="C26" s="164">
        <f ca="1">IF(G39="",0,G39)</f>
        <v>2</v>
      </c>
      <c r="D26" s="164">
        <f ca="1">IF(G41="",0,G41)</f>
        <v>2</v>
      </c>
      <c r="E26" s="209"/>
      <c r="F26" s="164">
        <f>IF(F38="",0,F38)</f>
        <v>1</v>
      </c>
      <c r="G26" s="165">
        <f ca="1">SUM(C26:F26)</f>
        <v>5</v>
      </c>
      <c r="H26" s="169" t="str">
        <f t="shared" si="27"/>
        <v>Cote d'Ivorie</v>
      </c>
      <c r="I26" s="170">
        <f ca="1">C26*I5</f>
        <v>0</v>
      </c>
      <c r="J26" s="170">
        <f ca="1">D26*J5</f>
        <v>0</v>
      </c>
      <c r="K26" s="214"/>
      <c r="L26" s="170">
        <f ca="1">F26*L5</f>
        <v>0</v>
      </c>
      <c r="M26" s="171">
        <f ca="1">SUM(I26:L26)</f>
        <v>0</v>
      </c>
      <c r="N26" s="169" t="str">
        <f t="shared" si="28"/>
        <v>Cote d'Ivorie</v>
      </c>
      <c r="O26" s="170">
        <f ca="1">I26*O5</f>
        <v>0</v>
      </c>
      <c r="P26" s="170">
        <f ca="1">J26*P5</f>
        <v>0</v>
      </c>
      <c r="Q26" s="214"/>
      <c r="R26" s="170">
        <f ca="1">L26*R5</f>
        <v>0</v>
      </c>
      <c r="S26" s="171">
        <f ca="1">SUM(O26:R26)</f>
        <v>0</v>
      </c>
      <c r="T26" s="169" t="str">
        <f t="shared" si="29"/>
        <v>Cote d'Ivorie</v>
      </c>
      <c r="U26" s="170">
        <f ca="1">O26*U5</f>
        <v>0</v>
      </c>
      <c r="V26" s="170">
        <f ca="1">P26*V5</f>
        <v>0</v>
      </c>
      <c r="W26" s="214"/>
      <c r="X26" s="170">
        <f ca="1">R26*X5</f>
        <v>0</v>
      </c>
      <c r="Y26" s="171">
        <f ca="1">SUM(U26:X26)</f>
        <v>0</v>
      </c>
    </row>
    <row r="27" spans="1:25" x14ac:dyDescent="0.25">
      <c r="A27" s="143"/>
      <c r="B27" s="166" t="str">
        <f>E2</f>
        <v>Ecuador</v>
      </c>
      <c r="C27" s="167">
        <f ca="1">IF(F42="",0,F42)</f>
        <v>1</v>
      </c>
      <c r="D27" s="167">
        <f ca="1">IF(F40="",0,F40)</f>
        <v>0</v>
      </c>
      <c r="E27" s="167">
        <f>IF(G38="",0,G38)</f>
        <v>0</v>
      </c>
      <c r="F27" s="210"/>
      <c r="G27" s="168">
        <f ca="1">SUM(C27:F27)</f>
        <v>1</v>
      </c>
      <c r="H27" s="172" t="str">
        <f t="shared" si="27"/>
        <v>Ecuador</v>
      </c>
      <c r="I27" s="173">
        <f ca="1">C27*I6</f>
        <v>1</v>
      </c>
      <c r="J27" s="173">
        <f ca="1">D27*J6</f>
        <v>0</v>
      </c>
      <c r="K27" s="173">
        <f ca="1">E27*K6</f>
        <v>0</v>
      </c>
      <c r="L27" s="215"/>
      <c r="M27" s="174">
        <f ca="1">SUM(I27:L27)</f>
        <v>1</v>
      </c>
      <c r="N27" s="172" t="str">
        <f t="shared" si="28"/>
        <v>Ecuador</v>
      </c>
      <c r="O27" s="173">
        <f ca="1">I27*O6</f>
        <v>0</v>
      </c>
      <c r="P27" s="173">
        <f ca="1">J27*P6</f>
        <v>0</v>
      </c>
      <c r="Q27" s="173">
        <f ca="1">K27*Q6</f>
        <v>0</v>
      </c>
      <c r="R27" s="215"/>
      <c r="S27" s="174">
        <f ca="1">SUM(O27:R27)</f>
        <v>0</v>
      </c>
      <c r="T27" s="172" t="str">
        <f t="shared" si="29"/>
        <v>Ecuador</v>
      </c>
      <c r="U27" s="173">
        <f ca="1">O27*U6</f>
        <v>0</v>
      </c>
      <c r="V27" s="173">
        <f ca="1">P27*V6</f>
        <v>0</v>
      </c>
      <c r="W27" s="173">
        <f ca="1">Q27*W6</f>
        <v>0</v>
      </c>
      <c r="X27" s="215"/>
      <c r="Y27" s="174">
        <f ca="1">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300" t="s">
        <v>669</v>
      </c>
      <c r="E29" s="300" t="s">
        <v>670</v>
      </c>
      <c r="F29" s="300" t="s">
        <v>671</v>
      </c>
      <c r="G29" s="232" t="s">
        <v>631</v>
      </c>
      <c r="H29" s="232" t="s">
        <v>632</v>
      </c>
      <c r="I29" s="232" t="s">
        <v>633</v>
      </c>
      <c r="J29" s="232" t="s">
        <v>676</v>
      </c>
      <c r="K29" s="232" t="s">
        <v>411</v>
      </c>
      <c r="L29" s="232" t="s">
        <v>661</v>
      </c>
      <c r="M29" s="232" t="s">
        <v>634</v>
      </c>
      <c r="N29" s="233" t="s">
        <v>635</v>
      </c>
    </row>
    <row r="30" spans="1:25" x14ac:dyDescent="0.25">
      <c r="A30" s="234">
        <f ca="1">N30</f>
        <v>2</v>
      </c>
      <c r="B30" s="235" t="str">
        <f>B2</f>
        <v>Germany</v>
      </c>
      <c r="C30" s="236">
        <v>3</v>
      </c>
      <c r="D30" s="236">
        <f ca="1">COUNTIF(FWinners,B30)</f>
        <v>1</v>
      </c>
      <c r="E30" s="236">
        <f ca="1">COUNTIF(FDraws,"D"&amp;B30)</f>
        <v>0</v>
      </c>
      <c r="F30" s="236">
        <f ca="1">COUNTIF(FLosers,B30)</f>
        <v>2</v>
      </c>
      <c r="G30" s="236">
        <f ca="1">F37+F39+G42</f>
        <v>8</v>
      </c>
      <c r="H30" s="236">
        <f ca="1">G37+G39+F42</f>
        <v>4</v>
      </c>
      <c r="I30" s="236">
        <f ca="1">G30-H30</f>
        <v>4</v>
      </c>
      <c r="J30" s="237">
        <f ca="1">Z10</f>
        <v>3</v>
      </c>
      <c r="K30" s="236">
        <f>VLOOKUP($B30,Lookup10,11,FALSE)</f>
        <v>0</v>
      </c>
      <c r="L30" s="236">
        <f>VLOOKUP($B30,Lookup11,2,FALSE)</f>
        <v>10</v>
      </c>
      <c r="M30" s="238">
        <f ca="1">ROUND(G30*G$34+I30*I$34+J30*J$34-K30*K$34-L30*L$34,8)</f>
        <v>30407.999</v>
      </c>
      <c r="N30" s="239">
        <f ca="1">RANK(M30,M$30:M$33,0)</f>
        <v>2</v>
      </c>
    </row>
    <row r="31" spans="1:25" x14ac:dyDescent="0.25">
      <c r="A31" s="234">
        <f ca="1">N31</f>
        <v>4</v>
      </c>
      <c r="B31" s="235" t="str">
        <f>C2</f>
        <v>Curaçao</v>
      </c>
      <c r="C31" s="236">
        <v>3</v>
      </c>
      <c r="D31" s="236">
        <f ca="1">COUNTIF(FWinners,B31)</f>
        <v>1</v>
      </c>
      <c r="E31" s="236">
        <f ca="1">COUNTIF(FDraws,"D"&amp;B31)</f>
        <v>0</v>
      </c>
      <c r="F31" s="236">
        <f ca="1">COUNTIF(FLosers,B31)</f>
        <v>2</v>
      </c>
      <c r="G31" s="236">
        <f ca="1">G37+G40+F41</f>
        <v>5</v>
      </c>
      <c r="H31" s="236">
        <f ca="1">F37+F40+G41</f>
        <v>9</v>
      </c>
      <c r="I31" s="236">
        <f t="shared" ref="I31:I33" ca="1" si="30">G31-H31</f>
        <v>-4</v>
      </c>
      <c r="J31" s="237">
        <f ca="1">Z11</f>
        <v>1</v>
      </c>
      <c r="K31" s="236">
        <f>VLOOKUP($B31,Lookup10,11,FALSE)</f>
        <v>0</v>
      </c>
      <c r="L31" s="236">
        <f>VLOOKUP($B31,Lookup11,2,FALSE)</f>
        <v>46</v>
      </c>
      <c r="M31" s="238">
        <f ca="1">ROUND(G31*G$34+I31*I$34+J31*J$34-K31*K$34-L31*L$34,8)</f>
        <v>9604.9953999999998</v>
      </c>
      <c r="N31" s="239">
        <f ca="1">RANK(M31,M$30:M$33,0)</f>
        <v>4</v>
      </c>
    </row>
    <row r="32" spans="1:25" x14ac:dyDescent="0.25">
      <c r="A32" s="234">
        <f ca="1">N32</f>
        <v>1</v>
      </c>
      <c r="B32" s="235" t="str">
        <f>D2</f>
        <v>Cote d'Ivorie</v>
      </c>
      <c r="C32" s="236">
        <v>3</v>
      </c>
      <c r="D32" s="236">
        <f ca="1">COUNTIF(FWinners,B32)</f>
        <v>3</v>
      </c>
      <c r="E32" s="236">
        <f ca="1">COUNTIF(FDraws,"D"&amp;B32)</f>
        <v>0</v>
      </c>
      <c r="F32" s="236">
        <f ca="1">COUNTIF(FLosers,B32)</f>
        <v>0</v>
      </c>
      <c r="G32" s="236">
        <f ca="1">F38+G39+G41</f>
        <v>5</v>
      </c>
      <c r="H32" s="236">
        <f ca="1">G38+F39+F41</f>
        <v>2</v>
      </c>
      <c r="I32" s="236">
        <f t="shared" ca="1" si="30"/>
        <v>3</v>
      </c>
      <c r="J32" s="237">
        <f ca="1">Z12</f>
        <v>4</v>
      </c>
      <c r="K32" s="236">
        <f>VLOOKUP($B32,Lookup10,11,FALSE)</f>
        <v>3</v>
      </c>
      <c r="L32" s="236">
        <f>VLOOKUP($B32,Lookup11,2,FALSE)</f>
        <v>29</v>
      </c>
      <c r="M32" s="238">
        <f ca="1">ROUND(G32*G$34+I32*I$34+J32*J$34-K32*K$34-L32*L$34,8)</f>
        <v>40304.967100000002</v>
      </c>
      <c r="N32" s="239">
        <f ca="1">RANK(M32,M$30:M$33,0)</f>
        <v>1</v>
      </c>
    </row>
    <row r="33" spans="1:16" x14ac:dyDescent="0.25">
      <c r="A33" s="234">
        <f ca="1">N33</f>
        <v>3</v>
      </c>
      <c r="B33" s="235" t="str">
        <f>E2</f>
        <v>Ecuador</v>
      </c>
      <c r="C33" s="236">
        <v>3</v>
      </c>
      <c r="D33" s="236">
        <f ca="1">COUNTIF(FWinners,B33)</f>
        <v>1</v>
      </c>
      <c r="E33" s="236">
        <f ca="1">COUNTIF(FDraws,"D"&amp;B33)</f>
        <v>0</v>
      </c>
      <c r="F33" s="236">
        <f ca="1">COUNTIF(FLosers,B33)</f>
        <v>2</v>
      </c>
      <c r="G33" s="236">
        <f ca="1">G38+F40+F42</f>
        <v>1</v>
      </c>
      <c r="H33" s="236">
        <f ca="1">F38+G40+G42</f>
        <v>4</v>
      </c>
      <c r="I33" s="236">
        <f t="shared" ca="1" si="30"/>
        <v>-3</v>
      </c>
      <c r="J33" s="237">
        <f ca="1">Z13</f>
        <v>2</v>
      </c>
      <c r="K33" s="236">
        <f>VLOOKUP($B33,Lookup10,11,FALSE)</f>
        <v>1</v>
      </c>
      <c r="L33" s="236">
        <f>VLOOKUP($B33,Lookup11,2,FALSE)</f>
        <v>21</v>
      </c>
      <c r="M33" s="238">
        <f ca="1">ROUND(G33*G$34+I33*I$34+J33*J$34-K33*K$34-L33*L$34,8)</f>
        <v>19700.9879</v>
      </c>
      <c r="N33" s="239">
        <f ca="1">RANK(M33,M$30:M$33,0)</f>
        <v>3</v>
      </c>
    </row>
    <row r="34" spans="1:16" x14ac:dyDescent="0.25">
      <c r="A34" s="240"/>
      <c r="B34" s="241" t="s">
        <v>636</v>
      </c>
      <c r="C34" s="242">
        <f>SUM(C30:C33)</f>
        <v>12</v>
      </c>
      <c r="D34" s="242"/>
      <c r="E34" s="242"/>
      <c r="F34" s="242"/>
      <c r="G34" s="205">
        <v>1</v>
      </c>
      <c r="H34" s="205"/>
      <c r="I34" s="205">
        <v>100</v>
      </c>
      <c r="J34" s="205">
        <v>10000</v>
      </c>
      <c r="K34" s="205">
        <v>0.01</v>
      </c>
      <c r="L34" s="205">
        <v>1E-4</v>
      </c>
      <c r="M34" s="242"/>
      <c r="N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GermanyCuraçao</v>
      </c>
      <c r="B37" s="158" t="str">
        <f>B1&amp;C1</f>
        <v>E1E2</v>
      </c>
      <c r="C37" s="158">
        <v>1</v>
      </c>
      <c r="D37" s="150" t="str">
        <f>B2</f>
        <v>Germany</v>
      </c>
      <c r="E37" s="150" t="str">
        <f>C2</f>
        <v>Curaçao</v>
      </c>
      <c r="F37" s="158">
        <f t="shared" ref="F37:F42" si="31">VLOOKUP($B37,Lookup18,6,FALSE)</f>
        <v>7</v>
      </c>
      <c r="G37" s="158">
        <f t="shared" ref="G37:G42" si="32">VLOOKUP($B37,Lookup18,8,FALSE)</f>
        <v>1</v>
      </c>
      <c r="H37" s="158">
        <f t="shared" ref="H37:H42" si="33">IF(C37=0,0,IF(F37&lt;G37,Lpts,IF(F37&gt;G37,Wpts,Dpts)))</f>
        <v>3</v>
      </c>
      <c r="I37" s="158">
        <f t="shared" ref="I37:I42" si="34">IF(C37=0,0,IF(G37&lt;F37,Lpts,IF(G37&gt;F37,Wpts,Dpts)))</f>
        <v>0</v>
      </c>
      <c r="J37" s="158">
        <f t="shared" ref="J37:K42" si="35">IF(VLOOKUP($B37,Lookup12,4,FALSE)="",0,VLOOKUP($B37,Lookup12,4,FALSE))</f>
        <v>0</v>
      </c>
      <c r="K37" s="158">
        <f t="shared" si="35"/>
        <v>0</v>
      </c>
      <c r="L37" s="143"/>
      <c r="M37" s="143"/>
      <c r="N37" s="143"/>
      <c r="O37" s="143"/>
      <c r="P37" s="143"/>
    </row>
    <row r="38" spans="1:16" x14ac:dyDescent="0.25">
      <c r="A38" s="149" t="str">
        <f>D2&amp;E2</f>
        <v>Cote d'IvorieEcuador</v>
      </c>
      <c r="B38" s="158" t="str">
        <f>D1&amp;E1</f>
        <v>E3E4</v>
      </c>
      <c r="C38" s="158">
        <v>1</v>
      </c>
      <c r="D38" s="150" t="str">
        <f>D2</f>
        <v>Cote d'Ivorie</v>
      </c>
      <c r="E38" s="150" t="str">
        <f>E2</f>
        <v>Ecuador</v>
      </c>
      <c r="F38" s="158">
        <f t="shared" si="31"/>
        <v>1</v>
      </c>
      <c r="G38" s="158">
        <f t="shared" si="32"/>
        <v>0</v>
      </c>
      <c r="H38" s="158">
        <f t="shared" si="33"/>
        <v>3</v>
      </c>
      <c r="I38" s="158">
        <f t="shared" si="34"/>
        <v>0</v>
      </c>
      <c r="J38" s="158">
        <f t="shared" si="35"/>
        <v>3</v>
      </c>
      <c r="K38" s="158">
        <f t="shared" si="35"/>
        <v>3</v>
      </c>
      <c r="L38" s="143"/>
      <c r="M38" s="143"/>
      <c r="N38" s="143"/>
      <c r="O38" s="143"/>
      <c r="P38" s="143"/>
    </row>
    <row r="39" spans="1:16" x14ac:dyDescent="0.25">
      <c r="A39" s="149" t="str">
        <f>B2&amp;D2</f>
        <v>GermanyCote d'Ivorie</v>
      </c>
      <c r="B39" s="158" t="str">
        <f>B1&amp;D1</f>
        <v>E1E3</v>
      </c>
      <c r="C39" s="158">
        <v>1</v>
      </c>
      <c r="D39" s="150" t="str">
        <f>B2</f>
        <v>Germany</v>
      </c>
      <c r="E39" s="150" t="str">
        <f>D2</f>
        <v>Cote d'Ivorie</v>
      </c>
      <c r="F39" s="158">
        <f t="shared" ca="1" si="31"/>
        <v>1</v>
      </c>
      <c r="G39" s="158">
        <f t="shared" ca="1" si="32"/>
        <v>2</v>
      </c>
      <c r="H39" s="158">
        <f t="shared" ca="1" si="33"/>
        <v>0</v>
      </c>
      <c r="I39" s="158">
        <f t="shared" ca="1" si="34"/>
        <v>3</v>
      </c>
      <c r="J39" s="158">
        <f t="shared" si="35"/>
        <v>0</v>
      </c>
      <c r="K39" s="158">
        <f t="shared" si="35"/>
        <v>0</v>
      </c>
      <c r="L39" s="143"/>
      <c r="M39" s="143"/>
      <c r="N39" s="143"/>
      <c r="O39" s="143"/>
      <c r="P39" s="143"/>
    </row>
    <row r="40" spans="1:16" x14ac:dyDescent="0.25">
      <c r="A40" s="149" t="str">
        <f>E2&amp;C2</f>
        <v>EcuadorCuraçao</v>
      </c>
      <c r="B40" s="158" t="str">
        <f>E1&amp;C1</f>
        <v>E4E2</v>
      </c>
      <c r="C40" s="158">
        <v>1</v>
      </c>
      <c r="D40" s="150" t="str">
        <f>E2</f>
        <v>Ecuador</v>
      </c>
      <c r="E40" s="150" t="str">
        <f>C2</f>
        <v>Curaçao</v>
      </c>
      <c r="F40" s="158">
        <f t="shared" ca="1" si="31"/>
        <v>0</v>
      </c>
      <c r="G40" s="158">
        <f t="shared" ca="1" si="32"/>
        <v>3</v>
      </c>
      <c r="H40" s="158">
        <f t="shared" ca="1" si="33"/>
        <v>0</v>
      </c>
      <c r="I40" s="158">
        <f t="shared" ca="1" si="34"/>
        <v>3</v>
      </c>
      <c r="J40" s="158">
        <f t="shared" si="35"/>
        <v>0</v>
      </c>
      <c r="K40" s="158">
        <f t="shared" si="35"/>
        <v>0</v>
      </c>
      <c r="L40" s="143"/>
      <c r="M40" s="143"/>
      <c r="N40" s="143"/>
      <c r="O40" s="143"/>
      <c r="P40" s="143"/>
    </row>
    <row r="41" spans="1:16" x14ac:dyDescent="0.25">
      <c r="A41" s="149" t="str">
        <f>C2&amp;D2</f>
        <v>CuraçaoCote d'Ivorie</v>
      </c>
      <c r="B41" s="158" t="str">
        <f>C1&amp;D1</f>
        <v>E2E3</v>
      </c>
      <c r="C41" s="158">
        <v>1</v>
      </c>
      <c r="D41" s="150" t="str">
        <f>C2</f>
        <v>Curaçao</v>
      </c>
      <c r="E41" s="150" t="str">
        <f>D2</f>
        <v>Cote d'Ivorie</v>
      </c>
      <c r="F41" s="158">
        <f t="shared" ca="1" si="31"/>
        <v>1</v>
      </c>
      <c r="G41" s="158">
        <f t="shared" ca="1" si="32"/>
        <v>2</v>
      </c>
      <c r="H41" s="158">
        <f t="shared" ca="1" si="33"/>
        <v>0</v>
      </c>
      <c r="I41" s="158">
        <f t="shared" ca="1" si="34"/>
        <v>3</v>
      </c>
      <c r="J41" s="158">
        <f t="shared" si="35"/>
        <v>0</v>
      </c>
      <c r="K41" s="158">
        <f t="shared" si="35"/>
        <v>0</v>
      </c>
      <c r="L41" s="143"/>
      <c r="M41" s="143"/>
      <c r="N41" s="143"/>
      <c r="O41" s="143"/>
      <c r="P41" s="143"/>
    </row>
    <row r="42" spans="1:16" x14ac:dyDescent="0.25">
      <c r="A42" s="151" t="str">
        <f>E2&amp;B2</f>
        <v>EcuadorGermany</v>
      </c>
      <c r="B42" s="159" t="str">
        <f>E1&amp;B1</f>
        <v>E4E1</v>
      </c>
      <c r="C42" s="159">
        <v>1</v>
      </c>
      <c r="D42" s="152" t="str">
        <f>E2</f>
        <v>Ecuador</v>
      </c>
      <c r="E42" s="152" t="str">
        <f>B2</f>
        <v>Germany</v>
      </c>
      <c r="F42" s="159">
        <f t="shared" ca="1" si="31"/>
        <v>1</v>
      </c>
      <c r="G42" s="159">
        <f t="shared" ca="1" si="32"/>
        <v>0</v>
      </c>
      <c r="H42" s="159">
        <f t="shared" ca="1" si="33"/>
        <v>3</v>
      </c>
      <c r="I42" s="159">
        <f t="shared" ca="1" si="34"/>
        <v>0</v>
      </c>
      <c r="J42" s="159">
        <f t="shared" si="35"/>
        <v>0</v>
      </c>
      <c r="K42" s="159">
        <f t="shared" si="35"/>
        <v>0</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 ca="1">$B45</f>
        <v>Cote d'Ivorie</v>
      </c>
      <c r="M44" s="154" t="str">
        <f ca="1">$B46</f>
        <v>Germany</v>
      </c>
      <c r="N44" s="154" t="str">
        <f ca="1">$B47</f>
        <v>Ecuador</v>
      </c>
      <c r="O44" s="154" t="str">
        <f ca="1">$B48</f>
        <v>Curaçao</v>
      </c>
      <c r="P44" s="155"/>
    </row>
    <row r="45" spans="1:16" x14ac:dyDescent="0.25">
      <c r="A45" s="156">
        <v>1</v>
      </c>
      <c r="B45" s="156" t="str">
        <f ca="1">VLOOKUP($A45,Ranking,2,FALSE)</f>
        <v>Cote d'Ivorie</v>
      </c>
      <c r="C45" s="157">
        <v>3</v>
      </c>
      <c r="D45" s="157">
        <f ca="1">VLOOKUP($A45,Ranking,4,FALSE)</f>
        <v>3</v>
      </c>
      <c r="E45" s="157">
        <f ca="1">VLOOKUP($A45,Ranking,5,FALSE)</f>
        <v>0</v>
      </c>
      <c r="F45" s="157">
        <f ca="1">VLOOKUP($A45,Ranking,6,FALSE)</f>
        <v>0</v>
      </c>
      <c r="G45" s="157">
        <f ca="1">VLOOKUP($A45,Ranking,7,FALSE)</f>
        <v>5</v>
      </c>
      <c r="H45" s="157">
        <f ca="1">VLOOKUP($A45,Ranking,8,FALSE)</f>
        <v>2</v>
      </c>
      <c r="I45" s="157">
        <f ca="1">G45-H45</f>
        <v>3</v>
      </c>
      <c r="J45" s="157">
        <f ca="1">D45*Wpts+E45*Dpts+FGrpE!F45*Lpts</f>
        <v>9</v>
      </c>
      <c r="K45" s="201" t="str">
        <f ca="1">B45</f>
        <v>Cote d'Ivorie</v>
      </c>
      <c r="L45" s="203"/>
      <c r="M45" s="202" t="str">
        <f ca="1">IFERROR(VLOOKUP($B45&amp;M$44,A37:G42,6,FALSE)&amp;"-"&amp;VLOOKUP($B45&amp;M$44,A37:G42,7,FALSE),VLOOKUP(M$44&amp;$B45,A37:G42,7,FALSE)&amp;"-"&amp;VLOOKUP(M$44&amp;$B45,A37:G42,6,FALSE))</f>
        <v>2-1</v>
      </c>
      <c r="N45" s="202" t="str">
        <f ca="1">IFERROR(VLOOKUP($B45&amp;N$44,A37:G42,6,FALSE)&amp;"-"&amp;VLOOKUP($B45&amp;N$44,A37:G42,7,FALSE),VLOOKUP(N$44&amp;$B45,A37:G42,7,FALSE)&amp;"-"&amp;VLOOKUP(N$44&amp;$B45,A37:G42,6,FALSE))</f>
        <v>1-0</v>
      </c>
      <c r="O45" s="202" t="str">
        <f ca="1">IFERROR(VLOOKUP($B45&amp;O$44,A37:G42,6,FALSE)&amp;"-"&amp;VLOOKUP($B45&amp;O$44,A37:G42,7,FALSE),VLOOKUP(O$44&amp;$B45,A37:G42,7,FALSE)&amp;"-"&amp;VLOOKUP(O$44&amp;$B45,A37:G42,6,FALSE))</f>
        <v>2-1</v>
      </c>
      <c r="P45" s="155"/>
    </row>
    <row r="46" spans="1:16" x14ac:dyDescent="0.25">
      <c r="A46" s="156">
        <v>2</v>
      </c>
      <c r="B46" s="156" t="str">
        <f ca="1">VLOOKUP($A46,Ranking,2,FALSE)</f>
        <v>Germany</v>
      </c>
      <c r="C46" s="157">
        <v>3</v>
      </c>
      <c r="D46" s="157">
        <f ca="1">VLOOKUP($A46,Ranking,4,FALSE)</f>
        <v>1</v>
      </c>
      <c r="E46" s="157">
        <f ca="1">VLOOKUP($A46,Ranking,5,FALSE)</f>
        <v>0</v>
      </c>
      <c r="F46" s="157">
        <f ca="1">VLOOKUP($A46,Ranking,6,FALSE)</f>
        <v>2</v>
      </c>
      <c r="G46" s="157">
        <f ca="1">VLOOKUP($A46,Ranking,7,FALSE)</f>
        <v>8</v>
      </c>
      <c r="H46" s="157">
        <f ca="1">VLOOKUP($A46,Ranking,8,FALSE)</f>
        <v>4</v>
      </c>
      <c r="I46" s="157">
        <f t="shared" ref="I46:I48" ca="1" si="36">G46-H46</f>
        <v>4</v>
      </c>
      <c r="J46" s="157">
        <f ca="1">D46*Wpts+E46*Dpts+FGrpE!F46*Lpts</f>
        <v>3</v>
      </c>
      <c r="K46" s="201" t="str">
        <f ca="1">B46</f>
        <v>Germany</v>
      </c>
      <c r="L46" s="202" t="str">
        <f ca="1">IFERROR(VLOOKUP($B46&amp;L$44,A37:G42,6,FALSE)&amp;"-"&amp;VLOOKUP($B46&amp;L$44,A37:G42,7,FALSE),VLOOKUP(L$44&amp;$B46,A37:G42,7,FALSE)&amp;"-"&amp;VLOOKUP(L$44&amp;$B46,A37:G42,6,FALSE))</f>
        <v>1-2</v>
      </c>
      <c r="M46" s="203"/>
      <c r="N46" s="202" t="str">
        <f ca="1">IFERROR(VLOOKUP($B46&amp;N$44,A37:G42,6,FALSE)&amp;"-"&amp;VLOOKUP($B46&amp;N$44,A37:G42,7,FALSE),VLOOKUP(N$44&amp;$B46,A37:G42,7,FALSE)&amp;"-"&amp;VLOOKUP(N$44&amp;$B46,A37:G42,6,FALSE))</f>
        <v>0-1</v>
      </c>
      <c r="O46" s="202" t="str">
        <f ca="1">IFERROR(VLOOKUP($B46&amp;O$44,A37:G42,6,FALSE)&amp;"-"&amp;VLOOKUP($B46&amp;O$44,A37:G42,7,FALSE),VLOOKUP(O$44&amp;$B46,A37:G42,7,FALSE)&amp;"-"&amp;VLOOKUP(O$44&amp;$B46,A37:G42,6,FALSE))</f>
        <v>7-1</v>
      </c>
      <c r="P46" s="155"/>
    </row>
    <row r="47" spans="1:16" x14ac:dyDescent="0.25">
      <c r="A47" s="156">
        <v>3</v>
      </c>
      <c r="B47" s="156" t="str">
        <f ca="1">VLOOKUP($A47,Ranking,2,FALSE)</f>
        <v>Ecuador</v>
      </c>
      <c r="C47" s="157">
        <v>3</v>
      </c>
      <c r="D47" s="157">
        <f ca="1">VLOOKUP($A47,Ranking,4,FALSE)</f>
        <v>1</v>
      </c>
      <c r="E47" s="157">
        <f ca="1">VLOOKUP($A47,Ranking,5,FALSE)</f>
        <v>0</v>
      </c>
      <c r="F47" s="157">
        <f ca="1">VLOOKUP($A47,Ranking,6,FALSE)</f>
        <v>2</v>
      </c>
      <c r="G47" s="157">
        <f ca="1">VLOOKUP($A47,Ranking,7,FALSE)</f>
        <v>1</v>
      </c>
      <c r="H47" s="157">
        <f ca="1">VLOOKUP($A47,Ranking,8,FALSE)</f>
        <v>4</v>
      </c>
      <c r="I47" s="157">
        <f t="shared" ca="1" si="36"/>
        <v>-3</v>
      </c>
      <c r="J47" s="157">
        <f ca="1">D47*Wpts+E47*Dpts+FGrpE!F47*Lpts</f>
        <v>3</v>
      </c>
      <c r="K47" s="201" t="str">
        <f ca="1">B47</f>
        <v>Ecuador</v>
      </c>
      <c r="L47" s="202" t="str">
        <f ca="1">IFERROR(VLOOKUP($B47&amp;L$44,A37:G42,6,FALSE)&amp;"-"&amp;VLOOKUP($B47&amp;L$44,A37:G42,7,FALSE),VLOOKUP(L$44&amp;$B47,A37:G42,7,FALSE)&amp;"-"&amp;VLOOKUP(L$44&amp;$B47,A37:G42,6,FALSE))</f>
        <v>0-1</v>
      </c>
      <c r="M47" s="202" t="str">
        <f ca="1">IFERROR(VLOOKUP($B47&amp;M$44,A37:G42,6,FALSE)&amp;"-"&amp;VLOOKUP($B47&amp;M$44,A37:G42,7,FALSE),VLOOKUP(M$44&amp;$B47,A37:G42,7,FALSE)&amp;"-"&amp;VLOOKUP(M$44&amp;$B47,A37:G42,6,FALSE))</f>
        <v>1-0</v>
      </c>
      <c r="N47" s="203"/>
      <c r="O47" s="202" t="str">
        <f ca="1">IFERROR(VLOOKUP($B47&amp;O$44,A37:G42,6,FALSE)&amp;"-"&amp;VLOOKUP($B47&amp;O$44,A37:G42,7,FALSE),VLOOKUP(O$44&amp;$B47,A37:G42,7,FALSE)&amp;"-"&amp;VLOOKUP(O$44&amp;$B47,A37:G42,6,FALSE))</f>
        <v>0-3</v>
      </c>
      <c r="P47" s="155"/>
    </row>
    <row r="48" spans="1:16" x14ac:dyDescent="0.25">
      <c r="A48" s="156">
        <v>4</v>
      </c>
      <c r="B48" s="156" t="str">
        <f ca="1">VLOOKUP($A48,Ranking,2,FALSE)</f>
        <v>Curaçao</v>
      </c>
      <c r="C48" s="157">
        <v>3</v>
      </c>
      <c r="D48" s="157">
        <f ca="1">VLOOKUP($A48,Ranking,4,FALSE)</f>
        <v>1</v>
      </c>
      <c r="E48" s="157">
        <f ca="1">VLOOKUP($A48,Ranking,5,FALSE)</f>
        <v>0</v>
      </c>
      <c r="F48" s="157">
        <f ca="1">VLOOKUP($A48,Ranking,6,FALSE)</f>
        <v>2</v>
      </c>
      <c r="G48" s="157">
        <f ca="1">VLOOKUP($A48,Ranking,7,FALSE)</f>
        <v>5</v>
      </c>
      <c r="H48" s="157">
        <f ca="1">VLOOKUP($A48,Ranking,8,FALSE)</f>
        <v>9</v>
      </c>
      <c r="I48" s="157">
        <f t="shared" ca="1" si="36"/>
        <v>-4</v>
      </c>
      <c r="J48" s="157">
        <f ca="1">D48*Wpts+E48*Dpts+FGrpE!F48*Lpts</f>
        <v>3</v>
      </c>
      <c r="K48" s="201" t="str">
        <f ca="1">B48</f>
        <v>Curaçao</v>
      </c>
      <c r="L48" s="202" t="str">
        <f ca="1">IFERROR(VLOOKUP($B48&amp;L$44,A37:G42,6,FALSE)&amp;"-"&amp;VLOOKUP($B48&amp;L$44,A37:G42,7,FALSE),VLOOKUP(L$44&amp;$B48,A37:G42,7,FALSE)&amp;"-"&amp;VLOOKUP(L$44&amp;$B48,A37:G42,6,FALSE))</f>
        <v>1-2</v>
      </c>
      <c r="M48" s="202" t="str">
        <f ca="1">IFERROR(VLOOKUP($B48&amp;M$44,A37:G42,6,FALSE)&amp;"-"&amp;VLOOKUP($B48&amp;M$44,A37:G42,7,FALSE),VLOOKUP(M$44&amp;$B48,A37:G42,7,FALSE)&amp;"-"&amp;VLOOKUP(M$44&amp;$B48,A37:G42,6,FALSE))</f>
        <v>1-7</v>
      </c>
      <c r="N48" s="202" t="str">
        <f ca="1">IFERROR(VLOOKUP($B48&amp;N$44,A37:G42,6,FALSE)&amp;"-"&amp;VLOOKUP($B48&amp;N$44,A37:G42,7,FALSE),VLOOKUP(N$44&amp;$B48,A37:G42,7,FALSE)&amp;"-"&amp;VLOOKUP(N$44&amp;$B48,A37:G42,6,FALSE))</f>
        <v>3-0</v>
      </c>
      <c r="O48" s="203"/>
      <c r="P48" s="155"/>
    </row>
    <row r="49" spans="1:16" x14ac:dyDescent="0.25">
      <c r="A49" s="143"/>
      <c r="B49" s="143"/>
      <c r="C49" s="461">
        <f>SUM(C45:C48)</f>
        <v>12</v>
      </c>
      <c r="D49" s="143"/>
      <c r="E49" s="143"/>
      <c r="F49" s="143"/>
      <c r="G49" s="143"/>
      <c r="H49" s="143"/>
      <c r="I49" s="143"/>
      <c r="J49" s="143"/>
      <c r="K49" s="143"/>
      <c r="L49" s="143"/>
      <c r="M49" s="143"/>
      <c r="N49" s="143"/>
      <c r="O49" s="143"/>
      <c r="P49" s="143"/>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D4A75-844C-4A75-B9E8-E759F448053C}">
  <sheetPr>
    <tabColor rgb="FF7030A0"/>
  </sheetPr>
  <dimension ref="A1:Z49"/>
  <sheetViews>
    <sheetView workbookViewId="0">
      <pane ySplit="2" topLeftCell="A21"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28" t="s">
        <v>320</v>
      </c>
      <c r="B1" s="216" t="str">
        <f>A2&amp;1</f>
        <v>F1</v>
      </c>
      <c r="C1" s="216" t="str">
        <f>A2&amp;2</f>
        <v>F2</v>
      </c>
      <c r="D1" s="216" t="str">
        <f>A2&amp;3</f>
        <v>F3</v>
      </c>
      <c r="E1" s="216" t="str">
        <f>A2&amp;4</f>
        <v>F4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307</v>
      </c>
      <c r="B2" s="217" t="str">
        <f>VLOOKUP(B1,Lookup08,2,FALSE)</f>
        <v>Netherlands</v>
      </c>
      <c r="C2" s="217" t="str">
        <f>VLOOKUP(C1,Lookup08,2,FALSE)</f>
        <v>Japan</v>
      </c>
      <c r="D2" s="217" t="str">
        <f>VLOOKUP(D1,Lookup08,2,FALSE)</f>
        <v>Sweden</v>
      </c>
      <c r="E2" s="217" t="str">
        <f>VLOOKUP(E1,Lookup08,2,FALSE)</f>
        <v>Tunisia</v>
      </c>
      <c r="F2" s="144"/>
      <c r="G2" s="144"/>
      <c r="H2" s="195"/>
      <c r="I2" s="196" t="str">
        <f>B2</f>
        <v>Netherlands</v>
      </c>
      <c r="J2" s="196" t="str">
        <f>C2</f>
        <v>Japan</v>
      </c>
      <c r="K2" s="196" t="str">
        <f>D2</f>
        <v>Sweden</v>
      </c>
      <c r="L2" s="196" t="str">
        <f>E2</f>
        <v>Tunisia</v>
      </c>
      <c r="M2" s="197" t="s">
        <v>26</v>
      </c>
      <c r="N2" s="195"/>
      <c r="O2" s="196" t="str">
        <f>I2</f>
        <v>Netherlands</v>
      </c>
      <c r="P2" s="196" t="str">
        <f t="shared" ref="P2:R2" si="0">J2</f>
        <v>Japan</v>
      </c>
      <c r="Q2" s="196" t="str">
        <f t="shared" si="0"/>
        <v>Sweden</v>
      </c>
      <c r="R2" s="196" t="str">
        <f t="shared" si="0"/>
        <v>Tunisia</v>
      </c>
      <c r="S2" s="197" t="s">
        <v>26</v>
      </c>
      <c r="T2" s="195"/>
      <c r="U2" s="196" t="str">
        <f>O2</f>
        <v>Netherlands</v>
      </c>
      <c r="V2" s="196" t="str">
        <f t="shared" ref="V2:X2" si="1">P2</f>
        <v>Japan</v>
      </c>
      <c r="W2" s="196" t="str">
        <f t="shared" si="1"/>
        <v>Sweden</v>
      </c>
      <c r="X2" s="196" t="str">
        <f t="shared" si="1"/>
        <v>Tunisia</v>
      </c>
      <c r="Y2" s="197" t="s">
        <v>26</v>
      </c>
    </row>
    <row r="3" spans="1:26" x14ac:dyDescent="0.25">
      <c r="A3" s="144"/>
      <c r="B3" s="144"/>
      <c r="C3" s="144"/>
      <c r="F3" s="144"/>
      <c r="G3" s="144"/>
      <c r="H3" s="195" t="str">
        <f>B2</f>
        <v>Netherlands</v>
      </c>
      <c r="I3" s="211"/>
      <c r="J3" s="196">
        <f ca="1">IF(G10=G11,1,0)</f>
        <v>1</v>
      </c>
      <c r="K3" s="196">
        <f ca="1">IF(G10=G12,1,0)</f>
        <v>0</v>
      </c>
      <c r="L3" s="196">
        <f ca="1">IF(G10=G13,1,0)</f>
        <v>0</v>
      </c>
      <c r="M3" s="197">
        <f ca="1">SUM(I3:L3)</f>
        <v>1</v>
      </c>
      <c r="N3" s="195" t="str">
        <f>H3</f>
        <v>Netherlands</v>
      </c>
      <c r="O3" s="211"/>
      <c r="P3" s="196">
        <f ca="1">IF(M10=M11,1,0)</f>
        <v>1</v>
      </c>
      <c r="Q3" s="196">
        <f ca="1">IF(M10=M12,1,0)</f>
        <v>0</v>
      </c>
      <c r="R3" s="196">
        <f ca="1">IF(M10=M13,1,0)</f>
        <v>0</v>
      </c>
      <c r="S3" s="197">
        <f ca="1">SUM(O3:R3)</f>
        <v>1</v>
      </c>
      <c r="T3" s="195" t="str">
        <f>N3</f>
        <v>Netherlands</v>
      </c>
      <c r="U3" s="211"/>
      <c r="V3" s="196">
        <f ca="1">IF(S10=S11,1,0)</f>
        <v>1</v>
      </c>
      <c r="W3" s="196">
        <f ca="1">IF(S10=S12,1,0)</f>
        <v>0</v>
      </c>
      <c r="X3" s="196">
        <f ca="1">IF(S10=S13,1,0)</f>
        <v>0</v>
      </c>
      <c r="Y3" s="197">
        <f ca="1">SUM(U3:X3)</f>
        <v>1</v>
      </c>
    </row>
    <row r="4" spans="1:26" x14ac:dyDescent="0.25">
      <c r="A4" s="144"/>
      <c r="B4" s="144"/>
      <c r="C4" s="144"/>
      <c r="F4" s="144"/>
      <c r="G4" s="144"/>
      <c r="H4" s="195" t="str">
        <f>C2</f>
        <v>Japan</v>
      </c>
      <c r="I4" s="196">
        <f ca="1">IF(G11=G10,1,0)</f>
        <v>1</v>
      </c>
      <c r="J4" s="211"/>
      <c r="K4" s="196">
        <f ca="1">IF(G11=G12,1,0)</f>
        <v>0</v>
      </c>
      <c r="L4" s="196">
        <f ca="1">IF(G11=G13,1,0)</f>
        <v>0</v>
      </c>
      <c r="M4" s="197">
        <f ca="1">SUM(I4:L4)</f>
        <v>1</v>
      </c>
      <c r="N4" s="195" t="str">
        <f t="shared" ref="N4:N6" si="2">H4</f>
        <v>Japan</v>
      </c>
      <c r="O4" s="196">
        <f ca="1">IF(M11=M10,1,0)</f>
        <v>1</v>
      </c>
      <c r="P4" s="211"/>
      <c r="Q4" s="196">
        <f ca="1">IF(M11=M12,1,0)</f>
        <v>0</v>
      </c>
      <c r="R4" s="196">
        <f ca="1">IF(M11=M13,1,0)</f>
        <v>0</v>
      </c>
      <c r="S4" s="197">
        <f ca="1">SUM(O4:R4)</f>
        <v>1</v>
      </c>
      <c r="T4" s="195" t="str">
        <f t="shared" ref="T4:T6" si="3">N4</f>
        <v>Japan</v>
      </c>
      <c r="U4" s="196">
        <f ca="1">IF(S11=S10,1,0)</f>
        <v>1</v>
      </c>
      <c r="V4" s="211"/>
      <c r="W4" s="196">
        <f ca="1">IF(S11=S12,1,0)</f>
        <v>0</v>
      </c>
      <c r="X4" s="196">
        <f ca="1">IF(S11=S13,1,0)</f>
        <v>0</v>
      </c>
      <c r="Y4" s="197">
        <f ca="1">SUM(U4:X4)</f>
        <v>1</v>
      </c>
    </row>
    <row r="5" spans="1:26" x14ac:dyDescent="0.25">
      <c r="A5" s="144"/>
      <c r="B5" s="144"/>
      <c r="C5" s="144"/>
      <c r="F5" s="144"/>
      <c r="G5" s="144"/>
      <c r="H5" s="195" t="str">
        <f>D2</f>
        <v>Sweden</v>
      </c>
      <c r="I5" s="196">
        <f ca="1">IF(G12=G10,1,0)</f>
        <v>0</v>
      </c>
      <c r="J5" s="196">
        <f ca="1">IF(G12=G11,1,0)</f>
        <v>0</v>
      </c>
      <c r="K5" s="211"/>
      <c r="L5" s="196">
        <f ca="1">IF(G12=G13,1,0)</f>
        <v>0</v>
      </c>
      <c r="M5" s="197">
        <f ca="1">SUM(I5:L5)</f>
        <v>0</v>
      </c>
      <c r="N5" s="195" t="str">
        <f t="shared" si="2"/>
        <v>Sweden</v>
      </c>
      <c r="O5" s="196">
        <f ca="1">IF(M12=M10,1,0)</f>
        <v>0</v>
      </c>
      <c r="P5" s="196">
        <f ca="1">IF(M12=M11,1,0)</f>
        <v>0</v>
      </c>
      <c r="Q5" s="211"/>
      <c r="R5" s="196">
        <f ca="1">IF(M12=M13,1,0)</f>
        <v>0</v>
      </c>
      <c r="S5" s="197">
        <f ca="1">SUM(O5:R5)</f>
        <v>0</v>
      </c>
      <c r="T5" s="195" t="str">
        <f t="shared" si="3"/>
        <v>Sweden</v>
      </c>
      <c r="U5" s="196">
        <f ca="1">IF(S12=S10,1,0)</f>
        <v>0</v>
      </c>
      <c r="V5" s="196">
        <f ca="1">IF(S12=S11,1,0)</f>
        <v>0</v>
      </c>
      <c r="W5" s="211"/>
      <c r="X5" s="196">
        <f ca="1">IF(S12=S13,1,0)</f>
        <v>0</v>
      </c>
      <c r="Y5" s="197">
        <f ca="1">SUM(U5:X5)</f>
        <v>0</v>
      </c>
    </row>
    <row r="6" spans="1:26" x14ac:dyDescent="0.25">
      <c r="A6" s="144"/>
      <c r="B6" s="144"/>
      <c r="C6" s="144"/>
      <c r="F6" s="144"/>
      <c r="G6" s="144"/>
      <c r="H6" s="198" t="str">
        <f>E2</f>
        <v>Tunisia</v>
      </c>
      <c r="I6" s="199">
        <f ca="1">IF(G13=G10,1,0)</f>
        <v>0</v>
      </c>
      <c r="J6" s="199">
        <f ca="1">IF(G13=G11,1,0)</f>
        <v>0</v>
      </c>
      <c r="K6" s="199">
        <f ca="1">IF(G13=G12,1,0)</f>
        <v>0</v>
      </c>
      <c r="L6" s="212"/>
      <c r="M6" s="200">
        <f ca="1">SUM(I6:L6)</f>
        <v>0</v>
      </c>
      <c r="N6" s="198" t="str">
        <f t="shared" si="2"/>
        <v>Tunisia</v>
      </c>
      <c r="O6" s="199">
        <f ca="1">IF(M13=M10,1,0)</f>
        <v>0</v>
      </c>
      <c r="P6" s="199">
        <f ca="1">IF(M13=M11,1,0)</f>
        <v>0</v>
      </c>
      <c r="Q6" s="199">
        <f ca="1">IF(M13=M12,1,0)</f>
        <v>0</v>
      </c>
      <c r="R6" s="212"/>
      <c r="S6" s="200">
        <f ca="1">SUM(O6:R6)</f>
        <v>0</v>
      </c>
      <c r="T6" s="198" t="str">
        <f t="shared" si="3"/>
        <v>Tunisia</v>
      </c>
      <c r="U6" s="199">
        <f ca="1">IF(S13=S10,1,0)</f>
        <v>0</v>
      </c>
      <c r="V6" s="199">
        <f ca="1">IF(S13=S11,1,0)</f>
        <v>0</v>
      </c>
      <c r="W6" s="199">
        <f ca="1">IF(S13=S12,1,0)</f>
        <v>0</v>
      </c>
      <c r="X6" s="212"/>
      <c r="Y6" s="200">
        <f ca="1">SUM(U6:X6)</f>
        <v>0</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Netherlands</v>
      </c>
      <c r="D9" s="190" t="str">
        <f>C2</f>
        <v>Japan</v>
      </c>
      <c r="E9" s="190" t="str">
        <f>D2</f>
        <v>Sweden</v>
      </c>
      <c r="F9" s="190" t="str">
        <f>E2</f>
        <v>Tunisia</v>
      </c>
      <c r="G9" s="191" t="s">
        <v>26</v>
      </c>
      <c r="H9" s="189"/>
      <c r="I9" s="190" t="str">
        <f>C9</f>
        <v>Netherlands</v>
      </c>
      <c r="J9" s="190" t="str">
        <f t="shared" ref="J9:L9" si="4">D9</f>
        <v>Japan</v>
      </c>
      <c r="K9" s="190" t="str">
        <f t="shared" si="4"/>
        <v>Sweden</v>
      </c>
      <c r="L9" s="190" t="str">
        <f t="shared" si="4"/>
        <v>Tunisia</v>
      </c>
      <c r="M9" s="191" t="s">
        <v>26</v>
      </c>
      <c r="N9" s="189"/>
      <c r="O9" s="190" t="str">
        <f>I9</f>
        <v>Netherlands</v>
      </c>
      <c r="P9" s="190" t="str">
        <f t="shared" ref="P9:R9" si="5">J9</f>
        <v>Japan</v>
      </c>
      <c r="Q9" s="190" t="str">
        <f t="shared" si="5"/>
        <v>Sweden</v>
      </c>
      <c r="R9" s="190" t="str">
        <f t="shared" si="5"/>
        <v>Tunisia</v>
      </c>
      <c r="S9" s="191" t="s">
        <v>26</v>
      </c>
      <c r="T9" s="189"/>
      <c r="U9" s="190" t="str">
        <f>O9</f>
        <v>Netherlands</v>
      </c>
      <c r="V9" s="190" t="str">
        <f t="shared" ref="V9:X9" si="6">P9</f>
        <v>Japan</v>
      </c>
      <c r="W9" s="190" t="str">
        <f t="shared" si="6"/>
        <v>Sweden</v>
      </c>
      <c r="X9" s="190" t="str">
        <f t="shared" si="6"/>
        <v>Tunisia</v>
      </c>
      <c r="Y9" s="191" t="s">
        <v>26</v>
      </c>
      <c r="Z9" s="227" t="s">
        <v>309</v>
      </c>
    </row>
    <row r="10" spans="1:26" x14ac:dyDescent="0.25">
      <c r="A10" s="144"/>
      <c r="B10" s="189" t="str">
        <f>B2</f>
        <v>Netherlands</v>
      </c>
      <c r="C10" s="204"/>
      <c r="D10" s="190">
        <f>H37</f>
        <v>1</v>
      </c>
      <c r="E10" s="190">
        <f ca="1">H39</f>
        <v>3</v>
      </c>
      <c r="F10" s="190">
        <f ca="1">I42</f>
        <v>3</v>
      </c>
      <c r="G10" s="191">
        <f ca="1">SUM(C10:F10)</f>
        <v>7</v>
      </c>
      <c r="H10" s="189" t="str">
        <f>B10</f>
        <v>Netherlands</v>
      </c>
      <c r="I10" s="218">
        <f>C10+I17/100+I24/10000</f>
        <v>0</v>
      </c>
      <c r="J10" s="219">
        <f t="shared" ref="J10:L10" ca="1" si="7">D10+J17/100+J24/10000</f>
        <v>1.0002</v>
      </c>
      <c r="K10" s="219">
        <f t="shared" ca="1" si="7"/>
        <v>3</v>
      </c>
      <c r="L10" s="219">
        <f t="shared" ca="1" si="7"/>
        <v>3</v>
      </c>
      <c r="M10" s="220">
        <f ca="1">SUM(I10:L10)</f>
        <v>7.0001999999999995</v>
      </c>
      <c r="N10" s="189" t="str">
        <f>H10</f>
        <v>Netherlands</v>
      </c>
      <c r="O10" s="218">
        <f>I10+O17/100+O24/10000</f>
        <v>0</v>
      </c>
      <c r="P10" s="219">
        <f t="shared" ref="P10:R13" ca="1" si="8">J10+P17/100+P24/10000</f>
        <v>1.0004</v>
      </c>
      <c r="Q10" s="219">
        <f t="shared" ca="1" si="8"/>
        <v>3</v>
      </c>
      <c r="R10" s="219">
        <f t="shared" ca="1" si="8"/>
        <v>3</v>
      </c>
      <c r="S10" s="220">
        <f ca="1">SUM(O10:R10)</f>
        <v>7.0004</v>
      </c>
      <c r="T10" s="189" t="str">
        <f>N10</f>
        <v>Netherlands</v>
      </c>
      <c r="U10" s="218">
        <f>O10+U17/100+U24/10000</f>
        <v>0</v>
      </c>
      <c r="V10" s="219">
        <f t="shared" ref="V10:X13" ca="1" si="9">P10+V17/100+V24/10000</f>
        <v>1.0005999999999999</v>
      </c>
      <c r="W10" s="219">
        <f t="shared" ca="1" si="9"/>
        <v>3</v>
      </c>
      <c r="X10" s="219">
        <f t="shared" ca="1" si="9"/>
        <v>3</v>
      </c>
      <c r="Y10" s="220">
        <f ca="1">ROUND(SUM(U10:X10),8)</f>
        <v>7.0006000000000004</v>
      </c>
      <c r="Z10" s="224">
        <f ca="1">_xlfn.RANK.EQ(Y10,Y$10:Y$13,1)</f>
        <v>3</v>
      </c>
    </row>
    <row r="11" spans="1:26" x14ac:dyDescent="0.25">
      <c r="A11" s="144"/>
      <c r="B11" s="189" t="str">
        <f>C2</f>
        <v>Japan</v>
      </c>
      <c r="C11" s="190">
        <f>I37</f>
        <v>1</v>
      </c>
      <c r="D11" s="204"/>
      <c r="E11" s="190">
        <f ca="1">H41</f>
        <v>3</v>
      </c>
      <c r="F11" s="190">
        <f ca="1">I40</f>
        <v>3</v>
      </c>
      <c r="G11" s="191">
        <f ca="1">SUM(C11:F11)</f>
        <v>7</v>
      </c>
      <c r="H11" s="189" t="str">
        <f t="shared" ref="H11:H13" si="10">B11</f>
        <v>Japan</v>
      </c>
      <c r="I11" s="219">
        <f t="shared" ref="I11:L13" ca="1" si="11">C11+I18/100+I25/10000</f>
        <v>1.0002</v>
      </c>
      <c r="J11" s="218">
        <f t="shared" si="11"/>
        <v>0</v>
      </c>
      <c r="K11" s="219">
        <f t="shared" ca="1" si="11"/>
        <v>3</v>
      </c>
      <c r="L11" s="219">
        <f t="shared" ca="1" si="11"/>
        <v>3</v>
      </c>
      <c r="M11" s="220">
        <f ca="1">SUM(I11:L11)</f>
        <v>7.0001999999999995</v>
      </c>
      <c r="N11" s="189" t="str">
        <f t="shared" ref="N11:N13" si="12">H11</f>
        <v>Japan</v>
      </c>
      <c r="O11" s="219">
        <f t="shared" ref="O11:O13" ca="1" si="13">I11+O18/100+O25/10000</f>
        <v>1.0004</v>
      </c>
      <c r="P11" s="218">
        <f t="shared" si="8"/>
        <v>0</v>
      </c>
      <c r="Q11" s="219">
        <f t="shared" ca="1" si="8"/>
        <v>3</v>
      </c>
      <c r="R11" s="219">
        <f t="shared" ca="1" si="8"/>
        <v>3</v>
      </c>
      <c r="S11" s="220">
        <f ca="1">SUM(O11:R11)</f>
        <v>7.0004</v>
      </c>
      <c r="T11" s="189" t="str">
        <f t="shared" ref="T11:T13" si="14">N11</f>
        <v>Japan</v>
      </c>
      <c r="U11" s="219">
        <f t="shared" ref="U11:U13" ca="1" si="15">O11+U18/100+U25/10000</f>
        <v>1.0005999999999999</v>
      </c>
      <c r="V11" s="218">
        <f t="shared" si="9"/>
        <v>0</v>
      </c>
      <c r="W11" s="219">
        <f t="shared" ca="1" si="9"/>
        <v>3</v>
      </c>
      <c r="X11" s="219">
        <f t="shared" ca="1" si="9"/>
        <v>3</v>
      </c>
      <c r="Y11" s="220">
        <f t="shared" ref="Y11:Y13" ca="1" si="16">ROUND(SUM(U11:X11),8)</f>
        <v>7.0006000000000004</v>
      </c>
      <c r="Z11" s="224">
        <f t="shared" ref="Z11:Z13" ca="1" si="17">_xlfn.RANK.EQ(Y11,Y$10:Y$13,1)</f>
        <v>3</v>
      </c>
    </row>
    <row r="12" spans="1:26" x14ac:dyDescent="0.25">
      <c r="A12" s="144"/>
      <c r="B12" s="189" t="str">
        <f>D2</f>
        <v>Sweden</v>
      </c>
      <c r="C12" s="190">
        <f ca="1">I39</f>
        <v>0</v>
      </c>
      <c r="D12" s="190">
        <f ca="1">I41</f>
        <v>0</v>
      </c>
      <c r="E12" s="204"/>
      <c r="F12" s="190">
        <f>H38</f>
        <v>3</v>
      </c>
      <c r="G12" s="191">
        <f ca="1">SUM(C12:F12)</f>
        <v>3</v>
      </c>
      <c r="H12" s="189" t="str">
        <f t="shared" si="10"/>
        <v>Sweden</v>
      </c>
      <c r="I12" s="219">
        <f t="shared" ca="1" si="11"/>
        <v>0</v>
      </c>
      <c r="J12" s="219">
        <f t="shared" ca="1" si="11"/>
        <v>0</v>
      </c>
      <c r="K12" s="218">
        <f t="shared" si="11"/>
        <v>0</v>
      </c>
      <c r="L12" s="219">
        <f t="shared" ca="1" si="11"/>
        <v>3</v>
      </c>
      <c r="M12" s="220">
        <f ca="1">SUM(I12:L12)</f>
        <v>3</v>
      </c>
      <c r="N12" s="189" t="str">
        <f t="shared" si="12"/>
        <v>Sweden</v>
      </c>
      <c r="O12" s="219">
        <f t="shared" ca="1" si="13"/>
        <v>0</v>
      </c>
      <c r="P12" s="219">
        <f t="shared" ca="1" si="8"/>
        <v>0</v>
      </c>
      <c r="Q12" s="218">
        <f t="shared" si="8"/>
        <v>0</v>
      </c>
      <c r="R12" s="219">
        <f t="shared" ca="1" si="8"/>
        <v>3</v>
      </c>
      <c r="S12" s="220">
        <f ca="1">SUM(O12:R12)</f>
        <v>3</v>
      </c>
      <c r="T12" s="189" t="str">
        <f t="shared" si="14"/>
        <v>Sweden</v>
      </c>
      <c r="U12" s="219">
        <f t="shared" ca="1" si="15"/>
        <v>0</v>
      </c>
      <c r="V12" s="219">
        <f t="shared" ca="1" si="9"/>
        <v>0</v>
      </c>
      <c r="W12" s="218">
        <f t="shared" si="9"/>
        <v>0</v>
      </c>
      <c r="X12" s="219">
        <f t="shared" ca="1" si="9"/>
        <v>3</v>
      </c>
      <c r="Y12" s="220">
        <f t="shared" ca="1" si="16"/>
        <v>3</v>
      </c>
      <c r="Z12" s="224">
        <f t="shared" ca="1" si="17"/>
        <v>2</v>
      </c>
    </row>
    <row r="13" spans="1:26" x14ac:dyDescent="0.25">
      <c r="A13" s="144"/>
      <c r="B13" s="192" t="str">
        <f>E2</f>
        <v>Tunisia</v>
      </c>
      <c r="C13" s="193">
        <f ca="1">H42</f>
        <v>0</v>
      </c>
      <c r="D13" s="193">
        <f ca="1">H40</f>
        <v>0</v>
      </c>
      <c r="E13" s="193">
        <f>I38</f>
        <v>0</v>
      </c>
      <c r="F13" s="205"/>
      <c r="G13" s="194">
        <f ca="1">SUM(C13:F13)</f>
        <v>0</v>
      </c>
      <c r="H13" s="192" t="str">
        <f t="shared" si="10"/>
        <v>Tunisia</v>
      </c>
      <c r="I13" s="221">
        <f t="shared" ca="1" si="11"/>
        <v>0</v>
      </c>
      <c r="J13" s="221">
        <f t="shared" ca="1" si="11"/>
        <v>0</v>
      </c>
      <c r="K13" s="221">
        <f t="shared" ca="1" si="11"/>
        <v>0</v>
      </c>
      <c r="L13" s="222">
        <f t="shared" si="11"/>
        <v>0</v>
      </c>
      <c r="M13" s="223">
        <f ca="1">SUM(I13:L13)</f>
        <v>0</v>
      </c>
      <c r="N13" s="192" t="str">
        <f t="shared" si="12"/>
        <v>Tunisia</v>
      </c>
      <c r="O13" s="221">
        <f t="shared" ca="1" si="13"/>
        <v>0</v>
      </c>
      <c r="P13" s="221">
        <f t="shared" ca="1" si="8"/>
        <v>0</v>
      </c>
      <c r="Q13" s="221">
        <f t="shared" ca="1" si="8"/>
        <v>0</v>
      </c>
      <c r="R13" s="222">
        <f t="shared" si="8"/>
        <v>0</v>
      </c>
      <c r="S13" s="223">
        <f ca="1">SUM(O13:R13)</f>
        <v>0</v>
      </c>
      <c r="T13" s="192" t="str">
        <f t="shared" si="14"/>
        <v>Tunisia</v>
      </c>
      <c r="U13" s="221">
        <f t="shared" ca="1" si="15"/>
        <v>0</v>
      </c>
      <c r="V13" s="221">
        <f t="shared" ca="1" si="9"/>
        <v>0</v>
      </c>
      <c r="W13" s="221">
        <f t="shared" ca="1" si="9"/>
        <v>0</v>
      </c>
      <c r="X13" s="222">
        <f t="shared" si="9"/>
        <v>0</v>
      </c>
      <c r="Y13" s="223">
        <f t="shared" ca="1" si="16"/>
        <v>0</v>
      </c>
      <c r="Z13" s="225">
        <f t="shared" ca="1" si="17"/>
        <v>1</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Netherlands</v>
      </c>
      <c r="D16" s="177" t="str">
        <f>C2</f>
        <v>Japan</v>
      </c>
      <c r="E16" s="177" t="str">
        <f>D2</f>
        <v>Sweden</v>
      </c>
      <c r="F16" s="177" t="str">
        <f>E2</f>
        <v>Tunisia</v>
      </c>
      <c r="G16" s="178" t="s">
        <v>26</v>
      </c>
      <c r="H16" s="183"/>
      <c r="I16" s="184" t="str">
        <f>C16</f>
        <v>Netherlands</v>
      </c>
      <c r="J16" s="184" t="str">
        <f t="shared" ref="J16:L16" si="18">D16</f>
        <v>Japan</v>
      </c>
      <c r="K16" s="184" t="str">
        <f t="shared" si="18"/>
        <v>Sweden</v>
      </c>
      <c r="L16" s="184" t="str">
        <f t="shared" si="18"/>
        <v>Tunisia</v>
      </c>
      <c r="M16" s="185" t="s">
        <v>26</v>
      </c>
      <c r="N16" s="183"/>
      <c r="O16" s="184" t="str">
        <f>I16</f>
        <v>Netherlands</v>
      </c>
      <c r="P16" s="184" t="str">
        <f t="shared" ref="P16:R16" si="19">J16</f>
        <v>Japan</v>
      </c>
      <c r="Q16" s="184" t="str">
        <f t="shared" si="19"/>
        <v>Sweden</v>
      </c>
      <c r="R16" s="184" t="str">
        <f t="shared" si="19"/>
        <v>Tunisia</v>
      </c>
      <c r="S16" s="185" t="s">
        <v>26</v>
      </c>
      <c r="T16" s="183"/>
      <c r="U16" s="184" t="str">
        <f>O16</f>
        <v>Netherlands</v>
      </c>
      <c r="V16" s="184" t="str">
        <f t="shared" ref="V16:X16" si="20">P16</f>
        <v>Japan</v>
      </c>
      <c r="W16" s="184" t="str">
        <f t="shared" si="20"/>
        <v>Sweden</v>
      </c>
      <c r="X16" s="184" t="str">
        <f t="shared" si="20"/>
        <v>Tunisia</v>
      </c>
      <c r="Y16" s="185" t="s">
        <v>26</v>
      </c>
    </row>
    <row r="17" spans="1:25" x14ac:dyDescent="0.25">
      <c r="A17" s="144"/>
      <c r="B17" s="176" t="str">
        <f>B2</f>
        <v>Netherlands</v>
      </c>
      <c r="C17" s="206"/>
      <c r="D17" s="179">
        <f>IFERROR(F37-G37,0)</f>
        <v>0</v>
      </c>
      <c r="E17" s="179">
        <f ca="1">IFERROR(F39-G39,0)</f>
        <v>3</v>
      </c>
      <c r="F17" s="179">
        <f ca="1">IFERROR(G42-F42,0)</f>
        <v>3</v>
      </c>
      <c r="G17" s="178">
        <f ca="1">SUM(C17:F17)</f>
        <v>6</v>
      </c>
      <c r="H17" s="183" t="str">
        <f>B17</f>
        <v>Netherlands</v>
      </c>
      <c r="I17" s="208"/>
      <c r="J17" s="184">
        <f ca="1">D17*J3</f>
        <v>0</v>
      </c>
      <c r="K17" s="184">
        <f ca="1">E17*K3</f>
        <v>0</v>
      </c>
      <c r="L17" s="184">
        <f ca="1">F17*L3</f>
        <v>0</v>
      </c>
      <c r="M17" s="185">
        <f ca="1">SUM(I17:L17)</f>
        <v>0</v>
      </c>
      <c r="N17" s="183" t="str">
        <f>H17</f>
        <v>Netherlands</v>
      </c>
      <c r="O17" s="208"/>
      <c r="P17" s="184">
        <f ca="1">J17*P3</f>
        <v>0</v>
      </c>
      <c r="Q17" s="184">
        <f ca="1">K17*Q3</f>
        <v>0</v>
      </c>
      <c r="R17" s="184">
        <f ca="1">L17*R3</f>
        <v>0</v>
      </c>
      <c r="S17" s="185">
        <f ca="1">SUM(O17:R17)</f>
        <v>0</v>
      </c>
      <c r="T17" s="183" t="str">
        <f>N17</f>
        <v>Netherlands</v>
      </c>
      <c r="U17" s="208"/>
      <c r="V17" s="184">
        <f ca="1">P17*V3</f>
        <v>0</v>
      </c>
      <c r="W17" s="184">
        <f ca="1">Q17*W3</f>
        <v>0</v>
      </c>
      <c r="X17" s="184">
        <f ca="1">R17*X3</f>
        <v>0</v>
      </c>
      <c r="Y17" s="185">
        <f ca="1">SUM(U17:X17)</f>
        <v>0</v>
      </c>
    </row>
    <row r="18" spans="1:25" x14ac:dyDescent="0.25">
      <c r="A18" s="144"/>
      <c r="B18" s="176" t="str">
        <f>C2</f>
        <v>Japan</v>
      </c>
      <c r="C18" s="179">
        <f>IFERROR(G37-F37,0)</f>
        <v>0</v>
      </c>
      <c r="D18" s="206"/>
      <c r="E18" s="179">
        <f ca="1">IFERROR(F41-G41,0)</f>
        <v>1</v>
      </c>
      <c r="F18" s="179">
        <f ca="1">IFERROR(G40-F40,0)</f>
        <v>1</v>
      </c>
      <c r="G18" s="178">
        <f ca="1">SUM(C18:F18)</f>
        <v>2</v>
      </c>
      <c r="H18" s="183" t="str">
        <f t="shared" ref="H18:H20" si="21">B18</f>
        <v>Japan</v>
      </c>
      <c r="I18" s="184">
        <f ca="1">C18*I4</f>
        <v>0</v>
      </c>
      <c r="J18" s="208"/>
      <c r="K18" s="184">
        <f ca="1">E18*K4</f>
        <v>0</v>
      </c>
      <c r="L18" s="184">
        <f ca="1">F18*L4</f>
        <v>0</v>
      </c>
      <c r="M18" s="185">
        <f ca="1">SUM(I18:L18)</f>
        <v>0</v>
      </c>
      <c r="N18" s="183" t="str">
        <f t="shared" ref="N18:N20" si="22">H18</f>
        <v>Japan</v>
      </c>
      <c r="O18" s="184">
        <f ca="1">I18*O4</f>
        <v>0</v>
      </c>
      <c r="P18" s="208"/>
      <c r="Q18" s="184">
        <f ca="1">K18*Q4</f>
        <v>0</v>
      </c>
      <c r="R18" s="184">
        <f ca="1">L18*R4</f>
        <v>0</v>
      </c>
      <c r="S18" s="185">
        <f ca="1">SUM(O18:R18)</f>
        <v>0</v>
      </c>
      <c r="T18" s="183" t="str">
        <f t="shared" ref="T18:T20" si="23">N18</f>
        <v>Japan</v>
      </c>
      <c r="U18" s="184">
        <f ca="1">O18*U4</f>
        <v>0</v>
      </c>
      <c r="V18" s="208"/>
      <c r="W18" s="184">
        <f ca="1">Q18*W4</f>
        <v>0</v>
      </c>
      <c r="X18" s="184">
        <f ca="1">R18*X4</f>
        <v>0</v>
      </c>
      <c r="Y18" s="185">
        <f ca="1">SUM(U18:X18)</f>
        <v>0</v>
      </c>
    </row>
    <row r="19" spans="1:25" x14ac:dyDescent="0.25">
      <c r="A19" s="144"/>
      <c r="B19" s="176" t="str">
        <f>D2</f>
        <v>Sweden</v>
      </c>
      <c r="C19" s="179">
        <f ca="1">IFERROR(G39-F39,0)</f>
        <v>-3</v>
      </c>
      <c r="D19" s="179">
        <f ca="1">IFERROR(G41-F41,0)</f>
        <v>-1</v>
      </c>
      <c r="E19" s="206"/>
      <c r="F19" s="179">
        <f>IFERROR(F38-G38,0)</f>
        <v>4</v>
      </c>
      <c r="G19" s="178">
        <f ca="1">SUM(C19:F19)</f>
        <v>0</v>
      </c>
      <c r="H19" s="183" t="str">
        <f t="shared" si="21"/>
        <v>Sweden</v>
      </c>
      <c r="I19" s="184">
        <f ca="1">C19*I5</f>
        <v>0</v>
      </c>
      <c r="J19" s="184">
        <f ca="1">D19*J5</f>
        <v>0</v>
      </c>
      <c r="K19" s="208"/>
      <c r="L19" s="184">
        <f ca="1">F19*L5</f>
        <v>0</v>
      </c>
      <c r="M19" s="185">
        <f ca="1">SUM(I19:L19)</f>
        <v>0</v>
      </c>
      <c r="N19" s="183" t="str">
        <f t="shared" si="22"/>
        <v>Sweden</v>
      </c>
      <c r="O19" s="184">
        <f ca="1">I19*O5</f>
        <v>0</v>
      </c>
      <c r="P19" s="184">
        <f ca="1">J19*P5</f>
        <v>0</v>
      </c>
      <c r="Q19" s="208"/>
      <c r="R19" s="184">
        <f ca="1">L19*R5</f>
        <v>0</v>
      </c>
      <c r="S19" s="185">
        <f ca="1">SUM(O19:R19)</f>
        <v>0</v>
      </c>
      <c r="T19" s="183" t="str">
        <f t="shared" si="23"/>
        <v>Sweden</v>
      </c>
      <c r="U19" s="184">
        <f ca="1">O19*U5</f>
        <v>0</v>
      </c>
      <c r="V19" s="184">
        <f ca="1">P19*V5</f>
        <v>0</v>
      </c>
      <c r="W19" s="208"/>
      <c r="X19" s="184">
        <f ca="1">R19*X5</f>
        <v>0</v>
      </c>
      <c r="Y19" s="185">
        <f ca="1">SUM(U19:X19)</f>
        <v>0</v>
      </c>
    </row>
    <row r="20" spans="1:25" x14ac:dyDescent="0.25">
      <c r="A20" s="144"/>
      <c r="B20" s="180" t="str">
        <f>E2</f>
        <v>Tunisia</v>
      </c>
      <c r="C20" s="181">
        <f ca="1">IFERROR(F42-G42,0)</f>
        <v>-3</v>
      </c>
      <c r="D20" s="181">
        <f ca="1">IFERROR(F40-G40,0)</f>
        <v>-1</v>
      </c>
      <c r="E20" s="181">
        <f>IFERROR(G38-F38,0)</f>
        <v>-4</v>
      </c>
      <c r="F20" s="207"/>
      <c r="G20" s="182">
        <f ca="1">SUM(C20:F20)</f>
        <v>-8</v>
      </c>
      <c r="H20" s="186" t="str">
        <f t="shared" si="21"/>
        <v>Tunisia</v>
      </c>
      <c r="I20" s="187">
        <f ca="1">C20*I6</f>
        <v>0</v>
      </c>
      <c r="J20" s="187">
        <f ca="1">D20*J6</f>
        <v>0</v>
      </c>
      <c r="K20" s="187">
        <f ca="1">E20*K6</f>
        <v>0</v>
      </c>
      <c r="L20" s="213"/>
      <c r="M20" s="188">
        <f ca="1">SUM(I20:L20)</f>
        <v>0</v>
      </c>
      <c r="N20" s="186" t="str">
        <f t="shared" si="22"/>
        <v>Tunisia</v>
      </c>
      <c r="O20" s="187">
        <f ca="1">I20*O6</f>
        <v>0</v>
      </c>
      <c r="P20" s="187">
        <f ca="1">J20*P6</f>
        <v>0</v>
      </c>
      <c r="Q20" s="187">
        <f ca="1">K20*Q6</f>
        <v>0</v>
      </c>
      <c r="R20" s="213"/>
      <c r="S20" s="188">
        <f ca="1">SUM(O20:R20)</f>
        <v>0</v>
      </c>
      <c r="T20" s="186" t="str">
        <f t="shared" si="23"/>
        <v>Tunisia</v>
      </c>
      <c r="U20" s="187">
        <f ca="1">O20*U6</f>
        <v>0</v>
      </c>
      <c r="V20" s="187">
        <f ca="1">P20*V6</f>
        <v>0</v>
      </c>
      <c r="W20" s="187">
        <f ca="1">Q20*W6</f>
        <v>0</v>
      </c>
      <c r="X20" s="213"/>
      <c r="Y20" s="188">
        <f ca="1">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Netherlands</v>
      </c>
      <c r="D23" s="164" t="str">
        <f>C2</f>
        <v>Japan</v>
      </c>
      <c r="E23" s="164" t="str">
        <f>D2</f>
        <v>Sweden</v>
      </c>
      <c r="F23" s="164" t="str">
        <f>E2</f>
        <v>Tunisia</v>
      </c>
      <c r="G23" s="165" t="s">
        <v>26</v>
      </c>
      <c r="H23" s="169"/>
      <c r="I23" s="170" t="str">
        <f>C23</f>
        <v>Netherlands</v>
      </c>
      <c r="J23" s="170" t="str">
        <f t="shared" ref="J23:L23" si="24">D23</f>
        <v>Japan</v>
      </c>
      <c r="K23" s="170" t="str">
        <f t="shared" si="24"/>
        <v>Sweden</v>
      </c>
      <c r="L23" s="170" t="str">
        <f t="shared" si="24"/>
        <v>Tunisia</v>
      </c>
      <c r="M23" s="171" t="s">
        <v>26</v>
      </c>
      <c r="N23" s="169"/>
      <c r="O23" s="170" t="str">
        <f>I23</f>
        <v>Netherlands</v>
      </c>
      <c r="P23" s="170" t="str">
        <f t="shared" ref="P23:R23" si="25">J23</f>
        <v>Japan</v>
      </c>
      <c r="Q23" s="170" t="str">
        <f t="shared" si="25"/>
        <v>Sweden</v>
      </c>
      <c r="R23" s="170" t="str">
        <f t="shared" si="25"/>
        <v>Tunisia</v>
      </c>
      <c r="S23" s="171" t="s">
        <v>26</v>
      </c>
      <c r="T23" s="169"/>
      <c r="U23" s="170" t="str">
        <f>O23</f>
        <v>Netherlands</v>
      </c>
      <c r="V23" s="170" t="str">
        <f t="shared" ref="V23:X23" si="26">P23</f>
        <v>Japan</v>
      </c>
      <c r="W23" s="170" t="str">
        <f t="shared" si="26"/>
        <v>Sweden</v>
      </c>
      <c r="X23" s="170" t="str">
        <f t="shared" si="26"/>
        <v>Tunisia</v>
      </c>
      <c r="Y23" s="171" t="s">
        <v>26</v>
      </c>
    </row>
    <row r="24" spans="1:25" x14ac:dyDescent="0.25">
      <c r="A24" s="143"/>
      <c r="B24" s="163" t="str">
        <f>B2</f>
        <v>Netherlands</v>
      </c>
      <c r="C24" s="209"/>
      <c r="D24" s="164">
        <f>IF(F37="",0,F37)</f>
        <v>2</v>
      </c>
      <c r="E24" s="164">
        <f ca="1">IF(F39="",0,F39)</f>
        <v>3</v>
      </c>
      <c r="F24" s="164">
        <f ca="1">IF(G42="",0,G42)</f>
        <v>3</v>
      </c>
      <c r="G24" s="165">
        <f ca="1">SUM(C24:F24)</f>
        <v>8</v>
      </c>
      <c r="H24" s="169" t="str">
        <f>B24</f>
        <v>Netherlands</v>
      </c>
      <c r="I24" s="214"/>
      <c r="J24" s="170">
        <f ca="1">D24*J3</f>
        <v>2</v>
      </c>
      <c r="K24" s="170">
        <f ca="1">E24*K3</f>
        <v>0</v>
      </c>
      <c r="L24" s="170">
        <f ca="1">F24*L3</f>
        <v>0</v>
      </c>
      <c r="M24" s="171">
        <f ca="1">SUM(I24:L24)</f>
        <v>2</v>
      </c>
      <c r="N24" s="169" t="str">
        <f>H24</f>
        <v>Netherlands</v>
      </c>
      <c r="O24" s="214"/>
      <c r="P24" s="170">
        <f ca="1">J24*P3</f>
        <v>2</v>
      </c>
      <c r="Q24" s="170">
        <f ca="1">K24*Q3</f>
        <v>0</v>
      </c>
      <c r="R24" s="170">
        <f ca="1">L24*R3</f>
        <v>0</v>
      </c>
      <c r="S24" s="171">
        <f ca="1">SUM(O24:R24)</f>
        <v>2</v>
      </c>
      <c r="T24" s="169" t="str">
        <f>N24</f>
        <v>Netherlands</v>
      </c>
      <c r="U24" s="214"/>
      <c r="V24" s="170">
        <f ca="1">P24*V3</f>
        <v>2</v>
      </c>
      <c r="W24" s="170">
        <f ca="1">Q24*W3</f>
        <v>0</v>
      </c>
      <c r="X24" s="170">
        <f ca="1">R24*X3</f>
        <v>0</v>
      </c>
      <c r="Y24" s="171">
        <f ca="1">SUM(U24:X24)</f>
        <v>2</v>
      </c>
    </row>
    <row r="25" spans="1:25" x14ac:dyDescent="0.25">
      <c r="A25" s="143"/>
      <c r="B25" s="163" t="str">
        <f>C2</f>
        <v>Japan</v>
      </c>
      <c r="C25" s="164">
        <f>IF(G37="",0,G37)</f>
        <v>2</v>
      </c>
      <c r="D25" s="209"/>
      <c r="E25" s="164">
        <f ca="1">IF(F41="",0,F41)</f>
        <v>1</v>
      </c>
      <c r="F25" s="164">
        <f ca="1">IF(G40="",0,G40)</f>
        <v>3</v>
      </c>
      <c r="G25" s="165">
        <f ca="1">SUM(C25:F25)</f>
        <v>6</v>
      </c>
      <c r="H25" s="169" t="str">
        <f t="shared" ref="H25:H27" si="27">B25</f>
        <v>Japan</v>
      </c>
      <c r="I25" s="170">
        <f ca="1">C25*I4</f>
        <v>2</v>
      </c>
      <c r="J25" s="214"/>
      <c r="K25" s="170">
        <f ca="1">E25*K4</f>
        <v>0</v>
      </c>
      <c r="L25" s="170">
        <f ca="1">F25*L4</f>
        <v>0</v>
      </c>
      <c r="M25" s="171">
        <f ca="1">SUM(I25:L25)</f>
        <v>2</v>
      </c>
      <c r="N25" s="169" t="str">
        <f t="shared" ref="N25:N27" si="28">H25</f>
        <v>Japan</v>
      </c>
      <c r="O25" s="170">
        <f ca="1">I25*O4</f>
        <v>2</v>
      </c>
      <c r="P25" s="214"/>
      <c r="Q25" s="170">
        <f ca="1">K25*Q4</f>
        <v>0</v>
      </c>
      <c r="R25" s="170">
        <f ca="1">L25*R4</f>
        <v>0</v>
      </c>
      <c r="S25" s="171">
        <f ca="1">SUM(O25:R25)</f>
        <v>2</v>
      </c>
      <c r="T25" s="169" t="str">
        <f t="shared" ref="T25:T27" si="29">N25</f>
        <v>Japan</v>
      </c>
      <c r="U25" s="170">
        <f ca="1">O25*U4</f>
        <v>2</v>
      </c>
      <c r="V25" s="214"/>
      <c r="W25" s="170">
        <f ca="1">Q25*W4</f>
        <v>0</v>
      </c>
      <c r="X25" s="170">
        <f ca="1">R25*X4</f>
        <v>0</v>
      </c>
      <c r="Y25" s="171">
        <f ca="1">SUM(U25:X25)</f>
        <v>2</v>
      </c>
    </row>
    <row r="26" spans="1:25" x14ac:dyDescent="0.25">
      <c r="A26" s="143"/>
      <c r="B26" s="163" t="str">
        <f>D2</f>
        <v>Sweden</v>
      </c>
      <c r="C26" s="164">
        <f ca="1">IF(G39="",0,G39)</f>
        <v>0</v>
      </c>
      <c r="D26" s="164">
        <f ca="1">IF(G41="",0,G41)</f>
        <v>0</v>
      </c>
      <c r="E26" s="209"/>
      <c r="F26" s="164">
        <f>IF(F38="",0,F38)</f>
        <v>5</v>
      </c>
      <c r="G26" s="165">
        <f ca="1">SUM(C26:F26)</f>
        <v>5</v>
      </c>
      <c r="H26" s="169" t="str">
        <f t="shared" si="27"/>
        <v>Sweden</v>
      </c>
      <c r="I26" s="170">
        <f ca="1">C26*I5</f>
        <v>0</v>
      </c>
      <c r="J26" s="170">
        <f ca="1">D26*J5</f>
        <v>0</v>
      </c>
      <c r="K26" s="214"/>
      <c r="L26" s="170">
        <f ca="1">F26*L5</f>
        <v>0</v>
      </c>
      <c r="M26" s="171">
        <f ca="1">SUM(I26:L26)</f>
        <v>0</v>
      </c>
      <c r="N26" s="169" t="str">
        <f t="shared" si="28"/>
        <v>Sweden</v>
      </c>
      <c r="O26" s="170">
        <f ca="1">I26*O5</f>
        <v>0</v>
      </c>
      <c r="P26" s="170">
        <f ca="1">J26*P5</f>
        <v>0</v>
      </c>
      <c r="Q26" s="214"/>
      <c r="R26" s="170">
        <f ca="1">L26*R5</f>
        <v>0</v>
      </c>
      <c r="S26" s="171">
        <f ca="1">SUM(O26:R26)</f>
        <v>0</v>
      </c>
      <c r="T26" s="169" t="str">
        <f t="shared" si="29"/>
        <v>Sweden</v>
      </c>
      <c r="U26" s="170">
        <f ca="1">O26*U5</f>
        <v>0</v>
      </c>
      <c r="V26" s="170">
        <f ca="1">P26*V5</f>
        <v>0</v>
      </c>
      <c r="W26" s="214"/>
      <c r="X26" s="170">
        <f ca="1">R26*X5</f>
        <v>0</v>
      </c>
      <c r="Y26" s="171">
        <f ca="1">SUM(U26:X26)</f>
        <v>0</v>
      </c>
    </row>
    <row r="27" spans="1:25" x14ac:dyDescent="0.25">
      <c r="A27" s="143"/>
      <c r="B27" s="166" t="str">
        <f>E2</f>
        <v>Tunisia</v>
      </c>
      <c r="C27" s="167">
        <f ca="1">IF(F42="",0,F42)</f>
        <v>0</v>
      </c>
      <c r="D27" s="167">
        <f ca="1">IF(F40="",0,F40)</f>
        <v>2</v>
      </c>
      <c r="E27" s="167">
        <f>IF(G38="",0,G38)</f>
        <v>1</v>
      </c>
      <c r="F27" s="210"/>
      <c r="G27" s="168">
        <f ca="1">SUM(C27:F27)</f>
        <v>3</v>
      </c>
      <c r="H27" s="172" t="str">
        <f t="shared" si="27"/>
        <v>Tunisia</v>
      </c>
      <c r="I27" s="173">
        <f ca="1">C27*I6</f>
        <v>0</v>
      </c>
      <c r="J27" s="173">
        <f ca="1">D27*J6</f>
        <v>0</v>
      </c>
      <c r="K27" s="173">
        <f ca="1">E27*K6</f>
        <v>0</v>
      </c>
      <c r="L27" s="215"/>
      <c r="M27" s="174">
        <f ca="1">SUM(I27:L27)</f>
        <v>0</v>
      </c>
      <c r="N27" s="172" t="str">
        <f t="shared" si="28"/>
        <v>Tunisia</v>
      </c>
      <c r="O27" s="173">
        <f ca="1">I27*O6</f>
        <v>0</v>
      </c>
      <c r="P27" s="173">
        <f ca="1">J27*P6</f>
        <v>0</v>
      </c>
      <c r="Q27" s="173">
        <f ca="1">K27*Q6</f>
        <v>0</v>
      </c>
      <c r="R27" s="215"/>
      <c r="S27" s="174">
        <f ca="1">SUM(O27:R27)</f>
        <v>0</v>
      </c>
      <c r="T27" s="172" t="str">
        <f t="shared" si="29"/>
        <v>Tunisia</v>
      </c>
      <c r="U27" s="173">
        <f ca="1">O27*U6</f>
        <v>0</v>
      </c>
      <c r="V27" s="173">
        <f ca="1">P27*V6</f>
        <v>0</v>
      </c>
      <c r="W27" s="173">
        <f ca="1">Q27*W6</f>
        <v>0</v>
      </c>
      <c r="X27" s="215"/>
      <c r="Y27" s="174">
        <f ca="1">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300" t="s">
        <v>669</v>
      </c>
      <c r="E29" s="300" t="s">
        <v>670</v>
      </c>
      <c r="F29" s="300" t="s">
        <v>671</v>
      </c>
      <c r="G29" s="232" t="s">
        <v>631</v>
      </c>
      <c r="H29" s="232" t="s">
        <v>632</v>
      </c>
      <c r="I29" s="232" t="s">
        <v>633</v>
      </c>
      <c r="J29" s="232" t="s">
        <v>676</v>
      </c>
      <c r="K29" s="232" t="s">
        <v>411</v>
      </c>
      <c r="L29" s="232" t="s">
        <v>661</v>
      </c>
      <c r="M29" s="232" t="s">
        <v>634</v>
      </c>
      <c r="N29" s="233" t="s">
        <v>635</v>
      </c>
    </row>
    <row r="30" spans="1:25" x14ac:dyDescent="0.25">
      <c r="A30" s="234">
        <f ca="1">N30</f>
        <v>1</v>
      </c>
      <c r="B30" s="235" t="str">
        <f>B2</f>
        <v>Netherlands</v>
      </c>
      <c r="C30" s="236">
        <v>3</v>
      </c>
      <c r="D30" s="236">
        <f ca="1">COUNTIF(FWinners,B30)</f>
        <v>2</v>
      </c>
      <c r="E30" s="236">
        <f ca="1">COUNTIF(FDraws,"D"&amp;B30)</f>
        <v>1</v>
      </c>
      <c r="F30" s="236">
        <f ca="1">COUNTIF(FLosers,B30)</f>
        <v>0</v>
      </c>
      <c r="G30" s="236">
        <f ca="1">F37+F39+G42</f>
        <v>8</v>
      </c>
      <c r="H30" s="236">
        <f ca="1">G37+G39+F42</f>
        <v>2</v>
      </c>
      <c r="I30" s="236">
        <f ca="1">G30-H30</f>
        <v>6</v>
      </c>
      <c r="J30" s="237">
        <f ca="1">Z10</f>
        <v>3</v>
      </c>
      <c r="K30" s="236">
        <f>VLOOKUP($B30,Lookup10,11,FALSE)</f>
        <v>3</v>
      </c>
      <c r="L30" s="236">
        <f>VLOOKUP($B30,Lookup11,2,FALSE)</f>
        <v>8</v>
      </c>
      <c r="M30" s="238">
        <f ca="1">ROUND(G30*G$34+I30*I$34+J30*J$34-K30*K$34-L30*L$34,8)</f>
        <v>30607.9692</v>
      </c>
      <c r="N30" s="239">
        <f ca="1">RANK(M30,M$30:M$33,0)</f>
        <v>1</v>
      </c>
    </row>
    <row r="31" spans="1:25" x14ac:dyDescent="0.25">
      <c r="A31" s="234">
        <f ca="1">N31</f>
        <v>2</v>
      </c>
      <c r="B31" s="235" t="str">
        <f>C2</f>
        <v>Japan</v>
      </c>
      <c r="C31" s="236">
        <v>3</v>
      </c>
      <c r="D31" s="236">
        <f ca="1">COUNTIF(FWinners,B31)</f>
        <v>2</v>
      </c>
      <c r="E31" s="236">
        <f ca="1">COUNTIF(FDraws,"D"&amp;B31)</f>
        <v>1</v>
      </c>
      <c r="F31" s="236">
        <f ca="1">COUNTIF(FLosers,B31)</f>
        <v>0</v>
      </c>
      <c r="G31" s="236">
        <f ca="1">G37+G40+F41</f>
        <v>6</v>
      </c>
      <c r="H31" s="236">
        <f ca="1">F37+F40+G41</f>
        <v>4</v>
      </c>
      <c r="I31" s="236">
        <f t="shared" ref="I31:I33" ca="1" si="30">G31-H31</f>
        <v>2</v>
      </c>
      <c r="J31" s="237">
        <f ca="1">Z11</f>
        <v>3</v>
      </c>
      <c r="K31" s="236">
        <f>VLOOKUP($B31,Lookup10,11,FALSE)</f>
        <v>0</v>
      </c>
      <c r="L31" s="236">
        <f>VLOOKUP($B31,Lookup11,2,FALSE)</f>
        <v>17</v>
      </c>
      <c r="M31" s="238">
        <f ca="1">ROUND(G31*G$34+I31*I$34+J31*J$34-K31*K$34-L31*L$34,8)</f>
        <v>30205.998299999999</v>
      </c>
      <c r="N31" s="239">
        <f ca="1">RANK(M31,M$30:M$33,0)</f>
        <v>2</v>
      </c>
    </row>
    <row r="32" spans="1:25" x14ac:dyDescent="0.25">
      <c r="A32" s="234">
        <f ca="1">N32</f>
        <v>3</v>
      </c>
      <c r="B32" s="235" t="str">
        <f>D2</f>
        <v>Sweden</v>
      </c>
      <c r="C32" s="236">
        <v>3</v>
      </c>
      <c r="D32" s="236">
        <f ca="1">COUNTIF(FWinners,B32)</f>
        <v>1</v>
      </c>
      <c r="E32" s="236">
        <f ca="1">COUNTIF(FDraws,"D"&amp;B32)</f>
        <v>0</v>
      </c>
      <c r="F32" s="236">
        <f ca="1">COUNTIF(FLosers,B32)</f>
        <v>2</v>
      </c>
      <c r="G32" s="236">
        <f ca="1">F38+G39+G41</f>
        <v>5</v>
      </c>
      <c r="H32" s="236">
        <f ca="1">G38+F39+F41</f>
        <v>5</v>
      </c>
      <c r="I32" s="236">
        <f t="shared" ca="1" si="30"/>
        <v>0</v>
      </c>
      <c r="J32" s="237">
        <f ca="1">Z12</f>
        <v>2</v>
      </c>
      <c r="K32" s="236">
        <f>VLOOKUP($B32,Lookup10,11,FALSE)</f>
        <v>0</v>
      </c>
      <c r="L32" s="236">
        <f>VLOOKUP($B32,Lookup11,2,FALSE)</f>
        <v>31</v>
      </c>
      <c r="M32" s="238">
        <f ca="1">ROUND(G32*G$34+I32*I$34+J32*J$34-K32*K$34-L32*L$34,8)</f>
        <v>20004.996899999998</v>
      </c>
      <c r="N32" s="239">
        <f ca="1">RANK(M32,M$30:M$33,0)</f>
        <v>3</v>
      </c>
    </row>
    <row r="33" spans="1:16" x14ac:dyDescent="0.25">
      <c r="A33" s="234">
        <f ca="1">N33</f>
        <v>4</v>
      </c>
      <c r="B33" s="235" t="str">
        <f>E2</f>
        <v>Tunisia</v>
      </c>
      <c r="C33" s="236">
        <v>3</v>
      </c>
      <c r="D33" s="236">
        <f ca="1">COUNTIF(FWinners,B33)</f>
        <v>0</v>
      </c>
      <c r="E33" s="236">
        <f ca="1">COUNTIF(FDraws,"D"&amp;B33)</f>
        <v>0</v>
      </c>
      <c r="F33" s="236">
        <f ca="1">COUNTIF(FLosers,B33)</f>
        <v>3</v>
      </c>
      <c r="G33" s="236">
        <f ca="1">G38+F40+F42</f>
        <v>3</v>
      </c>
      <c r="H33" s="236">
        <f ca="1">F38+G40+G42</f>
        <v>11</v>
      </c>
      <c r="I33" s="236">
        <f t="shared" ca="1" si="30"/>
        <v>-8</v>
      </c>
      <c r="J33" s="237">
        <f ca="1">Z13</f>
        <v>1</v>
      </c>
      <c r="K33" s="236">
        <f>VLOOKUP($B33,Lookup10,11,FALSE)</f>
        <v>1</v>
      </c>
      <c r="L33" s="236">
        <f>VLOOKUP($B33,Lookup11,2,FALSE)</f>
        <v>35</v>
      </c>
      <c r="M33" s="238">
        <f ca="1">ROUND(G33*G$34+I33*I$34+J33*J$34-K33*K$34-L33*L$34,8)</f>
        <v>9202.9865000000009</v>
      </c>
      <c r="N33" s="239">
        <f ca="1">RANK(M33,M$30:M$33,0)</f>
        <v>4</v>
      </c>
    </row>
    <row r="34" spans="1:16" x14ac:dyDescent="0.25">
      <c r="A34" s="240"/>
      <c r="B34" s="241" t="s">
        <v>636</v>
      </c>
      <c r="C34" s="242">
        <f>SUM(C30:C33)</f>
        <v>12</v>
      </c>
      <c r="D34" s="242"/>
      <c r="E34" s="242"/>
      <c r="F34" s="242"/>
      <c r="G34" s="205">
        <v>1</v>
      </c>
      <c r="H34" s="205"/>
      <c r="I34" s="205">
        <v>100</v>
      </c>
      <c r="J34" s="205">
        <v>10000</v>
      </c>
      <c r="K34" s="205">
        <v>0.01</v>
      </c>
      <c r="L34" s="205">
        <v>1E-4</v>
      </c>
      <c r="M34" s="242"/>
      <c r="N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NetherlandsJapan</v>
      </c>
      <c r="B37" s="158" t="str">
        <f>B1&amp;C1</f>
        <v>F1F2</v>
      </c>
      <c r="C37" s="158">
        <v>1</v>
      </c>
      <c r="D37" s="150" t="str">
        <f>B2</f>
        <v>Netherlands</v>
      </c>
      <c r="E37" s="150" t="str">
        <f>C2</f>
        <v>Japan</v>
      </c>
      <c r="F37" s="158">
        <f t="shared" ref="F37:F42" si="31">VLOOKUP($B37,Lookup18,6,FALSE)</f>
        <v>2</v>
      </c>
      <c r="G37" s="158">
        <f t="shared" ref="G37:G42" si="32">VLOOKUP($B37,Lookup18,8,FALSE)</f>
        <v>2</v>
      </c>
      <c r="H37" s="158">
        <f t="shared" ref="H37:H42" si="33">IF(C37=0,0,IF(F37&lt;G37,Lpts,IF(F37&gt;G37,Wpts,Dpts)))</f>
        <v>1</v>
      </c>
      <c r="I37" s="158">
        <f t="shared" ref="I37:I42" si="34">IF(C37=0,0,IF(G37&lt;F37,Lpts,IF(G37&gt;F37,Wpts,Dpts)))</f>
        <v>1</v>
      </c>
      <c r="J37" s="158">
        <f t="shared" ref="J37:K42" si="35">IF(VLOOKUP($B37,Lookup12,4,FALSE)="",0,VLOOKUP($B37,Lookup12,4,FALSE))</f>
        <v>3</v>
      </c>
      <c r="K37" s="158">
        <f t="shared" si="35"/>
        <v>3</v>
      </c>
      <c r="L37" s="143"/>
      <c r="M37" s="143"/>
      <c r="N37" s="143"/>
      <c r="O37" s="143"/>
      <c r="P37" s="143"/>
    </row>
    <row r="38" spans="1:16" x14ac:dyDescent="0.25">
      <c r="A38" s="149" t="str">
        <f>D2&amp;E2</f>
        <v>SwedenTunisia</v>
      </c>
      <c r="B38" s="158" t="str">
        <f>D1&amp;E1</f>
        <v>F3F4</v>
      </c>
      <c r="C38" s="158">
        <v>1</v>
      </c>
      <c r="D38" s="150" t="str">
        <f>D2</f>
        <v>Sweden</v>
      </c>
      <c r="E38" s="150" t="str">
        <f>E2</f>
        <v>Tunisia</v>
      </c>
      <c r="F38" s="158">
        <f t="shared" si="31"/>
        <v>5</v>
      </c>
      <c r="G38" s="158">
        <f t="shared" si="32"/>
        <v>1</v>
      </c>
      <c r="H38" s="158">
        <f t="shared" si="33"/>
        <v>3</v>
      </c>
      <c r="I38" s="158">
        <f t="shared" si="34"/>
        <v>0</v>
      </c>
      <c r="J38" s="158">
        <f t="shared" si="35"/>
        <v>0</v>
      </c>
      <c r="K38" s="158">
        <f t="shared" si="35"/>
        <v>0</v>
      </c>
      <c r="L38" s="143"/>
      <c r="M38" s="143"/>
      <c r="N38" s="143"/>
      <c r="O38" s="143"/>
      <c r="P38" s="143"/>
    </row>
    <row r="39" spans="1:16" x14ac:dyDescent="0.25">
      <c r="A39" s="149" t="str">
        <f>B2&amp;D2</f>
        <v>NetherlandsSweden</v>
      </c>
      <c r="B39" s="158" t="str">
        <f>B1&amp;D1</f>
        <v>F1F3</v>
      </c>
      <c r="C39" s="158">
        <v>1</v>
      </c>
      <c r="D39" s="150" t="str">
        <f>B2</f>
        <v>Netherlands</v>
      </c>
      <c r="E39" s="150" t="str">
        <f>D2</f>
        <v>Sweden</v>
      </c>
      <c r="F39" s="158">
        <f t="shared" ca="1" si="31"/>
        <v>3</v>
      </c>
      <c r="G39" s="158">
        <f t="shared" ca="1" si="32"/>
        <v>0</v>
      </c>
      <c r="H39" s="158">
        <f t="shared" ca="1" si="33"/>
        <v>3</v>
      </c>
      <c r="I39" s="158">
        <f t="shared" ca="1" si="34"/>
        <v>0</v>
      </c>
      <c r="J39" s="158">
        <f t="shared" si="35"/>
        <v>0</v>
      </c>
      <c r="K39" s="158">
        <f t="shared" si="35"/>
        <v>0</v>
      </c>
      <c r="L39" s="143"/>
      <c r="M39" s="143"/>
      <c r="N39" s="143"/>
      <c r="O39" s="143"/>
      <c r="P39" s="143"/>
    </row>
    <row r="40" spans="1:16" x14ac:dyDescent="0.25">
      <c r="A40" s="149" t="str">
        <f>E2&amp;C2</f>
        <v>TunisiaJapan</v>
      </c>
      <c r="B40" s="158" t="str">
        <f>E1&amp;C1</f>
        <v>F4F2</v>
      </c>
      <c r="C40" s="158">
        <v>1</v>
      </c>
      <c r="D40" s="150" t="str">
        <f>E2</f>
        <v>Tunisia</v>
      </c>
      <c r="E40" s="150" t="str">
        <f>C2</f>
        <v>Japan</v>
      </c>
      <c r="F40" s="158">
        <f t="shared" ca="1" si="31"/>
        <v>2</v>
      </c>
      <c r="G40" s="158">
        <f t="shared" ca="1" si="32"/>
        <v>3</v>
      </c>
      <c r="H40" s="158">
        <f t="shared" ca="1" si="33"/>
        <v>0</v>
      </c>
      <c r="I40" s="158">
        <f t="shared" ca="1" si="34"/>
        <v>3</v>
      </c>
      <c r="J40" s="158">
        <f t="shared" si="35"/>
        <v>0</v>
      </c>
      <c r="K40" s="158">
        <f t="shared" si="35"/>
        <v>0</v>
      </c>
      <c r="L40" s="143"/>
      <c r="M40" s="143"/>
      <c r="N40" s="143"/>
      <c r="O40" s="143"/>
      <c r="P40" s="143"/>
    </row>
    <row r="41" spans="1:16" x14ac:dyDescent="0.25">
      <c r="A41" s="149" t="str">
        <f>C2&amp;D2</f>
        <v>JapanSweden</v>
      </c>
      <c r="B41" s="158" t="str">
        <f>C1&amp;D1</f>
        <v>F2F3</v>
      </c>
      <c r="C41" s="158">
        <v>1</v>
      </c>
      <c r="D41" s="150" t="str">
        <f>C2</f>
        <v>Japan</v>
      </c>
      <c r="E41" s="150" t="str">
        <f>D2</f>
        <v>Sweden</v>
      </c>
      <c r="F41" s="158">
        <f t="shared" ca="1" si="31"/>
        <v>1</v>
      </c>
      <c r="G41" s="158">
        <f t="shared" ca="1" si="32"/>
        <v>0</v>
      </c>
      <c r="H41" s="158">
        <f t="shared" ca="1" si="33"/>
        <v>3</v>
      </c>
      <c r="I41" s="158">
        <f t="shared" ca="1" si="34"/>
        <v>0</v>
      </c>
      <c r="J41" s="158">
        <f t="shared" si="35"/>
        <v>0</v>
      </c>
      <c r="K41" s="158">
        <f t="shared" si="35"/>
        <v>0</v>
      </c>
      <c r="L41" s="143"/>
      <c r="M41" s="143"/>
      <c r="N41" s="143"/>
      <c r="O41" s="143"/>
      <c r="P41" s="143"/>
    </row>
    <row r="42" spans="1:16" x14ac:dyDescent="0.25">
      <c r="A42" s="151" t="str">
        <f>E2&amp;B2</f>
        <v>TunisiaNetherlands</v>
      </c>
      <c r="B42" s="159" t="str">
        <f>E1&amp;B1</f>
        <v>F4F1</v>
      </c>
      <c r="C42" s="159">
        <v>1</v>
      </c>
      <c r="D42" s="152" t="str">
        <f>E2</f>
        <v>Tunisia</v>
      </c>
      <c r="E42" s="152" t="str">
        <f>B2</f>
        <v>Netherlands</v>
      </c>
      <c r="F42" s="159">
        <f t="shared" ca="1" si="31"/>
        <v>0</v>
      </c>
      <c r="G42" s="159">
        <f t="shared" ca="1" si="32"/>
        <v>3</v>
      </c>
      <c r="H42" s="159">
        <f t="shared" ca="1" si="33"/>
        <v>0</v>
      </c>
      <c r="I42" s="159">
        <f t="shared" ca="1" si="34"/>
        <v>3</v>
      </c>
      <c r="J42" s="159">
        <f t="shared" si="35"/>
        <v>0</v>
      </c>
      <c r="K42" s="159">
        <f t="shared" si="35"/>
        <v>0</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 ca="1">$B45</f>
        <v>Netherlands</v>
      </c>
      <c r="M44" s="154" t="str">
        <f ca="1">$B46</f>
        <v>Japan</v>
      </c>
      <c r="N44" s="154" t="str">
        <f ca="1">$B47</f>
        <v>Sweden</v>
      </c>
      <c r="O44" s="154" t="str">
        <f ca="1">$B48</f>
        <v>Tunisia</v>
      </c>
      <c r="P44" s="155"/>
    </row>
    <row r="45" spans="1:16" x14ac:dyDescent="0.25">
      <c r="A45" s="156">
        <v>1</v>
      </c>
      <c r="B45" s="156" t="str">
        <f ca="1">VLOOKUP($A45,Ranking,2,FALSE)</f>
        <v>Netherlands</v>
      </c>
      <c r="C45" s="157">
        <v>3</v>
      </c>
      <c r="D45" s="157">
        <f ca="1">VLOOKUP($A45,Ranking,4,FALSE)</f>
        <v>2</v>
      </c>
      <c r="E45" s="157">
        <f ca="1">VLOOKUP($A45,Ranking,5,FALSE)</f>
        <v>1</v>
      </c>
      <c r="F45" s="157">
        <f ca="1">VLOOKUP($A45,Ranking,6,FALSE)</f>
        <v>0</v>
      </c>
      <c r="G45" s="157">
        <f ca="1">VLOOKUP($A45,Ranking,7,FALSE)</f>
        <v>8</v>
      </c>
      <c r="H45" s="157">
        <f ca="1">VLOOKUP($A45,Ranking,8,FALSE)</f>
        <v>2</v>
      </c>
      <c r="I45" s="157">
        <f ca="1">G45-H45</f>
        <v>6</v>
      </c>
      <c r="J45" s="157">
        <f ca="1">D45*Wpts+E45*Dpts+FGrpF!F45*Lpts</f>
        <v>7</v>
      </c>
      <c r="K45" s="201" t="str">
        <f ca="1">B45</f>
        <v>Netherlands</v>
      </c>
      <c r="L45" s="203"/>
      <c r="M45" s="202" t="str">
        <f ca="1">IFERROR(VLOOKUP($B45&amp;M$44,A37:G42,6,FALSE)&amp;"-"&amp;VLOOKUP($B45&amp;M$44,A37:G42,7,FALSE),VLOOKUP(M$44&amp;$B45,A37:G42,7,FALSE)&amp;"-"&amp;VLOOKUP(M$44&amp;$B45,A37:G42,6,FALSE))</f>
        <v>2-2</v>
      </c>
      <c r="N45" s="202" t="str">
        <f ca="1">IFERROR(VLOOKUP($B45&amp;N$44,A37:G42,6,FALSE)&amp;"-"&amp;VLOOKUP($B45&amp;N$44,A37:G42,7,FALSE),VLOOKUP(N$44&amp;$B45,A37:G42,7,FALSE)&amp;"-"&amp;VLOOKUP(N$44&amp;$B45,A37:G42,6,FALSE))</f>
        <v>3-0</v>
      </c>
      <c r="O45" s="202" t="str">
        <f ca="1">IFERROR(VLOOKUP($B45&amp;O$44,A37:G42,6,FALSE)&amp;"-"&amp;VLOOKUP($B45&amp;O$44,A37:G42,7,FALSE),VLOOKUP(O$44&amp;$B45,A37:G42,7,FALSE)&amp;"-"&amp;VLOOKUP(O$44&amp;$B45,A37:G42,6,FALSE))</f>
        <v>3-0</v>
      </c>
      <c r="P45" s="155"/>
    </row>
    <row r="46" spans="1:16" x14ac:dyDescent="0.25">
      <c r="A46" s="156">
        <v>2</v>
      </c>
      <c r="B46" s="156" t="str">
        <f ca="1">VLOOKUP($A46,Ranking,2,FALSE)</f>
        <v>Japan</v>
      </c>
      <c r="C46" s="157">
        <v>3</v>
      </c>
      <c r="D46" s="157">
        <f ca="1">VLOOKUP($A46,Ranking,4,FALSE)</f>
        <v>2</v>
      </c>
      <c r="E46" s="157">
        <f ca="1">VLOOKUP($A46,Ranking,5,FALSE)</f>
        <v>1</v>
      </c>
      <c r="F46" s="157">
        <f ca="1">VLOOKUP($A46,Ranking,6,FALSE)</f>
        <v>0</v>
      </c>
      <c r="G46" s="157">
        <f ca="1">VLOOKUP($A46,Ranking,7,FALSE)</f>
        <v>6</v>
      </c>
      <c r="H46" s="157">
        <f ca="1">VLOOKUP($A46,Ranking,8,FALSE)</f>
        <v>4</v>
      </c>
      <c r="I46" s="157">
        <f t="shared" ref="I46:I48" ca="1" si="36">G46-H46</f>
        <v>2</v>
      </c>
      <c r="J46" s="157">
        <f ca="1">D46*Wpts+E46*Dpts+FGrpF!F46*Lpts</f>
        <v>7</v>
      </c>
      <c r="K46" s="201" t="str">
        <f ca="1">B46</f>
        <v>Japan</v>
      </c>
      <c r="L46" s="202" t="str">
        <f ca="1">IFERROR(VLOOKUP($B46&amp;L$44,A37:G42,6,FALSE)&amp;"-"&amp;VLOOKUP($B46&amp;L$44,A37:G42,7,FALSE),VLOOKUP(L$44&amp;$B46,A37:G42,7,FALSE)&amp;"-"&amp;VLOOKUP(L$44&amp;$B46,A37:G42,6,FALSE))</f>
        <v>2-2</v>
      </c>
      <c r="M46" s="203"/>
      <c r="N46" s="202" t="str">
        <f ca="1">IFERROR(VLOOKUP($B46&amp;N$44,A37:G42,6,FALSE)&amp;"-"&amp;VLOOKUP($B46&amp;N$44,A37:G42,7,FALSE),VLOOKUP(N$44&amp;$B46,A37:G42,7,FALSE)&amp;"-"&amp;VLOOKUP(N$44&amp;$B46,A37:G42,6,FALSE))</f>
        <v>1-0</v>
      </c>
      <c r="O46" s="202" t="str">
        <f ca="1">IFERROR(VLOOKUP($B46&amp;O$44,A37:G42,6,FALSE)&amp;"-"&amp;VLOOKUP($B46&amp;O$44,A37:G42,7,FALSE),VLOOKUP(O$44&amp;$B46,A37:G42,7,FALSE)&amp;"-"&amp;VLOOKUP(O$44&amp;$B46,A37:G42,6,FALSE))</f>
        <v>3-2</v>
      </c>
      <c r="P46" s="155"/>
    </row>
    <row r="47" spans="1:16" x14ac:dyDescent="0.25">
      <c r="A47" s="156">
        <v>3</v>
      </c>
      <c r="B47" s="156" t="str">
        <f ca="1">VLOOKUP($A47,Ranking,2,FALSE)</f>
        <v>Sweden</v>
      </c>
      <c r="C47" s="157">
        <v>3</v>
      </c>
      <c r="D47" s="157">
        <f ca="1">VLOOKUP($A47,Ranking,4,FALSE)</f>
        <v>1</v>
      </c>
      <c r="E47" s="157">
        <f ca="1">VLOOKUP($A47,Ranking,5,FALSE)</f>
        <v>0</v>
      </c>
      <c r="F47" s="157">
        <f ca="1">VLOOKUP($A47,Ranking,6,FALSE)</f>
        <v>2</v>
      </c>
      <c r="G47" s="157">
        <f ca="1">VLOOKUP($A47,Ranking,7,FALSE)</f>
        <v>5</v>
      </c>
      <c r="H47" s="157">
        <f ca="1">VLOOKUP($A47,Ranking,8,FALSE)</f>
        <v>5</v>
      </c>
      <c r="I47" s="157">
        <f t="shared" ca="1" si="36"/>
        <v>0</v>
      </c>
      <c r="J47" s="157">
        <f ca="1">D47*Wpts+E47*Dpts+FGrpF!F47*Lpts</f>
        <v>3</v>
      </c>
      <c r="K47" s="201" t="str">
        <f ca="1">B47</f>
        <v>Sweden</v>
      </c>
      <c r="L47" s="202" t="str">
        <f ca="1">IFERROR(VLOOKUP($B47&amp;L$44,A37:G42,6,FALSE)&amp;"-"&amp;VLOOKUP($B47&amp;L$44,A37:G42,7,FALSE),VLOOKUP(L$44&amp;$B47,A37:G42,7,FALSE)&amp;"-"&amp;VLOOKUP(L$44&amp;$B47,A37:G42,6,FALSE))</f>
        <v>0-3</v>
      </c>
      <c r="M47" s="202" t="str">
        <f ca="1">IFERROR(VLOOKUP($B47&amp;M$44,A37:G42,6,FALSE)&amp;"-"&amp;VLOOKUP($B47&amp;M$44,A37:G42,7,FALSE),VLOOKUP(M$44&amp;$B47,A37:G42,7,FALSE)&amp;"-"&amp;VLOOKUP(M$44&amp;$B47,A37:G42,6,FALSE))</f>
        <v>0-1</v>
      </c>
      <c r="N47" s="203"/>
      <c r="O47" s="202" t="str">
        <f ca="1">IFERROR(VLOOKUP($B47&amp;O$44,A37:G42,6,FALSE)&amp;"-"&amp;VLOOKUP($B47&amp;O$44,A37:G42,7,FALSE),VLOOKUP(O$44&amp;$B47,A37:G42,7,FALSE)&amp;"-"&amp;VLOOKUP(O$44&amp;$B47,A37:G42,6,FALSE))</f>
        <v>5-1</v>
      </c>
      <c r="P47" s="155"/>
    </row>
    <row r="48" spans="1:16" x14ac:dyDescent="0.25">
      <c r="A48" s="156">
        <v>4</v>
      </c>
      <c r="B48" s="156" t="str">
        <f ca="1">VLOOKUP($A48,Ranking,2,FALSE)</f>
        <v>Tunisia</v>
      </c>
      <c r="C48" s="157">
        <v>3</v>
      </c>
      <c r="D48" s="157">
        <f ca="1">VLOOKUP($A48,Ranking,4,FALSE)</f>
        <v>0</v>
      </c>
      <c r="E48" s="157">
        <f ca="1">VLOOKUP($A48,Ranking,5,FALSE)</f>
        <v>0</v>
      </c>
      <c r="F48" s="157">
        <f ca="1">VLOOKUP($A48,Ranking,6,FALSE)</f>
        <v>3</v>
      </c>
      <c r="G48" s="157">
        <f ca="1">VLOOKUP($A48,Ranking,7,FALSE)</f>
        <v>3</v>
      </c>
      <c r="H48" s="157">
        <f ca="1">VLOOKUP($A48,Ranking,8,FALSE)</f>
        <v>11</v>
      </c>
      <c r="I48" s="157">
        <f t="shared" ca="1" si="36"/>
        <v>-8</v>
      </c>
      <c r="J48" s="157">
        <f ca="1">D48*Wpts+E48*Dpts+FGrpF!F48*Lpts</f>
        <v>0</v>
      </c>
      <c r="K48" s="201" t="str">
        <f ca="1">B48</f>
        <v>Tunisia</v>
      </c>
      <c r="L48" s="202" t="str">
        <f ca="1">IFERROR(VLOOKUP($B48&amp;L$44,A37:G42,6,FALSE)&amp;"-"&amp;VLOOKUP($B48&amp;L$44,A37:G42,7,FALSE),VLOOKUP(L$44&amp;$B48,A37:G42,7,FALSE)&amp;"-"&amp;VLOOKUP(L$44&amp;$B48,A37:G42,6,FALSE))</f>
        <v>0-3</v>
      </c>
      <c r="M48" s="202" t="str">
        <f ca="1">IFERROR(VLOOKUP($B48&amp;M$44,A37:G42,6,FALSE)&amp;"-"&amp;VLOOKUP($B48&amp;M$44,A37:G42,7,FALSE),VLOOKUP(M$44&amp;$B48,A37:G42,7,FALSE)&amp;"-"&amp;VLOOKUP(M$44&amp;$B48,A37:G42,6,FALSE))</f>
        <v>2-3</v>
      </c>
      <c r="N48" s="202" t="str">
        <f ca="1">IFERROR(VLOOKUP($B48&amp;N$44,A37:G42,6,FALSE)&amp;"-"&amp;VLOOKUP($B48&amp;N$44,A37:G42,7,FALSE),VLOOKUP(N$44&amp;$B48,A37:G42,7,FALSE)&amp;"-"&amp;VLOOKUP(N$44&amp;$B48,A37:G42,6,FALSE))</f>
        <v>1-5</v>
      </c>
      <c r="O48" s="203"/>
      <c r="P48" s="155"/>
    </row>
    <row r="49" spans="1:16" x14ac:dyDescent="0.25">
      <c r="A49" s="143"/>
      <c r="B49" s="143"/>
      <c r="C49" s="461">
        <f>SUM(C45:C48)</f>
        <v>12</v>
      </c>
      <c r="D49" s="143"/>
      <c r="E49" s="143"/>
      <c r="F49" s="143"/>
      <c r="G49" s="143"/>
      <c r="H49" s="143"/>
      <c r="I49" s="143"/>
      <c r="J49" s="143"/>
      <c r="K49" s="143"/>
      <c r="L49" s="143"/>
      <c r="M49" s="143"/>
      <c r="N49" s="143"/>
      <c r="O49" s="143"/>
      <c r="P49" s="143"/>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43F2AC-1240-45B8-959C-BC570CA9F60B}">
  <sheetPr>
    <tabColor rgb="FF7030A0"/>
  </sheetPr>
  <dimension ref="A1:Z49"/>
  <sheetViews>
    <sheetView workbookViewId="0">
      <pane ySplit="2" topLeftCell="A25"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28" t="s">
        <v>320</v>
      </c>
      <c r="B1" s="216" t="str">
        <f>A2&amp;1</f>
        <v>G1</v>
      </c>
      <c r="C1" s="216" t="str">
        <f>A2&amp;2</f>
        <v>G2</v>
      </c>
      <c r="D1" s="216" t="str">
        <f>A2&amp;3</f>
        <v>G3</v>
      </c>
      <c r="E1" s="216" t="str">
        <f>A2&amp;4</f>
        <v>G4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330</v>
      </c>
      <c r="B2" s="217" t="str">
        <f>VLOOKUP(B1,Lookup08,2,FALSE)</f>
        <v>Belgium</v>
      </c>
      <c r="C2" s="217" t="str">
        <f>VLOOKUP(C1,Lookup08,2,FALSE)</f>
        <v>Egypt</v>
      </c>
      <c r="D2" s="217" t="str">
        <f>VLOOKUP(D1,Lookup08,2,FALSE)</f>
        <v>IR Iran</v>
      </c>
      <c r="E2" s="217" t="str">
        <f>VLOOKUP(E1,Lookup08,2,FALSE)</f>
        <v>New Zealand</v>
      </c>
      <c r="F2" s="144"/>
      <c r="G2" s="144"/>
      <c r="H2" s="195"/>
      <c r="I2" s="196" t="str">
        <f>B2</f>
        <v>Belgium</v>
      </c>
      <c r="J2" s="196" t="str">
        <f>C2</f>
        <v>Egypt</v>
      </c>
      <c r="K2" s="196" t="str">
        <f>D2</f>
        <v>IR Iran</v>
      </c>
      <c r="L2" s="196" t="str">
        <f>E2</f>
        <v>New Zealand</v>
      </c>
      <c r="M2" s="197" t="s">
        <v>26</v>
      </c>
      <c r="N2" s="195"/>
      <c r="O2" s="196" t="str">
        <f>I2</f>
        <v>Belgium</v>
      </c>
      <c r="P2" s="196" t="str">
        <f t="shared" ref="P2:R2" si="0">J2</f>
        <v>Egypt</v>
      </c>
      <c r="Q2" s="196" t="str">
        <f t="shared" si="0"/>
        <v>IR Iran</v>
      </c>
      <c r="R2" s="196" t="str">
        <f t="shared" si="0"/>
        <v>New Zealand</v>
      </c>
      <c r="S2" s="197" t="s">
        <v>26</v>
      </c>
      <c r="T2" s="195"/>
      <c r="U2" s="196" t="str">
        <f>O2</f>
        <v>Belgium</v>
      </c>
      <c r="V2" s="196" t="str">
        <f t="shared" ref="V2:X2" si="1">P2</f>
        <v>Egypt</v>
      </c>
      <c r="W2" s="196" t="str">
        <f t="shared" si="1"/>
        <v>IR Iran</v>
      </c>
      <c r="X2" s="196" t="str">
        <f t="shared" si="1"/>
        <v>New Zealand</v>
      </c>
      <c r="Y2" s="197" t="s">
        <v>26</v>
      </c>
    </row>
    <row r="3" spans="1:26" x14ac:dyDescent="0.25">
      <c r="A3" s="144"/>
      <c r="B3" s="144"/>
      <c r="C3" s="144"/>
      <c r="F3" s="144"/>
      <c r="G3" s="144"/>
      <c r="H3" s="195" t="str">
        <f>B2</f>
        <v>Belgium</v>
      </c>
      <c r="I3" s="211"/>
      <c r="J3" s="196">
        <f ca="1">IF(G10=G11,1,0)</f>
        <v>0</v>
      </c>
      <c r="K3" s="196">
        <f ca="1">IF(G10=G12,1,0)</f>
        <v>0</v>
      </c>
      <c r="L3" s="196">
        <f ca="1">IF(G10=G13,1,0)</f>
        <v>0</v>
      </c>
      <c r="M3" s="197">
        <f ca="1">SUM(I3:L3)</f>
        <v>0</v>
      </c>
      <c r="N3" s="195" t="str">
        <f>H3</f>
        <v>Belgium</v>
      </c>
      <c r="O3" s="211"/>
      <c r="P3" s="196">
        <f ca="1">IF(M10=M11,1,0)</f>
        <v>0</v>
      </c>
      <c r="Q3" s="196">
        <f ca="1">IF(M10=M12,1,0)</f>
        <v>0</v>
      </c>
      <c r="R3" s="196">
        <f ca="1">IF(M10=M13,1,0)</f>
        <v>0</v>
      </c>
      <c r="S3" s="197">
        <f ca="1">SUM(O3:R3)</f>
        <v>0</v>
      </c>
      <c r="T3" s="195" t="str">
        <f>N3</f>
        <v>Belgium</v>
      </c>
      <c r="U3" s="211"/>
      <c r="V3" s="196">
        <f ca="1">IF(S10=S11,1,0)</f>
        <v>0</v>
      </c>
      <c r="W3" s="196">
        <f ca="1">IF(S10=S12,1,0)</f>
        <v>0</v>
      </c>
      <c r="X3" s="196">
        <f ca="1">IF(S10=S13,1,0)</f>
        <v>0</v>
      </c>
      <c r="Y3" s="197">
        <f ca="1">SUM(U3:X3)</f>
        <v>0</v>
      </c>
    </row>
    <row r="4" spans="1:26" x14ac:dyDescent="0.25">
      <c r="A4" s="144"/>
      <c r="B4" s="144"/>
      <c r="C4" s="144"/>
      <c r="F4" s="144"/>
      <c r="G4" s="144"/>
      <c r="H4" s="195" t="str">
        <f>C2</f>
        <v>Egypt</v>
      </c>
      <c r="I4" s="196">
        <f ca="1">IF(G11=G10,1,0)</f>
        <v>0</v>
      </c>
      <c r="J4" s="211"/>
      <c r="K4" s="196">
        <f ca="1">IF(G11=G12,1,0)</f>
        <v>1</v>
      </c>
      <c r="L4" s="196">
        <f ca="1">IF(G11=G13,1,0)</f>
        <v>0</v>
      </c>
      <c r="M4" s="197">
        <f ca="1">SUM(I4:L4)</f>
        <v>1</v>
      </c>
      <c r="N4" s="195" t="str">
        <f t="shared" ref="N4:N6" si="2">H4</f>
        <v>Egypt</v>
      </c>
      <c r="O4" s="196">
        <f ca="1">IF(M11=M10,1,0)</f>
        <v>0</v>
      </c>
      <c r="P4" s="211"/>
      <c r="Q4" s="196">
        <f ca="1">IF(M11=M12,1,0)</f>
        <v>1</v>
      </c>
      <c r="R4" s="196">
        <f ca="1">IF(M11=M13,1,0)</f>
        <v>0</v>
      </c>
      <c r="S4" s="197">
        <f ca="1">SUM(O4:R4)</f>
        <v>1</v>
      </c>
      <c r="T4" s="195" t="str">
        <f t="shared" ref="T4:T6" si="3">N4</f>
        <v>Egypt</v>
      </c>
      <c r="U4" s="196">
        <f ca="1">IF(S11=S10,1,0)</f>
        <v>0</v>
      </c>
      <c r="V4" s="211"/>
      <c r="W4" s="196">
        <f ca="1">IF(S11=S12,1,0)</f>
        <v>1</v>
      </c>
      <c r="X4" s="196">
        <f ca="1">IF(S11=S13,1,0)</f>
        <v>0</v>
      </c>
      <c r="Y4" s="197">
        <f ca="1">SUM(U4:X4)</f>
        <v>1</v>
      </c>
    </row>
    <row r="5" spans="1:26" x14ac:dyDescent="0.25">
      <c r="A5" s="144"/>
      <c r="B5" s="144"/>
      <c r="C5" s="144"/>
      <c r="F5" s="144"/>
      <c r="G5" s="144"/>
      <c r="H5" s="195" t="str">
        <f>D2</f>
        <v>IR Iran</v>
      </c>
      <c r="I5" s="196">
        <f ca="1">IF(G12=G10,1,0)</f>
        <v>0</v>
      </c>
      <c r="J5" s="196">
        <f ca="1">IF(G12=G11,1,0)</f>
        <v>1</v>
      </c>
      <c r="K5" s="211"/>
      <c r="L5" s="196">
        <f ca="1">IF(G12=G13,1,0)</f>
        <v>0</v>
      </c>
      <c r="M5" s="197">
        <f ca="1">SUM(I5:L5)</f>
        <v>1</v>
      </c>
      <c r="N5" s="195" t="str">
        <f t="shared" si="2"/>
        <v>IR Iran</v>
      </c>
      <c r="O5" s="196">
        <f ca="1">IF(M12=M10,1,0)</f>
        <v>0</v>
      </c>
      <c r="P5" s="196">
        <f ca="1">IF(M12=M11,1,0)</f>
        <v>1</v>
      </c>
      <c r="Q5" s="211"/>
      <c r="R5" s="196">
        <f ca="1">IF(M12=M13,1,0)</f>
        <v>0</v>
      </c>
      <c r="S5" s="197">
        <f ca="1">SUM(O5:R5)</f>
        <v>1</v>
      </c>
      <c r="T5" s="195" t="str">
        <f t="shared" si="3"/>
        <v>IR Iran</v>
      </c>
      <c r="U5" s="196">
        <f ca="1">IF(S12=S10,1,0)</f>
        <v>0</v>
      </c>
      <c r="V5" s="196">
        <f ca="1">IF(S12=S11,1,0)</f>
        <v>1</v>
      </c>
      <c r="W5" s="211"/>
      <c r="X5" s="196">
        <f ca="1">IF(S12=S13,1,0)</f>
        <v>0</v>
      </c>
      <c r="Y5" s="197">
        <f ca="1">SUM(U5:X5)</f>
        <v>1</v>
      </c>
    </row>
    <row r="6" spans="1:26" x14ac:dyDescent="0.25">
      <c r="A6" s="144"/>
      <c r="B6" s="144"/>
      <c r="C6" s="144"/>
      <c r="F6" s="144"/>
      <c r="G6" s="144"/>
      <c r="H6" s="198" t="str">
        <f>E2</f>
        <v>New Zealand</v>
      </c>
      <c r="I6" s="199">
        <f ca="1">IF(G13=G10,1,0)</f>
        <v>0</v>
      </c>
      <c r="J6" s="199">
        <f ca="1">IF(G13=G11,1,0)</f>
        <v>0</v>
      </c>
      <c r="K6" s="199">
        <f ca="1">IF(G13=G12,1,0)</f>
        <v>0</v>
      </c>
      <c r="L6" s="212"/>
      <c r="M6" s="200">
        <f ca="1">SUM(I6:L6)</f>
        <v>0</v>
      </c>
      <c r="N6" s="198" t="str">
        <f t="shared" si="2"/>
        <v>New Zealand</v>
      </c>
      <c r="O6" s="199">
        <f ca="1">IF(M13=M10,1,0)</f>
        <v>0</v>
      </c>
      <c r="P6" s="199">
        <f ca="1">IF(M13=M11,1,0)</f>
        <v>0</v>
      </c>
      <c r="Q6" s="199">
        <f ca="1">IF(M13=M12,1,0)</f>
        <v>0</v>
      </c>
      <c r="R6" s="212"/>
      <c r="S6" s="200">
        <f ca="1">SUM(O6:R6)</f>
        <v>0</v>
      </c>
      <c r="T6" s="198" t="str">
        <f t="shared" si="3"/>
        <v>New Zealand</v>
      </c>
      <c r="U6" s="199">
        <f ca="1">IF(S13=S10,1,0)</f>
        <v>0</v>
      </c>
      <c r="V6" s="199">
        <f ca="1">IF(S13=S11,1,0)</f>
        <v>0</v>
      </c>
      <c r="W6" s="199">
        <f ca="1">IF(S13=S12,1,0)</f>
        <v>0</v>
      </c>
      <c r="X6" s="212"/>
      <c r="Y6" s="200">
        <f ca="1">SUM(U6:X6)</f>
        <v>0</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Belgium</v>
      </c>
      <c r="D9" s="190" t="str">
        <f>C2</f>
        <v>Egypt</v>
      </c>
      <c r="E9" s="190" t="str">
        <f>D2</f>
        <v>IR Iran</v>
      </c>
      <c r="F9" s="190" t="str">
        <f>E2</f>
        <v>New Zealand</v>
      </c>
      <c r="G9" s="191" t="s">
        <v>26</v>
      </c>
      <c r="H9" s="189"/>
      <c r="I9" s="190" t="str">
        <f>C9</f>
        <v>Belgium</v>
      </c>
      <c r="J9" s="190" t="str">
        <f t="shared" ref="J9:L9" si="4">D9</f>
        <v>Egypt</v>
      </c>
      <c r="K9" s="190" t="str">
        <f t="shared" si="4"/>
        <v>IR Iran</v>
      </c>
      <c r="L9" s="190" t="str">
        <f t="shared" si="4"/>
        <v>New Zealand</v>
      </c>
      <c r="M9" s="191" t="s">
        <v>26</v>
      </c>
      <c r="N9" s="189"/>
      <c r="O9" s="190" t="str">
        <f>I9</f>
        <v>Belgium</v>
      </c>
      <c r="P9" s="190" t="str">
        <f t="shared" ref="P9:R9" si="5">J9</f>
        <v>Egypt</v>
      </c>
      <c r="Q9" s="190" t="str">
        <f t="shared" si="5"/>
        <v>IR Iran</v>
      </c>
      <c r="R9" s="190" t="str">
        <f t="shared" si="5"/>
        <v>New Zealand</v>
      </c>
      <c r="S9" s="191" t="s">
        <v>26</v>
      </c>
      <c r="T9" s="189"/>
      <c r="U9" s="190" t="str">
        <f>O9</f>
        <v>Belgium</v>
      </c>
      <c r="V9" s="190" t="str">
        <f t="shared" ref="V9:X9" si="6">P9</f>
        <v>Egypt</v>
      </c>
      <c r="W9" s="190" t="str">
        <f t="shared" si="6"/>
        <v>IR Iran</v>
      </c>
      <c r="X9" s="190" t="str">
        <f t="shared" si="6"/>
        <v>New Zealand</v>
      </c>
      <c r="Y9" s="191" t="s">
        <v>26</v>
      </c>
      <c r="Z9" s="227" t="s">
        <v>309</v>
      </c>
    </row>
    <row r="10" spans="1:26" x14ac:dyDescent="0.25">
      <c r="A10" s="144"/>
      <c r="B10" s="189" t="str">
        <f>B2</f>
        <v>Belgium</v>
      </c>
      <c r="C10" s="204"/>
      <c r="D10" s="190">
        <f>H37</f>
        <v>1</v>
      </c>
      <c r="E10" s="190">
        <f ca="1">H39</f>
        <v>0</v>
      </c>
      <c r="F10" s="190">
        <f ca="1">I42</f>
        <v>3</v>
      </c>
      <c r="G10" s="191">
        <f ca="1">SUM(C10:F10)</f>
        <v>4</v>
      </c>
      <c r="H10" s="189" t="str">
        <f>B10</f>
        <v>Belgium</v>
      </c>
      <c r="I10" s="218">
        <f>C10+I17/100+I24/10000</f>
        <v>0</v>
      </c>
      <c r="J10" s="219">
        <f t="shared" ref="J10:L10" ca="1" si="7">D10+J17/100+J24/10000</f>
        <v>1</v>
      </c>
      <c r="K10" s="219">
        <f t="shared" ca="1" si="7"/>
        <v>0</v>
      </c>
      <c r="L10" s="219">
        <f t="shared" ca="1" si="7"/>
        <v>3</v>
      </c>
      <c r="M10" s="220">
        <f ca="1">SUM(I10:L10)</f>
        <v>4</v>
      </c>
      <c r="N10" s="189" t="str">
        <f>H10</f>
        <v>Belgium</v>
      </c>
      <c r="O10" s="218">
        <f>I10+O17/100+O24/10000</f>
        <v>0</v>
      </c>
      <c r="P10" s="219">
        <f t="shared" ref="P10:R13" ca="1" si="8">J10+P17/100+P24/10000</f>
        <v>1</v>
      </c>
      <c r="Q10" s="219">
        <f t="shared" ca="1" si="8"/>
        <v>0</v>
      </c>
      <c r="R10" s="219">
        <f t="shared" ca="1" si="8"/>
        <v>3</v>
      </c>
      <c r="S10" s="220">
        <f ca="1">SUM(O10:R10)</f>
        <v>4</v>
      </c>
      <c r="T10" s="189" t="str">
        <f>N10</f>
        <v>Belgium</v>
      </c>
      <c r="U10" s="218">
        <f>O10+U17/100+U24/10000</f>
        <v>0</v>
      </c>
      <c r="V10" s="219">
        <f t="shared" ref="V10:X13" ca="1" si="9">P10+V17/100+V24/10000</f>
        <v>1</v>
      </c>
      <c r="W10" s="219">
        <f t="shared" ca="1" si="9"/>
        <v>0</v>
      </c>
      <c r="X10" s="219">
        <f t="shared" ca="1" si="9"/>
        <v>3</v>
      </c>
      <c r="Y10" s="220">
        <f ca="1">ROUND(SUM(U10:X10),8)</f>
        <v>4</v>
      </c>
      <c r="Z10" s="224">
        <f ca="1">_xlfn.RANK.EQ(Y10,Y$10:Y$13,1)</f>
        <v>2</v>
      </c>
    </row>
    <row r="11" spans="1:26" x14ac:dyDescent="0.25">
      <c r="A11" s="144"/>
      <c r="B11" s="189" t="str">
        <f>C2</f>
        <v>Egypt</v>
      </c>
      <c r="C11" s="190">
        <f>I37</f>
        <v>1</v>
      </c>
      <c r="D11" s="204"/>
      <c r="E11" s="190">
        <f ca="1">H41</f>
        <v>1</v>
      </c>
      <c r="F11" s="190">
        <f ca="1">I40</f>
        <v>3</v>
      </c>
      <c r="G11" s="191">
        <f ca="1">SUM(C11:F11)</f>
        <v>5</v>
      </c>
      <c r="H11" s="189" t="str">
        <f t="shared" ref="H11:H13" si="10">B11</f>
        <v>Egypt</v>
      </c>
      <c r="I11" s="219">
        <f t="shared" ref="I11:L13" ca="1" si="11">C11+I18/100+I25/10000</f>
        <v>1</v>
      </c>
      <c r="J11" s="218">
        <f t="shared" si="11"/>
        <v>0</v>
      </c>
      <c r="K11" s="219">
        <f t="shared" ca="1" si="11"/>
        <v>1.0002</v>
      </c>
      <c r="L11" s="219">
        <f t="shared" ca="1" si="11"/>
        <v>3</v>
      </c>
      <c r="M11" s="220">
        <f ca="1">SUM(I11:L11)</f>
        <v>5.0001999999999995</v>
      </c>
      <c r="N11" s="189" t="str">
        <f t="shared" ref="N11:N13" si="12">H11</f>
        <v>Egypt</v>
      </c>
      <c r="O11" s="219">
        <f t="shared" ref="O11:O13" ca="1" si="13">I11+O18/100+O25/10000</f>
        <v>1</v>
      </c>
      <c r="P11" s="218">
        <f t="shared" si="8"/>
        <v>0</v>
      </c>
      <c r="Q11" s="219">
        <f t="shared" ca="1" si="8"/>
        <v>1.0004</v>
      </c>
      <c r="R11" s="219">
        <f t="shared" ca="1" si="8"/>
        <v>3</v>
      </c>
      <c r="S11" s="220">
        <f ca="1">SUM(O11:R11)</f>
        <v>5.0004</v>
      </c>
      <c r="T11" s="189" t="str">
        <f t="shared" ref="T11:T13" si="14">N11</f>
        <v>Egypt</v>
      </c>
      <c r="U11" s="219">
        <f t="shared" ref="U11:U13" ca="1" si="15">O11+U18/100+U25/10000</f>
        <v>1</v>
      </c>
      <c r="V11" s="218">
        <f t="shared" si="9"/>
        <v>0</v>
      </c>
      <c r="W11" s="219">
        <f t="shared" ca="1" si="9"/>
        <v>1.0005999999999999</v>
      </c>
      <c r="X11" s="219">
        <f t="shared" ca="1" si="9"/>
        <v>3</v>
      </c>
      <c r="Y11" s="220">
        <f t="shared" ref="Y11:Y13" ca="1" si="16">ROUND(SUM(U11:X11),8)</f>
        <v>5.0006000000000004</v>
      </c>
      <c r="Z11" s="224">
        <f t="shared" ref="Z11:Z13" ca="1" si="17">_xlfn.RANK.EQ(Y11,Y$10:Y$13,1)</f>
        <v>3</v>
      </c>
    </row>
    <row r="12" spans="1:26" x14ac:dyDescent="0.25">
      <c r="A12" s="144"/>
      <c r="B12" s="189" t="str">
        <f>D2</f>
        <v>IR Iran</v>
      </c>
      <c r="C12" s="190">
        <f ca="1">I39</f>
        <v>3</v>
      </c>
      <c r="D12" s="190">
        <f ca="1">I41</f>
        <v>1</v>
      </c>
      <c r="E12" s="204"/>
      <c r="F12" s="190">
        <f>H38</f>
        <v>1</v>
      </c>
      <c r="G12" s="191">
        <f ca="1">SUM(C12:F12)</f>
        <v>5</v>
      </c>
      <c r="H12" s="189" t="str">
        <f t="shared" si="10"/>
        <v>IR Iran</v>
      </c>
      <c r="I12" s="219">
        <f t="shared" ca="1" si="11"/>
        <v>3</v>
      </c>
      <c r="J12" s="219">
        <f t="shared" ca="1" si="11"/>
        <v>1.0002</v>
      </c>
      <c r="K12" s="218">
        <f t="shared" si="11"/>
        <v>0</v>
      </c>
      <c r="L12" s="219">
        <f t="shared" ca="1" si="11"/>
        <v>1</v>
      </c>
      <c r="M12" s="220">
        <f ca="1">SUM(I12:L12)</f>
        <v>5.0001999999999995</v>
      </c>
      <c r="N12" s="189" t="str">
        <f t="shared" si="12"/>
        <v>IR Iran</v>
      </c>
      <c r="O12" s="219">
        <f t="shared" ca="1" si="13"/>
        <v>3</v>
      </c>
      <c r="P12" s="219">
        <f t="shared" ca="1" si="8"/>
        <v>1.0004</v>
      </c>
      <c r="Q12" s="218">
        <f t="shared" si="8"/>
        <v>0</v>
      </c>
      <c r="R12" s="219">
        <f t="shared" ca="1" si="8"/>
        <v>1</v>
      </c>
      <c r="S12" s="220">
        <f ca="1">SUM(O12:R12)</f>
        <v>5.0004</v>
      </c>
      <c r="T12" s="189" t="str">
        <f t="shared" si="14"/>
        <v>IR Iran</v>
      </c>
      <c r="U12" s="219">
        <f t="shared" ca="1" si="15"/>
        <v>3</v>
      </c>
      <c r="V12" s="219">
        <f t="shared" ca="1" si="9"/>
        <v>1.0005999999999999</v>
      </c>
      <c r="W12" s="218">
        <f t="shared" si="9"/>
        <v>0</v>
      </c>
      <c r="X12" s="219">
        <f t="shared" ca="1" si="9"/>
        <v>1</v>
      </c>
      <c r="Y12" s="220">
        <f t="shared" ca="1" si="16"/>
        <v>5.0006000000000004</v>
      </c>
      <c r="Z12" s="224">
        <f t="shared" ca="1" si="17"/>
        <v>3</v>
      </c>
    </row>
    <row r="13" spans="1:26" x14ac:dyDescent="0.25">
      <c r="A13" s="144"/>
      <c r="B13" s="192" t="str">
        <f>E2</f>
        <v>New Zealand</v>
      </c>
      <c r="C13" s="193">
        <f ca="1">H42</f>
        <v>0</v>
      </c>
      <c r="D13" s="193">
        <f ca="1">H40</f>
        <v>0</v>
      </c>
      <c r="E13" s="193">
        <f>I38</f>
        <v>1</v>
      </c>
      <c r="F13" s="205"/>
      <c r="G13" s="194">
        <f ca="1">SUM(C13:F13)</f>
        <v>1</v>
      </c>
      <c r="H13" s="192" t="str">
        <f t="shared" si="10"/>
        <v>New Zealand</v>
      </c>
      <c r="I13" s="221">
        <f t="shared" ca="1" si="11"/>
        <v>0</v>
      </c>
      <c r="J13" s="221">
        <f t="shared" ca="1" si="11"/>
        <v>0</v>
      </c>
      <c r="K13" s="221">
        <f t="shared" ca="1" si="11"/>
        <v>1</v>
      </c>
      <c r="L13" s="222">
        <f t="shared" si="11"/>
        <v>0</v>
      </c>
      <c r="M13" s="223">
        <f ca="1">SUM(I13:L13)</f>
        <v>1</v>
      </c>
      <c r="N13" s="192" t="str">
        <f t="shared" si="12"/>
        <v>New Zealand</v>
      </c>
      <c r="O13" s="221">
        <f t="shared" ca="1" si="13"/>
        <v>0</v>
      </c>
      <c r="P13" s="221">
        <f t="shared" ca="1" si="8"/>
        <v>0</v>
      </c>
      <c r="Q13" s="221">
        <f t="shared" ca="1" si="8"/>
        <v>1</v>
      </c>
      <c r="R13" s="222">
        <f t="shared" si="8"/>
        <v>0</v>
      </c>
      <c r="S13" s="223">
        <f ca="1">SUM(O13:R13)</f>
        <v>1</v>
      </c>
      <c r="T13" s="192" t="str">
        <f t="shared" si="14"/>
        <v>New Zealand</v>
      </c>
      <c r="U13" s="221">
        <f t="shared" ca="1" si="15"/>
        <v>0</v>
      </c>
      <c r="V13" s="221">
        <f t="shared" ca="1" si="9"/>
        <v>0</v>
      </c>
      <c r="W13" s="221">
        <f t="shared" ca="1" si="9"/>
        <v>1</v>
      </c>
      <c r="X13" s="222">
        <f t="shared" si="9"/>
        <v>0</v>
      </c>
      <c r="Y13" s="223">
        <f t="shared" ca="1" si="16"/>
        <v>1</v>
      </c>
      <c r="Z13" s="225">
        <f t="shared" ca="1" si="17"/>
        <v>1</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Belgium</v>
      </c>
      <c r="D16" s="177" t="str">
        <f>C2</f>
        <v>Egypt</v>
      </c>
      <c r="E16" s="177" t="str">
        <f>D2</f>
        <v>IR Iran</v>
      </c>
      <c r="F16" s="177" t="str">
        <f>E2</f>
        <v>New Zealand</v>
      </c>
      <c r="G16" s="178" t="s">
        <v>26</v>
      </c>
      <c r="H16" s="183"/>
      <c r="I16" s="184" t="str">
        <f>C16</f>
        <v>Belgium</v>
      </c>
      <c r="J16" s="184" t="str">
        <f t="shared" ref="J16:L16" si="18">D16</f>
        <v>Egypt</v>
      </c>
      <c r="K16" s="184" t="str">
        <f t="shared" si="18"/>
        <v>IR Iran</v>
      </c>
      <c r="L16" s="184" t="str">
        <f t="shared" si="18"/>
        <v>New Zealand</v>
      </c>
      <c r="M16" s="185" t="s">
        <v>26</v>
      </c>
      <c r="N16" s="183"/>
      <c r="O16" s="184" t="str">
        <f>I16</f>
        <v>Belgium</v>
      </c>
      <c r="P16" s="184" t="str">
        <f t="shared" ref="P16:R16" si="19">J16</f>
        <v>Egypt</v>
      </c>
      <c r="Q16" s="184" t="str">
        <f t="shared" si="19"/>
        <v>IR Iran</v>
      </c>
      <c r="R16" s="184" t="str">
        <f t="shared" si="19"/>
        <v>New Zealand</v>
      </c>
      <c r="S16" s="185" t="s">
        <v>26</v>
      </c>
      <c r="T16" s="183"/>
      <c r="U16" s="184" t="str">
        <f>O16</f>
        <v>Belgium</v>
      </c>
      <c r="V16" s="184" t="str">
        <f t="shared" ref="V16:X16" si="20">P16</f>
        <v>Egypt</v>
      </c>
      <c r="W16" s="184" t="str">
        <f t="shared" si="20"/>
        <v>IR Iran</v>
      </c>
      <c r="X16" s="184" t="str">
        <f t="shared" si="20"/>
        <v>New Zealand</v>
      </c>
      <c r="Y16" s="185" t="s">
        <v>26</v>
      </c>
    </row>
    <row r="17" spans="1:25" x14ac:dyDescent="0.25">
      <c r="A17" s="144"/>
      <c r="B17" s="176" t="str">
        <f>B2</f>
        <v>Belgium</v>
      </c>
      <c r="C17" s="206"/>
      <c r="D17" s="179">
        <f>IFERROR(F37-G37,0)</f>
        <v>0</v>
      </c>
      <c r="E17" s="179">
        <f ca="1">IFERROR(F39-G39,0)</f>
        <v>-1</v>
      </c>
      <c r="F17" s="179">
        <f ca="1">IFERROR(G42-F42,0)</f>
        <v>1</v>
      </c>
      <c r="G17" s="178">
        <f ca="1">SUM(C17:F17)</f>
        <v>0</v>
      </c>
      <c r="H17" s="183" t="str">
        <f>B17</f>
        <v>Belgium</v>
      </c>
      <c r="I17" s="208"/>
      <c r="J17" s="184">
        <f ca="1">D17*J3</f>
        <v>0</v>
      </c>
      <c r="K17" s="184">
        <f ca="1">E17*K3</f>
        <v>0</v>
      </c>
      <c r="L17" s="184">
        <f ca="1">F17*L3</f>
        <v>0</v>
      </c>
      <c r="M17" s="185">
        <f ca="1">SUM(I17:L17)</f>
        <v>0</v>
      </c>
      <c r="N17" s="183" t="str">
        <f>H17</f>
        <v>Belgium</v>
      </c>
      <c r="O17" s="208"/>
      <c r="P17" s="184">
        <f ca="1">J17*P3</f>
        <v>0</v>
      </c>
      <c r="Q17" s="184">
        <f ca="1">K17*Q3</f>
        <v>0</v>
      </c>
      <c r="R17" s="184">
        <f ca="1">L17*R3</f>
        <v>0</v>
      </c>
      <c r="S17" s="185">
        <f ca="1">SUM(O17:R17)</f>
        <v>0</v>
      </c>
      <c r="T17" s="183" t="str">
        <f>N17</f>
        <v>Belgium</v>
      </c>
      <c r="U17" s="208"/>
      <c r="V17" s="184">
        <f ca="1">P17*V3</f>
        <v>0</v>
      </c>
      <c r="W17" s="184">
        <f ca="1">Q17*W3</f>
        <v>0</v>
      </c>
      <c r="X17" s="184">
        <f ca="1">R17*X3</f>
        <v>0</v>
      </c>
      <c r="Y17" s="185">
        <f ca="1">SUM(U17:X17)</f>
        <v>0</v>
      </c>
    </row>
    <row r="18" spans="1:25" x14ac:dyDescent="0.25">
      <c r="A18" s="144"/>
      <c r="B18" s="176" t="str">
        <f>C2</f>
        <v>Egypt</v>
      </c>
      <c r="C18" s="179">
        <f>IFERROR(G37-F37,0)</f>
        <v>0</v>
      </c>
      <c r="D18" s="206"/>
      <c r="E18" s="179">
        <f ca="1">IFERROR(F41-G41,0)</f>
        <v>0</v>
      </c>
      <c r="F18" s="179">
        <f ca="1">IFERROR(G40-F40,0)</f>
        <v>2</v>
      </c>
      <c r="G18" s="178">
        <f ca="1">SUM(C18:F18)</f>
        <v>2</v>
      </c>
      <c r="H18" s="183" t="str">
        <f t="shared" ref="H18:H20" si="21">B18</f>
        <v>Egypt</v>
      </c>
      <c r="I18" s="184">
        <f ca="1">C18*I4</f>
        <v>0</v>
      </c>
      <c r="J18" s="208"/>
      <c r="K18" s="184">
        <f ca="1">E18*K4</f>
        <v>0</v>
      </c>
      <c r="L18" s="184">
        <f ca="1">F18*L4</f>
        <v>0</v>
      </c>
      <c r="M18" s="185">
        <f ca="1">SUM(I18:L18)</f>
        <v>0</v>
      </c>
      <c r="N18" s="183" t="str">
        <f t="shared" ref="N18:N20" si="22">H18</f>
        <v>Egypt</v>
      </c>
      <c r="O18" s="184">
        <f ca="1">I18*O4</f>
        <v>0</v>
      </c>
      <c r="P18" s="208"/>
      <c r="Q18" s="184">
        <f ca="1">K18*Q4</f>
        <v>0</v>
      </c>
      <c r="R18" s="184">
        <f ca="1">L18*R4</f>
        <v>0</v>
      </c>
      <c r="S18" s="185">
        <f ca="1">SUM(O18:R18)</f>
        <v>0</v>
      </c>
      <c r="T18" s="183" t="str">
        <f t="shared" ref="T18:T20" si="23">N18</f>
        <v>Egypt</v>
      </c>
      <c r="U18" s="184">
        <f ca="1">O18*U4</f>
        <v>0</v>
      </c>
      <c r="V18" s="208"/>
      <c r="W18" s="184">
        <f ca="1">Q18*W4</f>
        <v>0</v>
      </c>
      <c r="X18" s="184">
        <f ca="1">R18*X4</f>
        <v>0</v>
      </c>
      <c r="Y18" s="185">
        <f ca="1">SUM(U18:X18)</f>
        <v>0</v>
      </c>
    </row>
    <row r="19" spans="1:25" x14ac:dyDescent="0.25">
      <c r="A19" s="144"/>
      <c r="B19" s="176" t="str">
        <f>D2</f>
        <v>IR Iran</v>
      </c>
      <c r="C19" s="179">
        <f ca="1">IFERROR(G39-F39,0)</f>
        <v>1</v>
      </c>
      <c r="D19" s="179">
        <f ca="1">IFERROR(G41-F41,0)</f>
        <v>0</v>
      </c>
      <c r="E19" s="206"/>
      <c r="F19" s="179">
        <f>IFERROR(F38-G38,0)</f>
        <v>0</v>
      </c>
      <c r="G19" s="178">
        <f ca="1">SUM(C19:F19)</f>
        <v>1</v>
      </c>
      <c r="H19" s="183" t="str">
        <f t="shared" si="21"/>
        <v>IR Iran</v>
      </c>
      <c r="I19" s="184">
        <f ca="1">C19*I5</f>
        <v>0</v>
      </c>
      <c r="J19" s="184">
        <f ca="1">D19*J5</f>
        <v>0</v>
      </c>
      <c r="K19" s="208"/>
      <c r="L19" s="184">
        <f ca="1">F19*L5</f>
        <v>0</v>
      </c>
      <c r="M19" s="185">
        <f ca="1">SUM(I19:L19)</f>
        <v>0</v>
      </c>
      <c r="N19" s="183" t="str">
        <f t="shared" si="22"/>
        <v>IR Iran</v>
      </c>
      <c r="O19" s="184">
        <f ca="1">I19*O5</f>
        <v>0</v>
      </c>
      <c r="P19" s="184">
        <f ca="1">J19*P5</f>
        <v>0</v>
      </c>
      <c r="Q19" s="208"/>
      <c r="R19" s="184">
        <f ca="1">L19*R5</f>
        <v>0</v>
      </c>
      <c r="S19" s="185">
        <f ca="1">SUM(O19:R19)</f>
        <v>0</v>
      </c>
      <c r="T19" s="183" t="str">
        <f t="shared" si="23"/>
        <v>IR Iran</v>
      </c>
      <c r="U19" s="184">
        <f ca="1">O19*U5</f>
        <v>0</v>
      </c>
      <c r="V19" s="184">
        <f ca="1">P19*V5</f>
        <v>0</v>
      </c>
      <c r="W19" s="208"/>
      <c r="X19" s="184">
        <f ca="1">R19*X5</f>
        <v>0</v>
      </c>
      <c r="Y19" s="185">
        <f ca="1">SUM(U19:X19)</f>
        <v>0</v>
      </c>
    </row>
    <row r="20" spans="1:25" x14ac:dyDescent="0.25">
      <c r="A20" s="144"/>
      <c r="B20" s="180" t="str">
        <f>E2</f>
        <v>New Zealand</v>
      </c>
      <c r="C20" s="181">
        <f ca="1">IFERROR(F42-G42,0)</f>
        <v>-1</v>
      </c>
      <c r="D20" s="181">
        <f ca="1">IFERROR(F40-G40,0)</f>
        <v>-2</v>
      </c>
      <c r="E20" s="181">
        <f>IFERROR(G38-F38,0)</f>
        <v>0</v>
      </c>
      <c r="F20" s="207"/>
      <c r="G20" s="182">
        <f ca="1">SUM(C20:F20)</f>
        <v>-3</v>
      </c>
      <c r="H20" s="186" t="str">
        <f t="shared" si="21"/>
        <v>New Zealand</v>
      </c>
      <c r="I20" s="187">
        <f ca="1">C20*I6</f>
        <v>0</v>
      </c>
      <c r="J20" s="187">
        <f ca="1">D20*J6</f>
        <v>0</v>
      </c>
      <c r="K20" s="187">
        <f ca="1">E20*K6</f>
        <v>0</v>
      </c>
      <c r="L20" s="213"/>
      <c r="M20" s="188">
        <f ca="1">SUM(I20:L20)</f>
        <v>0</v>
      </c>
      <c r="N20" s="186" t="str">
        <f t="shared" si="22"/>
        <v>New Zealand</v>
      </c>
      <c r="O20" s="187">
        <f ca="1">I20*O6</f>
        <v>0</v>
      </c>
      <c r="P20" s="187">
        <f ca="1">J20*P6</f>
        <v>0</v>
      </c>
      <c r="Q20" s="187">
        <f ca="1">K20*Q6</f>
        <v>0</v>
      </c>
      <c r="R20" s="213"/>
      <c r="S20" s="188">
        <f ca="1">SUM(O20:R20)</f>
        <v>0</v>
      </c>
      <c r="T20" s="186" t="str">
        <f t="shared" si="23"/>
        <v>New Zealand</v>
      </c>
      <c r="U20" s="187">
        <f ca="1">O20*U6</f>
        <v>0</v>
      </c>
      <c r="V20" s="187">
        <f ca="1">P20*V6</f>
        <v>0</v>
      </c>
      <c r="W20" s="187">
        <f ca="1">Q20*W6</f>
        <v>0</v>
      </c>
      <c r="X20" s="213"/>
      <c r="Y20" s="188">
        <f ca="1">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Belgium</v>
      </c>
      <c r="D23" s="164" t="str">
        <f>C2</f>
        <v>Egypt</v>
      </c>
      <c r="E23" s="164" t="str">
        <f>D2</f>
        <v>IR Iran</v>
      </c>
      <c r="F23" s="164" t="str">
        <f>E2</f>
        <v>New Zealand</v>
      </c>
      <c r="G23" s="165" t="s">
        <v>26</v>
      </c>
      <c r="H23" s="169"/>
      <c r="I23" s="170" t="str">
        <f>C23</f>
        <v>Belgium</v>
      </c>
      <c r="J23" s="170" t="str">
        <f t="shared" ref="J23:L23" si="24">D23</f>
        <v>Egypt</v>
      </c>
      <c r="K23" s="170" t="str">
        <f t="shared" si="24"/>
        <v>IR Iran</v>
      </c>
      <c r="L23" s="170" t="str">
        <f t="shared" si="24"/>
        <v>New Zealand</v>
      </c>
      <c r="M23" s="171" t="s">
        <v>26</v>
      </c>
      <c r="N23" s="169"/>
      <c r="O23" s="170" t="str">
        <f>I23</f>
        <v>Belgium</v>
      </c>
      <c r="P23" s="170" t="str">
        <f t="shared" ref="P23:R23" si="25">J23</f>
        <v>Egypt</v>
      </c>
      <c r="Q23" s="170" t="str">
        <f t="shared" si="25"/>
        <v>IR Iran</v>
      </c>
      <c r="R23" s="170" t="str">
        <f t="shared" si="25"/>
        <v>New Zealand</v>
      </c>
      <c r="S23" s="171" t="s">
        <v>26</v>
      </c>
      <c r="T23" s="169"/>
      <c r="U23" s="170" t="str">
        <f>O23</f>
        <v>Belgium</v>
      </c>
      <c r="V23" s="170" t="str">
        <f t="shared" ref="V23:X23" si="26">P23</f>
        <v>Egypt</v>
      </c>
      <c r="W23" s="170" t="str">
        <f t="shared" si="26"/>
        <v>IR Iran</v>
      </c>
      <c r="X23" s="170" t="str">
        <f t="shared" si="26"/>
        <v>New Zealand</v>
      </c>
      <c r="Y23" s="171" t="s">
        <v>26</v>
      </c>
    </row>
    <row r="24" spans="1:25" x14ac:dyDescent="0.25">
      <c r="A24" s="143"/>
      <c r="B24" s="163" t="str">
        <f>B2</f>
        <v>Belgium</v>
      </c>
      <c r="C24" s="209"/>
      <c r="D24" s="164">
        <f>IF(F37="",0,F37)</f>
        <v>1</v>
      </c>
      <c r="E24" s="164">
        <f ca="1">IF(F39="",0,F39)</f>
        <v>1</v>
      </c>
      <c r="F24" s="164">
        <f ca="1">IF(G42="",0,G42)</f>
        <v>1</v>
      </c>
      <c r="G24" s="165">
        <f ca="1">SUM(C24:F24)</f>
        <v>3</v>
      </c>
      <c r="H24" s="169" t="str">
        <f>B24</f>
        <v>Belgium</v>
      </c>
      <c r="I24" s="214"/>
      <c r="J24" s="170">
        <f ca="1">D24*J3</f>
        <v>0</v>
      </c>
      <c r="K24" s="170">
        <f ca="1">E24*K3</f>
        <v>0</v>
      </c>
      <c r="L24" s="170">
        <f ca="1">F24*L3</f>
        <v>0</v>
      </c>
      <c r="M24" s="171">
        <f ca="1">SUM(I24:L24)</f>
        <v>0</v>
      </c>
      <c r="N24" s="169" t="str">
        <f>H24</f>
        <v>Belgium</v>
      </c>
      <c r="O24" s="214"/>
      <c r="P24" s="170">
        <f ca="1">J24*P3</f>
        <v>0</v>
      </c>
      <c r="Q24" s="170">
        <f ca="1">K24*Q3</f>
        <v>0</v>
      </c>
      <c r="R24" s="170">
        <f ca="1">L24*R3</f>
        <v>0</v>
      </c>
      <c r="S24" s="171">
        <f ca="1">SUM(O24:R24)</f>
        <v>0</v>
      </c>
      <c r="T24" s="169" t="str">
        <f>N24</f>
        <v>Belgium</v>
      </c>
      <c r="U24" s="214"/>
      <c r="V24" s="170">
        <f ca="1">P24*V3</f>
        <v>0</v>
      </c>
      <c r="W24" s="170">
        <f ca="1">Q24*W3</f>
        <v>0</v>
      </c>
      <c r="X24" s="170">
        <f ca="1">R24*X3</f>
        <v>0</v>
      </c>
      <c r="Y24" s="171">
        <f ca="1">SUM(U24:X24)</f>
        <v>0</v>
      </c>
    </row>
    <row r="25" spans="1:25" x14ac:dyDescent="0.25">
      <c r="A25" s="143"/>
      <c r="B25" s="163" t="str">
        <f>C2</f>
        <v>Egypt</v>
      </c>
      <c r="C25" s="164">
        <f>IF(G37="",0,G37)</f>
        <v>1</v>
      </c>
      <c r="D25" s="209"/>
      <c r="E25" s="164">
        <f ca="1">IF(F41="",0,F41)</f>
        <v>2</v>
      </c>
      <c r="F25" s="164">
        <f ca="1">IF(G40="",0,G40)</f>
        <v>2</v>
      </c>
      <c r="G25" s="165">
        <f ca="1">SUM(C25:F25)</f>
        <v>5</v>
      </c>
      <c r="H25" s="169" t="str">
        <f t="shared" ref="H25:H27" si="27">B25</f>
        <v>Egypt</v>
      </c>
      <c r="I25" s="170">
        <f ca="1">C25*I4</f>
        <v>0</v>
      </c>
      <c r="J25" s="214"/>
      <c r="K25" s="170">
        <f ca="1">E25*K4</f>
        <v>2</v>
      </c>
      <c r="L25" s="170">
        <f ca="1">F25*L4</f>
        <v>0</v>
      </c>
      <c r="M25" s="171">
        <f ca="1">SUM(I25:L25)</f>
        <v>2</v>
      </c>
      <c r="N25" s="169" t="str">
        <f t="shared" ref="N25:N27" si="28">H25</f>
        <v>Egypt</v>
      </c>
      <c r="O25" s="170">
        <f ca="1">I25*O4</f>
        <v>0</v>
      </c>
      <c r="P25" s="214"/>
      <c r="Q25" s="170">
        <f ca="1">K25*Q4</f>
        <v>2</v>
      </c>
      <c r="R25" s="170">
        <f ca="1">L25*R4</f>
        <v>0</v>
      </c>
      <c r="S25" s="171">
        <f ca="1">SUM(O25:R25)</f>
        <v>2</v>
      </c>
      <c r="T25" s="169" t="str">
        <f t="shared" ref="T25:T27" si="29">N25</f>
        <v>Egypt</v>
      </c>
      <c r="U25" s="170">
        <f ca="1">O25*U4</f>
        <v>0</v>
      </c>
      <c r="V25" s="214"/>
      <c r="W25" s="170">
        <f ca="1">Q25*W4</f>
        <v>2</v>
      </c>
      <c r="X25" s="170">
        <f ca="1">R25*X4</f>
        <v>0</v>
      </c>
      <c r="Y25" s="171">
        <f ca="1">SUM(U25:X25)</f>
        <v>2</v>
      </c>
    </row>
    <row r="26" spans="1:25" x14ac:dyDescent="0.25">
      <c r="A26" s="143"/>
      <c r="B26" s="163" t="str">
        <f>D2</f>
        <v>IR Iran</v>
      </c>
      <c r="C26" s="164">
        <f ca="1">IF(G39="",0,G39)</f>
        <v>2</v>
      </c>
      <c r="D26" s="164">
        <f ca="1">IF(G41="",0,G41)</f>
        <v>2</v>
      </c>
      <c r="E26" s="209"/>
      <c r="F26" s="164">
        <f>IF(F38="",0,F38)</f>
        <v>2</v>
      </c>
      <c r="G26" s="165">
        <f ca="1">SUM(C26:F26)</f>
        <v>6</v>
      </c>
      <c r="H26" s="169" t="str">
        <f t="shared" si="27"/>
        <v>IR Iran</v>
      </c>
      <c r="I26" s="170">
        <f ca="1">C26*I5</f>
        <v>0</v>
      </c>
      <c r="J26" s="170">
        <f ca="1">D26*J5</f>
        <v>2</v>
      </c>
      <c r="K26" s="214"/>
      <c r="L26" s="170">
        <f ca="1">F26*L5</f>
        <v>0</v>
      </c>
      <c r="M26" s="171">
        <f ca="1">SUM(I26:L26)</f>
        <v>2</v>
      </c>
      <c r="N26" s="169" t="str">
        <f t="shared" si="28"/>
        <v>IR Iran</v>
      </c>
      <c r="O26" s="170">
        <f ca="1">I26*O5</f>
        <v>0</v>
      </c>
      <c r="P26" s="170">
        <f ca="1">J26*P5</f>
        <v>2</v>
      </c>
      <c r="Q26" s="214"/>
      <c r="R26" s="170">
        <f ca="1">L26*R5</f>
        <v>0</v>
      </c>
      <c r="S26" s="171">
        <f ca="1">SUM(O26:R26)</f>
        <v>2</v>
      </c>
      <c r="T26" s="169" t="str">
        <f t="shared" si="29"/>
        <v>IR Iran</v>
      </c>
      <c r="U26" s="170">
        <f ca="1">O26*U5</f>
        <v>0</v>
      </c>
      <c r="V26" s="170">
        <f ca="1">P26*V5</f>
        <v>2</v>
      </c>
      <c r="W26" s="214"/>
      <c r="X26" s="170">
        <f ca="1">R26*X5</f>
        <v>0</v>
      </c>
      <c r="Y26" s="171">
        <f ca="1">SUM(U26:X26)</f>
        <v>2</v>
      </c>
    </row>
    <row r="27" spans="1:25" x14ac:dyDescent="0.25">
      <c r="A27" s="143"/>
      <c r="B27" s="166" t="str">
        <f>E2</f>
        <v>New Zealand</v>
      </c>
      <c r="C27" s="167">
        <f ca="1">IF(F42="",0,F42)</f>
        <v>0</v>
      </c>
      <c r="D27" s="167">
        <f ca="1">IF(F40="",0,F40)</f>
        <v>0</v>
      </c>
      <c r="E27" s="167">
        <f>IF(G38="",0,G38)</f>
        <v>2</v>
      </c>
      <c r="F27" s="210"/>
      <c r="G27" s="168">
        <f ca="1">SUM(C27:F27)</f>
        <v>2</v>
      </c>
      <c r="H27" s="172" t="str">
        <f t="shared" si="27"/>
        <v>New Zealand</v>
      </c>
      <c r="I27" s="173">
        <f ca="1">C27*I6</f>
        <v>0</v>
      </c>
      <c r="J27" s="173">
        <f ca="1">D27*J6</f>
        <v>0</v>
      </c>
      <c r="K27" s="173">
        <f ca="1">E27*K6</f>
        <v>0</v>
      </c>
      <c r="L27" s="215"/>
      <c r="M27" s="174">
        <f ca="1">SUM(I27:L27)</f>
        <v>0</v>
      </c>
      <c r="N27" s="172" t="str">
        <f t="shared" si="28"/>
        <v>New Zealand</v>
      </c>
      <c r="O27" s="173">
        <f ca="1">I27*O6</f>
        <v>0</v>
      </c>
      <c r="P27" s="173">
        <f ca="1">J27*P6</f>
        <v>0</v>
      </c>
      <c r="Q27" s="173">
        <f ca="1">K27*Q6</f>
        <v>0</v>
      </c>
      <c r="R27" s="215"/>
      <c r="S27" s="174">
        <f ca="1">SUM(O27:R27)</f>
        <v>0</v>
      </c>
      <c r="T27" s="172" t="str">
        <f t="shared" si="29"/>
        <v>New Zealand</v>
      </c>
      <c r="U27" s="173">
        <f ca="1">O27*U6</f>
        <v>0</v>
      </c>
      <c r="V27" s="173">
        <f ca="1">P27*V6</f>
        <v>0</v>
      </c>
      <c r="W27" s="173">
        <f ca="1">Q27*W6</f>
        <v>0</v>
      </c>
      <c r="X27" s="215"/>
      <c r="Y27" s="174">
        <f ca="1">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300" t="s">
        <v>669</v>
      </c>
      <c r="E29" s="300" t="s">
        <v>670</v>
      </c>
      <c r="F29" s="300" t="s">
        <v>671</v>
      </c>
      <c r="G29" s="232" t="s">
        <v>631</v>
      </c>
      <c r="H29" s="232" t="s">
        <v>632</v>
      </c>
      <c r="I29" s="232" t="s">
        <v>633</v>
      </c>
      <c r="J29" s="232" t="s">
        <v>676</v>
      </c>
      <c r="K29" s="232" t="s">
        <v>411</v>
      </c>
      <c r="L29" s="232" t="s">
        <v>661</v>
      </c>
      <c r="M29" s="232" t="s">
        <v>634</v>
      </c>
      <c r="N29" s="233" t="s">
        <v>635</v>
      </c>
    </row>
    <row r="30" spans="1:25" x14ac:dyDescent="0.25">
      <c r="A30" s="234">
        <f ca="1">N30</f>
        <v>3</v>
      </c>
      <c r="B30" s="235" t="str">
        <f>B2</f>
        <v>Belgium</v>
      </c>
      <c r="C30" s="236">
        <v>3</v>
      </c>
      <c r="D30" s="236">
        <f ca="1">COUNTIF(FWinners,B30)</f>
        <v>1</v>
      </c>
      <c r="E30" s="236">
        <f ca="1">COUNTIF(FDraws,"D"&amp;B30)</f>
        <v>1</v>
      </c>
      <c r="F30" s="236">
        <f ca="1">COUNTIF(FLosers,B30)</f>
        <v>1</v>
      </c>
      <c r="G30" s="236">
        <f ca="1">F37+F39+G42</f>
        <v>3</v>
      </c>
      <c r="H30" s="236">
        <f ca="1">G37+G39+F42</f>
        <v>3</v>
      </c>
      <c r="I30" s="236">
        <f ca="1">G30-H30</f>
        <v>0</v>
      </c>
      <c r="J30" s="237">
        <f ca="1">Z10</f>
        <v>2</v>
      </c>
      <c r="K30" s="236">
        <f>VLOOKUP($B30,Lookup10,11,FALSE)</f>
        <v>2</v>
      </c>
      <c r="L30" s="236">
        <f>VLOOKUP($B30,Lookup11,2,FALSE)</f>
        <v>9</v>
      </c>
      <c r="M30" s="238">
        <f ca="1">ROUND(G30*G$34+I30*I$34+J30*J$34-K30*K$34-L30*L$34,8)</f>
        <v>20002.9791</v>
      </c>
      <c r="N30" s="239">
        <f ca="1">RANK(M30,M$30:M$33,0)</f>
        <v>3</v>
      </c>
    </row>
    <row r="31" spans="1:25" x14ac:dyDescent="0.25">
      <c r="A31" s="234">
        <f ca="1">N31</f>
        <v>1</v>
      </c>
      <c r="B31" s="235" t="str">
        <f>C2</f>
        <v>Egypt</v>
      </c>
      <c r="C31" s="236">
        <v>3</v>
      </c>
      <c r="D31" s="236">
        <f ca="1">COUNTIF(FWinners,B31)</f>
        <v>1</v>
      </c>
      <c r="E31" s="236">
        <f ca="1">COUNTIF(FDraws,"D"&amp;B31)</f>
        <v>2</v>
      </c>
      <c r="F31" s="236">
        <f ca="1">COUNTIF(FLosers,B31)</f>
        <v>0</v>
      </c>
      <c r="G31" s="236">
        <f ca="1">G37+G40+F41</f>
        <v>5</v>
      </c>
      <c r="H31" s="236">
        <f ca="1">F37+F40+G41</f>
        <v>3</v>
      </c>
      <c r="I31" s="236">
        <f t="shared" ref="I31:I33" ca="1" si="30">G31-H31</f>
        <v>2</v>
      </c>
      <c r="J31" s="237">
        <f ca="1">Z11</f>
        <v>3</v>
      </c>
      <c r="K31" s="236">
        <f>VLOOKUP($B31,Lookup10,11,FALSE)</f>
        <v>2</v>
      </c>
      <c r="L31" s="236">
        <f>VLOOKUP($B31,Lookup11,2,FALSE)</f>
        <v>26</v>
      </c>
      <c r="M31" s="238">
        <f ca="1">ROUND(G31*G$34+I31*I$34+J31*J$34-K31*K$34-L31*L$34,8)</f>
        <v>30204.9774</v>
      </c>
      <c r="N31" s="239">
        <f ca="1">RANK(M31,M$30:M$33,0)</f>
        <v>1</v>
      </c>
    </row>
    <row r="32" spans="1:25" x14ac:dyDescent="0.25">
      <c r="A32" s="234">
        <f ca="1">N32</f>
        <v>2</v>
      </c>
      <c r="B32" s="235" t="str">
        <f>D2</f>
        <v>IR Iran</v>
      </c>
      <c r="C32" s="236">
        <v>3</v>
      </c>
      <c r="D32" s="236">
        <f ca="1">COUNTIF(FWinners,B32)</f>
        <v>1</v>
      </c>
      <c r="E32" s="236">
        <f ca="1">COUNTIF(FDraws,"D"&amp;B32)</f>
        <v>2</v>
      </c>
      <c r="F32" s="236">
        <f ca="1">COUNTIF(FLosers,B32)</f>
        <v>0</v>
      </c>
      <c r="G32" s="236">
        <f ca="1">F38+G39+G41</f>
        <v>6</v>
      </c>
      <c r="H32" s="236">
        <f ca="1">G38+F39+F41</f>
        <v>5</v>
      </c>
      <c r="I32" s="236">
        <f t="shared" ca="1" si="30"/>
        <v>1</v>
      </c>
      <c r="J32" s="237">
        <f ca="1">Z12</f>
        <v>3</v>
      </c>
      <c r="K32" s="236">
        <f>VLOOKUP($B32,Lookup10,11,FALSE)</f>
        <v>1</v>
      </c>
      <c r="L32" s="236">
        <f>VLOOKUP($B32,Lookup11,2,FALSE)</f>
        <v>19</v>
      </c>
      <c r="M32" s="238">
        <f ca="1">ROUND(G32*G$34+I32*I$34+J32*J$34-K32*K$34-L32*L$34,8)</f>
        <v>30105.988099999999</v>
      </c>
      <c r="N32" s="239">
        <f ca="1">RANK(M32,M$30:M$33,0)</f>
        <v>2</v>
      </c>
    </row>
    <row r="33" spans="1:16" x14ac:dyDescent="0.25">
      <c r="A33" s="234">
        <f ca="1">N33</f>
        <v>4</v>
      </c>
      <c r="B33" s="235" t="str">
        <f>E2</f>
        <v>New Zealand</v>
      </c>
      <c r="C33" s="236">
        <v>3</v>
      </c>
      <c r="D33" s="236">
        <f ca="1">COUNTIF(FWinners,B33)</f>
        <v>0</v>
      </c>
      <c r="E33" s="236">
        <f ca="1">COUNTIF(FDraws,"D"&amp;B33)</f>
        <v>1</v>
      </c>
      <c r="F33" s="236">
        <f ca="1">COUNTIF(FLosers,B33)</f>
        <v>2</v>
      </c>
      <c r="G33" s="236">
        <f ca="1">G38+F40+F42</f>
        <v>2</v>
      </c>
      <c r="H33" s="236">
        <f ca="1">F38+G40+G42</f>
        <v>5</v>
      </c>
      <c r="I33" s="236">
        <f t="shared" ca="1" si="30"/>
        <v>-3</v>
      </c>
      <c r="J33" s="237">
        <f ca="1">Z13</f>
        <v>1</v>
      </c>
      <c r="K33" s="236">
        <f>VLOOKUP($B33,Lookup10,11,FALSE)</f>
        <v>0</v>
      </c>
      <c r="L33" s="236">
        <f>VLOOKUP($B33,Lookup11,2,FALSE)</f>
        <v>48</v>
      </c>
      <c r="M33" s="238">
        <f ca="1">ROUND(G33*G$34+I33*I$34+J33*J$34-K33*K$34-L33*L$34,8)</f>
        <v>9701.9951999999994</v>
      </c>
      <c r="N33" s="239">
        <f ca="1">RANK(M33,M$30:M$33,0)</f>
        <v>4</v>
      </c>
    </row>
    <row r="34" spans="1:16" x14ac:dyDescent="0.25">
      <c r="A34" s="240"/>
      <c r="B34" s="241" t="s">
        <v>636</v>
      </c>
      <c r="C34" s="242">
        <f>SUM(C30:C33)</f>
        <v>12</v>
      </c>
      <c r="D34" s="242"/>
      <c r="E34" s="242"/>
      <c r="F34" s="242"/>
      <c r="G34" s="205">
        <v>1</v>
      </c>
      <c r="H34" s="205"/>
      <c r="I34" s="205">
        <v>100</v>
      </c>
      <c r="J34" s="205">
        <v>10000</v>
      </c>
      <c r="K34" s="205">
        <v>0.01</v>
      </c>
      <c r="L34" s="205">
        <v>1E-4</v>
      </c>
      <c r="M34" s="242"/>
      <c r="N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BelgiumEgypt</v>
      </c>
      <c r="B37" s="158" t="str">
        <f>B1&amp;C1</f>
        <v>G1G2</v>
      </c>
      <c r="C37" s="158">
        <v>1</v>
      </c>
      <c r="D37" s="150" t="str">
        <f>B2</f>
        <v>Belgium</v>
      </c>
      <c r="E37" s="150" t="str">
        <f>C2</f>
        <v>Egypt</v>
      </c>
      <c r="F37" s="158">
        <f t="shared" ref="F37:F42" si="31">VLOOKUP($B37,Lookup18,6,FALSE)</f>
        <v>1</v>
      </c>
      <c r="G37" s="158">
        <f t="shared" ref="G37:G42" si="32">VLOOKUP($B37,Lookup18,8,FALSE)</f>
        <v>1</v>
      </c>
      <c r="H37" s="158">
        <f t="shared" ref="H37:H42" si="33">IF(C37=0,0,IF(F37&lt;G37,Lpts,IF(F37&gt;G37,Wpts,Dpts)))</f>
        <v>1</v>
      </c>
      <c r="I37" s="158">
        <f t="shared" ref="I37:I42" si="34">IF(C37=0,0,IF(G37&lt;F37,Lpts,IF(G37&gt;F37,Wpts,Dpts)))</f>
        <v>1</v>
      </c>
      <c r="J37" s="158">
        <f t="shared" ref="J37:K42" si="35">IF(VLOOKUP($B37,Lookup12,4,FALSE)="",0,VLOOKUP($B37,Lookup12,4,FALSE))</f>
        <v>2</v>
      </c>
      <c r="K37" s="158">
        <f t="shared" si="35"/>
        <v>2</v>
      </c>
      <c r="L37" s="143"/>
      <c r="M37" s="143"/>
      <c r="N37" s="143"/>
      <c r="O37" s="143"/>
      <c r="P37" s="143"/>
    </row>
    <row r="38" spans="1:16" x14ac:dyDescent="0.25">
      <c r="A38" s="149" t="str">
        <f>D2&amp;E2</f>
        <v>IR IranNew Zealand</v>
      </c>
      <c r="B38" s="158" t="str">
        <f>D1&amp;E1</f>
        <v>G3G4</v>
      </c>
      <c r="C38" s="158">
        <v>1</v>
      </c>
      <c r="D38" s="150" t="str">
        <f>D2</f>
        <v>IR Iran</v>
      </c>
      <c r="E38" s="150" t="str">
        <f>E2</f>
        <v>New Zealand</v>
      </c>
      <c r="F38" s="158">
        <f t="shared" si="31"/>
        <v>2</v>
      </c>
      <c r="G38" s="158">
        <f t="shared" si="32"/>
        <v>2</v>
      </c>
      <c r="H38" s="158">
        <f t="shared" si="33"/>
        <v>1</v>
      </c>
      <c r="I38" s="158">
        <f t="shared" si="34"/>
        <v>1</v>
      </c>
      <c r="J38" s="158">
        <f t="shared" si="35"/>
        <v>1</v>
      </c>
      <c r="K38" s="158">
        <f t="shared" si="35"/>
        <v>1</v>
      </c>
      <c r="L38" s="143"/>
      <c r="M38" s="143"/>
      <c r="N38" s="143"/>
      <c r="O38" s="143"/>
      <c r="P38" s="143"/>
    </row>
    <row r="39" spans="1:16" x14ac:dyDescent="0.25">
      <c r="A39" s="149" t="str">
        <f>B2&amp;D2</f>
        <v>BelgiumIR Iran</v>
      </c>
      <c r="B39" s="158" t="str">
        <f>B1&amp;D1</f>
        <v>G1G3</v>
      </c>
      <c r="C39" s="158">
        <v>1</v>
      </c>
      <c r="D39" s="150" t="str">
        <f>B2</f>
        <v>Belgium</v>
      </c>
      <c r="E39" s="150" t="str">
        <f>D2</f>
        <v>IR Iran</v>
      </c>
      <c r="F39" s="158">
        <f t="shared" ca="1" si="31"/>
        <v>1</v>
      </c>
      <c r="G39" s="158">
        <f t="shared" ca="1" si="32"/>
        <v>2</v>
      </c>
      <c r="H39" s="158">
        <f t="shared" ca="1" si="33"/>
        <v>0</v>
      </c>
      <c r="I39" s="158">
        <f t="shared" ca="1" si="34"/>
        <v>3</v>
      </c>
      <c r="J39" s="158">
        <f t="shared" si="35"/>
        <v>0</v>
      </c>
      <c r="K39" s="158">
        <f t="shared" si="35"/>
        <v>0</v>
      </c>
      <c r="L39" s="143"/>
      <c r="M39" s="143"/>
      <c r="N39" s="143"/>
      <c r="O39" s="143"/>
      <c r="P39" s="143"/>
    </row>
    <row r="40" spans="1:16" x14ac:dyDescent="0.25">
      <c r="A40" s="149" t="str">
        <f>E2&amp;C2</f>
        <v>New ZealandEgypt</v>
      </c>
      <c r="B40" s="158" t="str">
        <f>E1&amp;C1</f>
        <v>G4G2</v>
      </c>
      <c r="C40" s="158">
        <v>1</v>
      </c>
      <c r="D40" s="150" t="str">
        <f>E2</f>
        <v>New Zealand</v>
      </c>
      <c r="E40" s="150" t="str">
        <f>C2</f>
        <v>Egypt</v>
      </c>
      <c r="F40" s="158">
        <f t="shared" ca="1" si="31"/>
        <v>0</v>
      </c>
      <c r="G40" s="158">
        <f t="shared" ca="1" si="32"/>
        <v>2</v>
      </c>
      <c r="H40" s="158">
        <f t="shared" ca="1" si="33"/>
        <v>0</v>
      </c>
      <c r="I40" s="158">
        <f t="shared" ca="1" si="34"/>
        <v>3</v>
      </c>
      <c r="J40" s="158">
        <f t="shared" si="35"/>
        <v>0</v>
      </c>
      <c r="K40" s="158">
        <f t="shared" si="35"/>
        <v>0</v>
      </c>
      <c r="L40" s="143"/>
      <c r="M40" s="143"/>
      <c r="N40" s="143"/>
      <c r="O40" s="143"/>
      <c r="P40" s="143"/>
    </row>
    <row r="41" spans="1:16" x14ac:dyDescent="0.25">
      <c r="A41" s="149" t="str">
        <f>C2&amp;D2</f>
        <v>EgyptIR Iran</v>
      </c>
      <c r="B41" s="158" t="str">
        <f>C1&amp;D1</f>
        <v>G2G3</v>
      </c>
      <c r="C41" s="158">
        <v>1</v>
      </c>
      <c r="D41" s="150" t="str">
        <f>C2</f>
        <v>Egypt</v>
      </c>
      <c r="E41" s="150" t="str">
        <f>D2</f>
        <v>IR Iran</v>
      </c>
      <c r="F41" s="158">
        <f t="shared" ca="1" si="31"/>
        <v>2</v>
      </c>
      <c r="G41" s="158">
        <f t="shared" ca="1" si="32"/>
        <v>2</v>
      </c>
      <c r="H41" s="158">
        <f t="shared" ca="1" si="33"/>
        <v>1</v>
      </c>
      <c r="I41" s="158">
        <f t="shared" ca="1" si="34"/>
        <v>1</v>
      </c>
      <c r="J41" s="158">
        <f t="shared" si="35"/>
        <v>0</v>
      </c>
      <c r="K41" s="158">
        <f t="shared" si="35"/>
        <v>0</v>
      </c>
      <c r="L41" s="143"/>
      <c r="M41" s="143"/>
      <c r="N41" s="143"/>
      <c r="O41" s="143"/>
      <c r="P41" s="143"/>
    </row>
    <row r="42" spans="1:16" x14ac:dyDescent="0.25">
      <c r="A42" s="151" t="str">
        <f>E2&amp;B2</f>
        <v>New ZealandBelgium</v>
      </c>
      <c r="B42" s="159" t="str">
        <f>E1&amp;B1</f>
        <v>G4G1</v>
      </c>
      <c r="C42" s="159">
        <v>1</v>
      </c>
      <c r="D42" s="152" t="str">
        <f>E2</f>
        <v>New Zealand</v>
      </c>
      <c r="E42" s="152" t="str">
        <f>B2</f>
        <v>Belgium</v>
      </c>
      <c r="F42" s="159">
        <f t="shared" ca="1" si="31"/>
        <v>0</v>
      </c>
      <c r="G42" s="159">
        <f t="shared" ca="1" si="32"/>
        <v>1</v>
      </c>
      <c r="H42" s="159">
        <f t="shared" ca="1" si="33"/>
        <v>0</v>
      </c>
      <c r="I42" s="159">
        <f t="shared" ca="1" si="34"/>
        <v>3</v>
      </c>
      <c r="J42" s="159">
        <f t="shared" si="35"/>
        <v>0</v>
      </c>
      <c r="K42" s="159">
        <f t="shared" si="35"/>
        <v>0</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 ca="1">$B45</f>
        <v>Egypt</v>
      </c>
      <c r="M44" s="154" t="str">
        <f ca="1">$B46</f>
        <v>IR Iran</v>
      </c>
      <c r="N44" s="154" t="str">
        <f ca="1">$B47</f>
        <v>Belgium</v>
      </c>
      <c r="O44" s="154" t="str">
        <f ca="1">$B48</f>
        <v>New Zealand</v>
      </c>
      <c r="P44" s="155"/>
    </row>
    <row r="45" spans="1:16" x14ac:dyDescent="0.25">
      <c r="A45" s="156">
        <v>1</v>
      </c>
      <c r="B45" s="156" t="str">
        <f ca="1">VLOOKUP($A45,Ranking,2,FALSE)</f>
        <v>Egypt</v>
      </c>
      <c r="C45" s="157">
        <v>3</v>
      </c>
      <c r="D45" s="157">
        <f ca="1">VLOOKUP($A45,Ranking,4,FALSE)</f>
        <v>1</v>
      </c>
      <c r="E45" s="157">
        <f ca="1">VLOOKUP($A45,Ranking,5,FALSE)</f>
        <v>2</v>
      </c>
      <c r="F45" s="157">
        <f ca="1">VLOOKUP($A45,Ranking,6,FALSE)</f>
        <v>0</v>
      </c>
      <c r="G45" s="157">
        <f ca="1">VLOOKUP($A45,Ranking,7,FALSE)</f>
        <v>5</v>
      </c>
      <c r="H45" s="157">
        <f ca="1">VLOOKUP($A45,Ranking,8,FALSE)</f>
        <v>3</v>
      </c>
      <c r="I45" s="157">
        <f ca="1">G45-H45</f>
        <v>2</v>
      </c>
      <c r="J45" s="157">
        <f ca="1">D45*Wpts+E45*Dpts+FGrpG!F45*Lpts</f>
        <v>5</v>
      </c>
      <c r="K45" s="201" t="str">
        <f ca="1">B45</f>
        <v>Egypt</v>
      </c>
      <c r="L45" s="203"/>
      <c r="M45" s="202" t="str">
        <f ca="1">IFERROR(VLOOKUP($B45&amp;M$44,A37:G42,6,FALSE)&amp;"-"&amp;VLOOKUP($B45&amp;M$44,A37:G42,7,FALSE),VLOOKUP(M$44&amp;$B45,A37:G42,7,FALSE)&amp;"-"&amp;VLOOKUP(M$44&amp;$B45,A37:G42,6,FALSE))</f>
        <v>2-2</v>
      </c>
      <c r="N45" s="202" t="str">
        <f ca="1">IFERROR(VLOOKUP($B45&amp;N$44,A37:G42,6,FALSE)&amp;"-"&amp;VLOOKUP($B45&amp;N$44,A37:G42,7,FALSE),VLOOKUP(N$44&amp;$B45,A37:G42,7,FALSE)&amp;"-"&amp;VLOOKUP(N$44&amp;$B45,A37:G42,6,FALSE))</f>
        <v>1-1</v>
      </c>
      <c r="O45" s="202" t="str">
        <f ca="1">IFERROR(VLOOKUP($B45&amp;O$44,A37:G42,6,FALSE)&amp;"-"&amp;VLOOKUP($B45&amp;O$44,A37:G42,7,FALSE),VLOOKUP(O$44&amp;$B45,A37:G42,7,FALSE)&amp;"-"&amp;VLOOKUP(O$44&amp;$B45,A37:G42,6,FALSE))</f>
        <v>2-0</v>
      </c>
      <c r="P45" s="155"/>
    </row>
    <row r="46" spans="1:16" x14ac:dyDescent="0.25">
      <c r="A46" s="156">
        <v>2</v>
      </c>
      <c r="B46" s="156" t="str">
        <f ca="1">VLOOKUP($A46,Ranking,2,FALSE)</f>
        <v>IR Iran</v>
      </c>
      <c r="C46" s="157">
        <v>3</v>
      </c>
      <c r="D46" s="157">
        <f ca="1">VLOOKUP($A46,Ranking,4,FALSE)</f>
        <v>1</v>
      </c>
      <c r="E46" s="157">
        <f ca="1">VLOOKUP($A46,Ranking,5,FALSE)</f>
        <v>2</v>
      </c>
      <c r="F46" s="157">
        <f ca="1">VLOOKUP($A46,Ranking,6,FALSE)</f>
        <v>0</v>
      </c>
      <c r="G46" s="157">
        <f ca="1">VLOOKUP($A46,Ranking,7,FALSE)</f>
        <v>6</v>
      </c>
      <c r="H46" s="157">
        <f ca="1">VLOOKUP($A46,Ranking,8,FALSE)</f>
        <v>5</v>
      </c>
      <c r="I46" s="157">
        <f t="shared" ref="I46:I48" ca="1" si="36">G46-H46</f>
        <v>1</v>
      </c>
      <c r="J46" s="157">
        <f ca="1">D46*Wpts+E46*Dpts+FGrpG!F46*Lpts</f>
        <v>5</v>
      </c>
      <c r="K46" s="201" t="str">
        <f ca="1">B46</f>
        <v>IR Iran</v>
      </c>
      <c r="L46" s="202" t="str">
        <f ca="1">IFERROR(VLOOKUP($B46&amp;L$44,A37:G42,6,FALSE)&amp;"-"&amp;VLOOKUP($B46&amp;L$44,A37:G42,7,FALSE),VLOOKUP(L$44&amp;$B46,A37:G42,7,FALSE)&amp;"-"&amp;VLOOKUP(L$44&amp;$B46,A37:G42,6,FALSE))</f>
        <v>2-2</v>
      </c>
      <c r="M46" s="203"/>
      <c r="N46" s="202" t="str">
        <f ca="1">IFERROR(VLOOKUP($B46&amp;N$44,A37:G42,6,FALSE)&amp;"-"&amp;VLOOKUP($B46&amp;N$44,A37:G42,7,FALSE),VLOOKUP(N$44&amp;$B46,A37:G42,7,FALSE)&amp;"-"&amp;VLOOKUP(N$44&amp;$B46,A37:G42,6,FALSE))</f>
        <v>2-1</v>
      </c>
      <c r="O46" s="202" t="str">
        <f ca="1">IFERROR(VLOOKUP($B46&amp;O$44,A37:G42,6,FALSE)&amp;"-"&amp;VLOOKUP($B46&amp;O$44,A37:G42,7,FALSE),VLOOKUP(O$44&amp;$B46,A37:G42,7,FALSE)&amp;"-"&amp;VLOOKUP(O$44&amp;$B46,A37:G42,6,FALSE))</f>
        <v>2-2</v>
      </c>
      <c r="P46" s="155"/>
    </row>
    <row r="47" spans="1:16" x14ac:dyDescent="0.25">
      <c r="A47" s="156">
        <v>3</v>
      </c>
      <c r="B47" s="156" t="str">
        <f ca="1">VLOOKUP($A47,Ranking,2,FALSE)</f>
        <v>Belgium</v>
      </c>
      <c r="C47" s="157">
        <v>3</v>
      </c>
      <c r="D47" s="157">
        <f ca="1">VLOOKUP($A47,Ranking,4,FALSE)</f>
        <v>1</v>
      </c>
      <c r="E47" s="157">
        <f ca="1">VLOOKUP($A47,Ranking,5,FALSE)</f>
        <v>1</v>
      </c>
      <c r="F47" s="157">
        <f ca="1">VLOOKUP($A47,Ranking,6,FALSE)</f>
        <v>1</v>
      </c>
      <c r="G47" s="157">
        <f ca="1">VLOOKUP($A47,Ranking,7,FALSE)</f>
        <v>3</v>
      </c>
      <c r="H47" s="157">
        <f ca="1">VLOOKUP($A47,Ranking,8,FALSE)</f>
        <v>3</v>
      </c>
      <c r="I47" s="157">
        <f t="shared" ca="1" si="36"/>
        <v>0</v>
      </c>
      <c r="J47" s="157">
        <f ca="1">D47*Wpts+E47*Dpts+FGrpG!F47*Lpts</f>
        <v>4</v>
      </c>
      <c r="K47" s="201" t="str">
        <f ca="1">B47</f>
        <v>Belgium</v>
      </c>
      <c r="L47" s="202" t="str">
        <f ca="1">IFERROR(VLOOKUP($B47&amp;L$44,A37:G42,6,FALSE)&amp;"-"&amp;VLOOKUP($B47&amp;L$44,A37:G42,7,FALSE),VLOOKUP(L$44&amp;$B47,A37:G42,7,FALSE)&amp;"-"&amp;VLOOKUP(L$44&amp;$B47,A37:G42,6,FALSE))</f>
        <v>1-1</v>
      </c>
      <c r="M47" s="202" t="str">
        <f ca="1">IFERROR(VLOOKUP($B47&amp;M$44,A37:G42,6,FALSE)&amp;"-"&amp;VLOOKUP($B47&amp;M$44,A37:G42,7,FALSE),VLOOKUP(M$44&amp;$B47,A37:G42,7,FALSE)&amp;"-"&amp;VLOOKUP(M$44&amp;$B47,A37:G42,6,FALSE))</f>
        <v>1-2</v>
      </c>
      <c r="N47" s="203"/>
      <c r="O47" s="202" t="str">
        <f ca="1">IFERROR(VLOOKUP($B47&amp;O$44,A37:G42,6,FALSE)&amp;"-"&amp;VLOOKUP($B47&amp;O$44,A37:G42,7,FALSE),VLOOKUP(O$44&amp;$B47,A37:G42,7,FALSE)&amp;"-"&amp;VLOOKUP(O$44&amp;$B47,A37:G42,6,FALSE))</f>
        <v>1-0</v>
      </c>
      <c r="P47" s="155"/>
    </row>
    <row r="48" spans="1:16" x14ac:dyDescent="0.25">
      <c r="A48" s="156">
        <v>4</v>
      </c>
      <c r="B48" s="156" t="str">
        <f ca="1">VLOOKUP($A48,Ranking,2,FALSE)</f>
        <v>New Zealand</v>
      </c>
      <c r="C48" s="157">
        <v>3</v>
      </c>
      <c r="D48" s="157">
        <f ca="1">VLOOKUP($A48,Ranking,4,FALSE)</f>
        <v>0</v>
      </c>
      <c r="E48" s="157">
        <f ca="1">VLOOKUP($A48,Ranking,5,FALSE)</f>
        <v>1</v>
      </c>
      <c r="F48" s="157">
        <f ca="1">VLOOKUP($A48,Ranking,6,FALSE)</f>
        <v>2</v>
      </c>
      <c r="G48" s="157">
        <f ca="1">VLOOKUP($A48,Ranking,7,FALSE)</f>
        <v>2</v>
      </c>
      <c r="H48" s="157">
        <f ca="1">VLOOKUP($A48,Ranking,8,FALSE)</f>
        <v>5</v>
      </c>
      <c r="I48" s="157">
        <f t="shared" ca="1" si="36"/>
        <v>-3</v>
      </c>
      <c r="J48" s="157">
        <f ca="1">D48*Wpts+E48*Dpts+FGrpG!F48*Lpts</f>
        <v>1</v>
      </c>
      <c r="K48" s="201" t="str">
        <f ca="1">B48</f>
        <v>New Zealand</v>
      </c>
      <c r="L48" s="202" t="str">
        <f ca="1">IFERROR(VLOOKUP($B48&amp;L$44,A37:G42,6,FALSE)&amp;"-"&amp;VLOOKUP($B48&amp;L$44,A37:G42,7,FALSE),VLOOKUP(L$44&amp;$B48,A37:G42,7,FALSE)&amp;"-"&amp;VLOOKUP(L$44&amp;$B48,A37:G42,6,FALSE))</f>
        <v>0-2</v>
      </c>
      <c r="M48" s="202" t="str">
        <f ca="1">IFERROR(VLOOKUP($B48&amp;M$44,A37:G42,6,FALSE)&amp;"-"&amp;VLOOKUP($B48&amp;M$44,A37:G42,7,FALSE),VLOOKUP(M$44&amp;$B48,A37:G42,7,FALSE)&amp;"-"&amp;VLOOKUP(M$44&amp;$B48,A37:G42,6,FALSE))</f>
        <v>2-2</v>
      </c>
      <c r="N48" s="202" t="str">
        <f ca="1">IFERROR(VLOOKUP($B48&amp;N$44,A37:G42,6,FALSE)&amp;"-"&amp;VLOOKUP($B48&amp;N$44,A37:G42,7,FALSE),VLOOKUP(N$44&amp;$B48,A37:G42,7,FALSE)&amp;"-"&amp;VLOOKUP(N$44&amp;$B48,A37:G42,6,FALSE))</f>
        <v>0-1</v>
      </c>
      <c r="O48" s="203"/>
      <c r="P48" s="155"/>
    </row>
    <row r="49" spans="1:16" x14ac:dyDescent="0.25">
      <c r="A49" s="143"/>
      <c r="B49" s="143"/>
      <c r="C49" s="461">
        <f>SUM(C45:C48)</f>
        <v>12</v>
      </c>
      <c r="D49" s="143"/>
      <c r="E49" s="143"/>
      <c r="F49" s="143"/>
      <c r="G49" s="143"/>
      <c r="H49" s="143"/>
      <c r="I49" s="143"/>
      <c r="J49" s="143"/>
      <c r="K49" s="143"/>
      <c r="L49" s="143"/>
      <c r="M49" s="143"/>
      <c r="N49" s="143"/>
      <c r="O49" s="143"/>
      <c r="P49" s="143"/>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7A127-A819-4133-9909-33D89F97803F}">
  <sheetPr>
    <tabColor rgb="FF7030A0"/>
  </sheetPr>
  <dimension ref="A1:Z49"/>
  <sheetViews>
    <sheetView workbookViewId="0">
      <pane ySplit="2" topLeftCell="A23"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28" t="s">
        <v>320</v>
      </c>
      <c r="B1" s="216" t="str">
        <f>A2&amp;1</f>
        <v>H1</v>
      </c>
      <c r="C1" s="216" t="str">
        <f>A2&amp;2</f>
        <v>H2</v>
      </c>
      <c r="D1" s="216" t="str">
        <f>A2&amp;3</f>
        <v>H3</v>
      </c>
      <c r="E1" s="216" t="str">
        <f>A2&amp;4</f>
        <v>H4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14</v>
      </c>
      <c r="B2" s="217" t="str">
        <f>VLOOKUP(B1,Lookup08,2,FALSE)</f>
        <v>Spain</v>
      </c>
      <c r="C2" s="217" t="str">
        <f>VLOOKUP(C1,Lookup08,2,FALSE)</f>
        <v>Cabo Verde</v>
      </c>
      <c r="D2" s="217" t="str">
        <f>VLOOKUP(D1,Lookup08,2,FALSE)</f>
        <v>Saudi Arabia</v>
      </c>
      <c r="E2" s="217" t="str">
        <f>VLOOKUP(E1,Lookup08,2,FALSE)</f>
        <v>Uruguay</v>
      </c>
      <c r="F2" s="144"/>
      <c r="G2" s="144"/>
      <c r="H2" s="195"/>
      <c r="I2" s="196" t="str">
        <f>B2</f>
        <v>Spain</v>
      </c>
      <c r="J2" s="196" t="str">
        <f>C2</f>
        <v>Cabo Verde</v>
      </c>
      <c r="K2" s="196" t="str">
        <f>D2</f>
        <v>Saudi Arabia</v>
      </c>
      <c r="L2" s="196" t="str">
        <f>E2</f>
        <v>Uruguay</v>
      </c>
      <c r="M2" s="197" t="s">
        <v>26</v>
      </c>
      <c r="N2" s="195"/>
      <c r="O2" s="196" t="str">
        <f>I2</f>
        <v>Spain</v>
      </c>
      <c r="P2" s="196" t="str">
        <f t="shared" ref="P2:R2" si="0">J2</f>
        <v>Cabo Verde</v>
      </c>
      <c r="Q2" s="196" t="str">
        <f t="shared" si="0"/>
        <v>Saudi Arabia</v>
      </c>
      <c r="R2" s="196" t="str">
        <f t="shared" si="0"/>
        <v>Uruguay</v>
      </c>
      <c r="S2" s="197" t="s">
        <v>26</v>
      </c>
      <c r="T2" s="195"/>
      <c r="U2" s="196" t="str">
        <f>O2</f>
        <v>Spain</v>
      </c>
      <c r="V2" s="196" t="str">
        <f t="shared" ref="V2:X2" si="1">P2</f>
        <v>Cabo Verde</v>
      </c>
      <c r="W2" s="196" t="str">
        <f t="shared" si="1"/>
        <v>Saudi Arabia</v>
      </c>
      <c r="X2" s="196" t="str">
        <f t="shared" si="1"/>
        <v>Uruguay</v>
      </c>
      <c r="Y2" s="197" t="s">
        <v>26</v>
      </c>
    </row>
    <row r="3" spans="1:26" x14ac:dyDescent="0.25">
      <c r="A3" s="144"/>
      <c r="B3" s="144"/>
      <c r="C3" s="144"/>
      <c r="F3" s="144"/>
      <c r="G3" s="144"/>
      <c r="H3" s="195" t="str">
        <f>B2</f>
        <v>Spain</v>
      </c>
      <c r="I3" s="211"/>
      <c r="J3" s="196">
        <f ca="1">IF(G10=G11,1,0)</f>
        <v>0</v>
      </c>
      <c r="K3" s="196">
        <f ca="1">IF(G10=G12,1,0)</f>
        <v>0</v>
      </c>
      <c r="L3" s="196">
        <f ca="1">IF(G10=G13,1,0)</f>
        <v>0</v>
      </c>
      <c r="M3" s="197">
        <f ca="1">SUM(I3:L3)</f>
        <v>0</v>
      </c>
      <c r="N3" s="195" t="str">
        <f>H3</f>
        <v>Spain</v>
      </c>
      <c r="O3" s="211"/>
      <c r="P3" s="196">
        <f ca="1">IF(M10=M11,1,0)</f>
        <v>0</v>
      </c>
      <c r="Q3" s="196">
        <f ca="1">IF(M10=M12,1,0)</f>
        <v>0</v>
      </c>
      <c r="R3" s="196">
        <f ca="1">IF(M10=M13,1,0)</f>
        <v>0</v>
      </c>
      <c r="S3" s="197">
        <f ca="1">SUM(O3:R3)</f>
        <v>0</v>
      </c>
      <c r="T3" s="195" t="str">
        <f>N3</f>
        <v>Spain</v>
      </c>
      <c r="U3" s="211"/>
      <c r="V3" s="196">
        <f ca="1">IF(S10=S11,1,0)</f>
        <v>0</v>
      </c>
      <c r="W3" s="196">
        <f ca="1">IF(S10=S12,1,0)</f>
        <v>0</v>
      </c>
      <c r="X3" s="196">
        <f ca="1">IF(S10=S13,1,0)</f>
        <v>0</v>
      </c>
      <c r="Y3" s="197">
        <f ca="1">SUM(U3:X3)</f>
        <v>0</v>
      </c>
    </row>
    <row r="4" spans="1:26" x14ac:dyDescent="0.25">
      <c r="A4" s="144"/>
      <c r="B4" s="144"/>
      <c r="C4" s="144"/>
      <c r="F4" s="144"/>
      <c r="G4" s="144"/>
      <c r="H4" s="195" t="str">
        <f>C2</f>
        <v>Cabo Verde</v>
      </c>
      <c r="I4" s="196">
        <f ca="1">IF(G11=G10,1,0)</f>
        <v>0</v>
      </c>
      <c r="J4" s="211"/>
      <c r="K4" s="196">
        <f ca="1">IF(G11=G12,1,0)</f>
        <v>0</v>
      </c>
      <c r="L4" s="196">
        <f ca="1">IF(G11=G13,1,0)</f>
        <v>0</v>
      </c>
      <c r="M4" s="197">
        <f ca="1">SUM(I4:L4)</f>
        <v>0</v>
      </c>
      <c r="N4" s="195" t="str">
        <f t="shared" ref="N4:N6" si="2">H4</f>
        <v>Cabo Verde</v>
      </c>
      <c r="O4" s="196">
        <f ca="1">IF(M11=M10,1,0)</f>
        <v>0</v>
      </c>
      <c r="P4" s="211"/>
      <c r="Q4" s="196">
        <f ca="1">IF(M11=M12,1,0)</f>
        <v>0</v>
      </c>
      <c r="R4" s="196">
        <f ca="1">IF(M11=M13,1,0)</f>
        <v>0</v>
      </c>
      <c r="S4" s="197">
        <f ca="1">SUM(O4:R4)</f>
        <v>0</v>
      </c>
      <c r="T4" s="195" t="str">
        <f t="shared" ref="T4:T6" si="3">N4</f>
        <v>Cabo Verde</v>
      </c>
      <c r="U4" s="196">
        <f ca="1">IF(S11=S10,1,0)</f>
        <v>0</v>
      </c>
      <c r="V4" s="211"/>
      <c r="W4" s="196">
        <f ca="1">IF(S11=S12,1,0)</f>
        <v>0</v>
      </c>
      <c r="X4" s="196">
        <f ca="1">IF(S11=S13,1,0)</f>
        <v>0</v>
      </c>
      <c r="Y4" s="197">
        <f ca="1">SUM(U4:X4)</f>
        <v>0</v>
      </c>
    </row>
    <row r="5" spans="1:26" x14ac:dyDescent="0.25">
      <c r="A5" s="144"/>
      <c r="B5" s="144"/>
      <c r="C5" s="144"/>
      <c r="F5" s="144"/>
      <c r="G5" s="144"/>
      <c r="H5" s="195" t="str">
        <f>D2</f>
        <v>Saudi Arabia</v>
      </c>
      <c r="I5" s="196">
        <f ca="1">IF(G12=G10,1,0)</f>
        <v>0</v>
      </c>
      <c r="J5" s="196">
        <f ca="1">IF(G12=G11,1,0)</f>
        <v>0</v>
      </c>
      <c r="K5" s="211"/>
      <c r="L5" s="196">
        <f ca="1">IF(G12=G13,1,0)</f>
        <v>0</v>
      </c>
      <c r="M5" s="197">
        <f ca="1">SUM(I5:L5)</f>
        <v>0</v>
      </c>
      <c r="N5" s="195" t="str">
        <f t="shared" si="2"/>
        <v>Saudi Arabia</v>
      </c>
      <c r="O5" s="196">
        <f ca="1">IF(M12=M10,1,0)</f>
        <v>0</v>
      </c>
      <c r="P5" s="196">
        <f ca="1">IF(M12=M11,1,0)</f>
        <v>0</v>
      </c>
      <c r="Q5" s="211"/>
      <c r="R5" s="196">
        <f ca="1">IF(M12=M13,1,0)</f>
        <v>0</v>
      </c>
      <c r="S5" s="197">
        <f ca="1">SUM(O5:R5)</f>
        <v>0</v>
      </c>
      <c r="T5" s="195" t="str">
        <f t="shared" si="3"/>
        <v>Saudi Arabia</v>
      </c>
      <c r="U5" s="196">
        <f ca="1">IF(S12=S10,1,0)</f>
        <v>0</v>
      </c>
      <c r="V5" s="196">
        <f ca="1">IF(S12=S11,1,0)</f>
        <v>0</v>
      </c>
      <c r="W5" s="211"/>
      <c r="X5" s="196">
        <f ca="1">IF(S12=S13,1,0)</f>
        <v>0</v>
      </c>
      <c r="Y5" s="197">
        <f ca="1">SUM(U5:X5)</f>
        <v>0</v>
      </c>
    </row>
    <row r="6" spans="1:26" x14ac:dyDescent="0.25">
      <c r="A6" s="144"/>
      <c r="B6" s="144"/>
      <c r="C6" s="144"/>
      <c r="F6" s="144"/>
      <c r="G6" s="144"/>
      <c r="H6" s="198" t="str">
        <f>E2</f>
        <v>Uruguay</v>
      </c>
      <c r="I6" s="199">
        <f ca="1">IF(G13=G10,1,0)</f>
        <v>0</v>
      </c>
      <c r="J6" s="199">
        <f ca="1">IF(G13=G11,1,0)</f>
        <v>0</v>
      </c>
      <c r="K6" s="199">
        <f ca="1">IF(G13=G12,1,0)</f>
        <v>0</v>
      </c>
      <c r="L6" s="212"/>
      <c r="M6" s="200">
        <f ca="1">SUM(I6:L6)</f>
        <v>0</v>
      </c>
      <c r="N6" s="198" t="str">
        <f t="shared" si="2"/>
        <v>Uruguay</v>
      </c>
      <c r="O6" s="199">
        <f ca="1">IF(M13=M10,1,0)</f>
        <v>0</v>
      </c>
      <c r="P6" s="199">
        <f ca="1">IF(M13=M11,1,0)</f>
        <v>0</v>
      </c>
      <c r="Q6" s="199">
        <f ca="1">IF(M13=M12,1,0)</f>
        <v>0</v>
      </c>
      <c r="R6" s="212"/>
      <c r="S6" s="200">
        <f ca="1">SUM(O6:R6)</f>
        <v>0</v>
      </c>
      <c r="T6" s="198" t="str">
        <f t="shared" si="3"/>
        <v>Uruguay</v>
      </c>
      <c r="U6" s="199">
        <f ca="1">IF(S13=S10,1,0)</f>
        <v>0</v>
      </c>
      <c r="V6" s="199">
        <f ca="1">IF(S13=S11,1,0)</f>
        <v>0</v>
      </c>
      <c r="W6" s="199">
        <f ca="1">IF(S13=S12,1,0)</f>
        <v>0</v>
      </c>
      <c r="X6" s="212"/>
      <c r="Y6" s="200">
        <f ca="1">SUM(U6:X6)</f>
        <v>0</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Spain</v>
      </c>
      <c r="D9" s="190" t="str">
        <f>C2</f>
        <v>Cabo Verde</v>
      </c>
      <c r="E9" s="190" t="str">
        <f>D2</f>
        <v>Saudi Arabia</v>
      </c>
      <c r="F9" s="190" t="str">
        <f>E2</f>
        <v>Uruguay</v>
      </c>
      <c r="G9" s="191" t="s">
        <v>26</v>
      </c>
      <c r="H9" s="189"/>
      <c r="I9" s="190" t="str">
        <f>C9</f>
        <v>Spain</v>
      </c>
      <c r="J9" s="190" t="str">
        <f t="shared" ref="J9:L9" si="4">D9</f>
        <v>Cabo Verde</v>
      </c>
      <c r="K9" s="190" t="str">
        <f t="shared" si="4"/>
        <v>Saudi Arabia</v>
      </c>
      <c r="L9" s="190" t="str">
        <f t="shared" si="4"/>
        <v>Uruguay</v>
      </c>
      <c r="M9" s="191" t="s">
        <v>26</v>
      </c>
      <c r="N9" s="189"/>
      <c r="O9" s="190" t="str">
        <f>I9</f>
        <v>Spain</v>
      </c>
      <c r="P9" s="190" t="str">
        <f t="shared" ref="P9:R9" si="5">J9</f>
        <v>Cabo Verde</v>
      </c>
      <c r="Q9" s="190" t="str">
        <f t="shared" si="5"/>
        <v>Saudi Arabia</v>
      </c>
      <c r="R9" s="190" t="str">
        <f t="shared" si="5"/>
        <v>Uruguay</v>
      </c>
      <c r="S9" s="191" t="s">
        <v>26</v>
      </c>
      <c r="T9" s="189"/>
      <c r="U9" s="190" t="str">
        <f>O9</f>
        <v>Spain</v>
      </c>
      <c r="V9" s="190" t="str">
        <f t="shared" ref="V9:X9" si="6">P9</f>
        <v>Cabo Verde</v>
      </c>
      <c r="W9" s="190" t="str">
        <f t="shared" si="6"/>
        <v>Saudi Arabia</v>
      </c>
      <c r="X9" s="190" t="str">
        <f t="shared" si="6"/>
        <v>Uruguay</v>
      </c>
      <c r="Y9" s="191" t="s">
        <v>26</v>
      </c>
      <c r="Z9" s="227" t="s">
        <v>309</v>
      </c>
    </row>
    <row r="10" spans="1:26" x14ac:dyDescent="0.25">
      <c r="A10" s="144"/>
      <c r="B10" s="189" t="str">
        <f>B2</f>
        <v>Spain</v>
      </c>
      <c r="C10" s="204"/>
      <c r="D10" s="190">
        <f>H37</f>
        <v>1</v>
      </c>
      <c r="E10" s="190">
        <f ca="1">H39</f>
        <v>3</v>
      </c>
      <c r="F10" s="190">
        <f ca="1">I42</f>
        <v>3</v>
      </c>
      <c r="G10" s="191">
        <f ca="1">SUM(C10:F10)</f>
        <v>7</v>
      </c>
      <c r="H10" s="189" t="str">
        <f>B10</f>
        <v>Spain</v>
      </c>
      <c r="I10" s="218">
        <f>C10+I17/100+I24/10000</f>
        <v>0</v>
      </c>
      <c r="J10" s="219">
        <f t="shared" ref="J10:L10" ca="1" si="7">D10+J17/100+J24/10000</f>
        <v>1</v>
      </c>
      <c r="K10" s="219">
        <f t="shared" ca="1" si="7"/>
        <v>3</v>
      </c>
      <c r="L10" s="219">
        <f t="shared" ca="1" si="7"/>
        <v>3</v>
      </c>
      <c r="M10" s="220">
        <f ca="1">SUM(I10:L10)</f>
        <v>7</v>
      </c>
      <c r="N10" s="189" t="str">
        <f>H10</f>
        <v>Spain</v>
      </c>
      <c r="O10" s="218">
        <f>I10+O17/100+O24/10000</f>
        <v>0</v>
      </c>
      <c r="P10" s="219">
        <f t="shared" ref="P10:R13" ca="1" si="8">J10+P17/100+P24/10000</f>
        <v>1</v>
      </c>
      <c r="Q10" s="219">
        <f t="shared" ca="1" si="8"/>
        <v>3</v>
      </c>
      <c r="R10" s="219">
        <f t="shared" ca="1" si="8"/>
        <v>3</v>
      </c>
      <c r="S10" s="220">
        <f ca="1">SUM(O10:R10)</f>
        <v>7</v>
      </c>
      <c r="T10" s="189" t="str">
        <f>N10</f>
        <v>Spain</v>
      </c>
      <c r="U10" s="218">
        <f>O10+U17/100+U24/10000</f>
        <v>0</v>
      </c>
      <c r="V10" s="219">
        <f t="shared" ref="V10:X13" ca="1" si="9">P10+V17/100+V24/10000</f>
        <v>1</v>
      </c>
      <c r="W10" s="219">
        <f t="shared" ca="1" si="9"/>
        <v>3</v>
      </c>
      <c r="X10" s="219">
        <f t="shared" ca="1" si="9"/>
        <v>3</v>
      </c>
      <c r="Y10" s="220">
        <f ca="1">ROUND(SUM(U10:X10),8)</f>
        <v>7</v>
      </c>
      <c r="Z10" s="224">
        <f ca="1">_xlfn.RANK.EQ(Y10,Y$10:Y$13,1)</f>
        <v>4</v>
      </c>
    </row>
    <row r="11" spans="1:26" x14ac:dyDescent="0.25">
      <c r="A11" s="144"/>
      <c r="B11" s="189" t="str">
        <f>C2</f>
        <v>Cabo Verde</v>
      </c>
      <c r="C11" s="190">
        <f>I37</f>
        <v>1</v>
      </c>
      <c r="D11" s="204"/>
      <c r="E11" s="190">
        <f ca="1">H41</f>
        <v>1</v>
      </c>
      <c r="F11" s="190">
        <f ca="1">I40</f>
        <v>3</v>
      </c>
      <c r="G11" s="191">
        <f ca="1">SUM(C11:F11)</f>
        <v>5</v>
      </c>
      <c r="H11" s="189" t="str">
        <f t="shared" ref="H11:H13" si="10">B11</f>
        <v>Cabo Verde</v>
      </c>
      <c r="I11" s="219">
        <f t="shared" ref="I11:L13" ca="1" si="11">C11+I18/100+I25/10000</f>
        <v>1</v>
      </c>
      <c r="J11" s="218">
        <f t="shared" si="11"/>
        <v>0</v>
      </c>
      <c r="K11" s="219">
        <f t="shared" ca="1" si="11"/>
        <v>1</v>
      </c>
      <c r="L11" s="219">
        <f t="shared" ca="1" si="11"/>
        <v>3</v>
      </c>
      <c r="M11" s="220">
        <f ca="1">SUM(I11:L11)</f>
        <v>5</v>
      </c>
      <c r="N11" s="189" t="str">
        <f t="shared" ref="N11:N13" si="12">H11</f>
        <v>Cabo Verde</v>
      </c>
      <c r="O11" s="219">
        <f t="shared" ref="O11:O13" ca="1" si="13">I11+O18/100+O25/10000</f>
        <v>1</v>
      </c>
      <c r="P11" s="218">
        <f t="shared" si="8"/>
        <v>0</v>
      </c>
      <c r="Q11" s="219">
        <f t="shared" ca="1" si="8"/>
        <v>1</v>
      </c>
      <c r="R11" s="219">
        <f t="shared" ca="1" si="8"/>
        <v>3</v>
      </c>
      <c r="S11" s="220">
        <f ca="1">SUM(O11:R11)</f>
        <v>5</v>
      </c>
      <c r="T11" s="189" t="str">
        <f t="shared" ref="T11:T13" si="14">N11</f>
        <v>Cabo Verde</v>
      </c>
      <c r="U11" s="219">
        <f t="shared" ref="U11:U13" ca="1" si="15">O11+U18/100+U25/10000</f>
        <v>1</v>
      </c>
      <c r="V11" s="218">
        <f t="shared" si="9"/>
        <v>0</v>
      </c>
      <c r="W11" s="219">
        <f t="shared" ca="1" si="9"/>
        <v>1</v>
      </c>
      <c r="X11" s="219">
        <f t="shared" ca="1" si="9"/>
        <v>3</v>
      </c>
      <c r="Y11" s="220">
        <f t="shared" ref="Y11:Y13" ca="1" si="16">ROUND(SUM(U11:X11),8)</f>
        <v>5</v>
      </c>
      <c r="Z11" s="224">
        <f t="shared" ref="Z11:Z13" ca="1" si="17">_xlfn.RANK.EQ(Y11,Y$10:Y$13,1)</f>
        <v>3</v>
      </c>
    </row>
    <row r="12" spans="1:26" x14ac:dyDescent="0.25">
      <c r="A12" s="144"/>
      <c r="B12" s="189" t="str">
        <f>D2</f>
        <v>Saudi Arabia</v>
      </c>
      <c r="C12" s="190">
        <f ca="1">I39</f>
        <v>0</v>
      </c>
      <c r="D12" s="190">
        <f ca="1">I41</f>
        <v>1</v>
      </c>
      <c r="E12" s="204"/>
      <c r="F12" s="190">
        <f>H38</f>
        <v>1</v>
      </c>
      <c r="G12" s="191">
        <f ca="1">SUM(C12:F12)</f>
        <v>2</v>
      </c>
      <c r="H12" s="189" t="str">
        <f t="shared" si="10"/>
        <v>Saudi Arabia</v>
      </c>
      <c r="I12" s="219">
        <f t="shared" ca="1" si="11"/>
        <v>0</v>
      </c>
      <c r="J12" s="219">
        <f t="shared" ca="1" si="11"/>
        <v>1</v>
      </c>
      <c r="K12" s="218">
        <f t="shared" si="11"/>
        <v>0</v>
      </c>
      <c r="L12" s="219">
        <f t="shared" ca="1" si="11"/>
        <v>1</v>
      </c>
      <c r="M12" s="220">
        <f ca="1">SUM(I12:L12)</f>
        <v>2</v>
      </c>
      <c r="N12" s="189" t="str">
        <f t="shared" si="12"/>
        <v>Saudi Arabia</v>
      </c>
      <c r="O12" s="219">
        <f t="shared" ca="1" si="13"/>
        <v>0</v>
      </c>
      <c r="P12" s="219">
        <f t="shared" ca="1" si="8"/>
        <v>1</v>
      </c>
      <c r="Q12" s="218">
        <f t="shared" si="8"/>
        <v>0</v>
      </c>
      <c r="R12" s="219">
        <f t="shared" ca="1" si="8"/>
        <v>1</v>
      </c>
      <c r="S12" s="220">
        <f ca="1">SUM(O12:R12)</f>
        <v>2</v>
      </c>
      <c r="T12" s="189" t="str">
        <f t="shared" si="14"/>
        <v>Saudi Arabia</v>
      </c>
      <c r="U12" s="219">
        <f t="shared" ca="1" si="15"/>
        <v>0</v>
      </c>
      <c r="V12" s="219">
        <f t="shared" ca="1" si="9"/>
        <v>1</v>
      </c>
      <c r="W12" s="218">
        <f t="shared" si="9"/>
        <v>0</v>
      </c>
      <c r="X12" s="219">
        <f t="shared" ca="1" si="9"/>
        <v>1</v>
      </c>
      <c r="Y12" s="220">
        <f t="shared" ca="1" si="16"/>
        <v>2</v>
      </c>
      <c r="Z12" s="224">
        <f t="shared" ca="1" si="17"/>
        <v>2</v>
      </c>
    </row>
    <row r="13" spans="1:26" x14ac:dyDescent="0.25">
      <c r="A13" s="144"/>
      <c r="B13" s="192" t="str">
        <f>E2</f>
        <v>Uruguay</v>
      </c>
      <c r="C13" s="193">
        <f ca="1">H42</f>
        <v>0</v>
      </c>
      <c r="D13" s="193">
        <f ca="1">H40</f>
        <v>0</v>
      </c>
      <c r="E13" s="193">
        <f>I38</f>
        <v>1</v>
      </c>
      <c r="F13" s="205"/>
      <c r="G13" s="194">
        <f ca="1">SUM(C13:F13)</f>
        <v>1</v>
      </c>
      <c r="H13" s="192" t="str">
        <f t="shared" si="10"/>
        <v>Uruguay</v>
      </c>
      <c r="I13" s="221">
        <f t="shared" ca="1" si="11"/>
        <v>0</v>
      </c>
      <c r="J13" s="221">
        <f t="shared" ca="1" si="11"/>
        <v>0</v>
      </c>
      <c r="K13" s="221">
        <f t="shared" ca="1" si="11"/>
        <v>1</v>
      </c>
      <c r="L13" s="222">
        <f t="shared" si="11"/>
        <v>0</v>
      </c>
      <c r="M13" s="223">
        <f ca="1">SUM(I13:L13)</f>
        <v>1</v>
      </c>
      <c r="N13" s="192" t="str">
        <f t="shared" si="12"/>
        <v>Uruguay</v>
      </c>
      <c r="O13" s="221">
        <f t="shared" ca="1" si="13"/>
        <v>0</v>
      </c>
      <c r="P13" s="221">
        <f t="shared" ca="1" si="8"/>
        <v>0</v>
      </c>
      <c r="Q13" s="221">
        <f t="shared" ca="1" si="8"/>
        <v>1</v>
      </c>
      <c r="R13" s="222">
        <f t="shared" si="8"/>
        <v>0</v>
      </c>
      <c r="S13" s="223">
        <f ca="1">SUM(O13:R13)</f>
        <v>1</v>
      </c>
      <c r="T13" s="192" t="str">
        <f t="shared" si="14"/>
        <v>Uruguay</v>
      </c>
      <c r="U13" s="221">
        <f t="shared" ca="1" si="15"/>
        <v>0</v>
      </c>
      <c r="V13" s="221">
        <f t="shared" ca="1" si="9"/>
        <v>0</v>
      </c>
      <c r="W13" s="221">
        <f t="shared" ca="1" si="9"/>
        <v>1</v>
      </c>
      <c r="X13" s="222">
        <f t="shared" si="9"/>
        <v>0</v>
      </c>
      <c r="Y13" s="223">
        <f t="shared" ca="1" si="16"/>
        <v>1</v>
      </c>
      <c r="Z13" s="225">
        <f t="shared" ca="1" si="17"/>
        <v>1</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Spain</v>
      </c>
      <c r="D16" s="177" t="str">
        <f>C2</f>
        <v>Cabo Verde</v>
      </c>
      <c r="E16" s="177" t="str">
        <f>D2</f>
        <v>Saudi Arabia</v>
      </c>
      <c r="F16" s="177" t="str">
        <f>E2</f>
        <v>Uruguay</v>
      </c>
      <c r="G16" s="178" t="s">
        <v>26</v>
      </c>
      <c r="H16" s="183"/>
      <c r="I16" s="184" t="str">
        <f>C16</f>
        <v>Spain</v>
      </c>
      <c r="J16" s="184" t="str">
        <f t="shared" ref="J16:L16" si="18">D16</f>
        <v>Cabo Verde</v>
      </c>
      <c r="K16" s="184" t="str">
        <f t="shared" si="18"/>
        <v>Saudi Arabia</v>
      </c>
      <c r="L16" s="184" t="str">
        <f t="shared" si="18"/>
        <v>Uruguay</v>
      </c>
      <c r="M16" s="185" t="s">
        <v>26</v>
      </c>
      <c r="N16" s="183"/>
      <c r="O16" s="184" t="str">
        <f>I16</f>
        <v>Spain</v>
      </c>
      <c r="P16" s="184" t="str">
        <f t="shared" ref="P16:R16" si="19">J16</f>
        <v>Cabo Verde</v>
      </c>
      <c r="Q16" s="184" t="str">
        <f t="shared" si="19"/>
        <v>Saudi Arabia</v>
      </c>
      <c r="R16" s="184" t="str">
        <f t="shared" si="19"/>
        <v>Uruguay</v>
      </c>
      <c r="S16" s="185" t="s">
        <v>26</v>
      </c>
      <c r="T16" s="183"/>
      <c r="U16" s="184" t="str">
        <f>O16</f>
        <v>Spain</v>
      </c>
      <c r="V16" s="184" t="str">
        <f t="shared" ref="V16:X16" si="20">P16</f>
        <v>Cabo Verde</v>
      </c>
      <c r="W16" s="184" t="str">
        <f t="shared" si="20"/>
        <v>Saudi Arabia</v>
      </c>
      <c r="X16" s="184" t="str">
        <f t="shared" si="20"/>
        <v>Uruguay</v>
      </c>
      <c r="Y16" s="185" t="s">
        <v>26</v>
      </c>
    </row>
    <row r="17" spans="1:25" x14ac:dyDescent="0.25">
      <c r="A17" s="144"/>
      <c r="B17" s="176" t="str">
        <f>B2</f>
        <v>Spain</v>
      </c>
      <c r="C17" s="206"/>
      <c r="D17" s="179">
        <f>IFERROR(F37-G37,0)</f>
        <v>0</v>
      </c>
      <c r="E17" s="179">
        <f ca="1">IFERROR(F39-G39,0)</f>
        <v>1</v>
      </c>
      <c r="F17" s="179">
        <f ca="1">IFERROR(G42-F42,0)</f>
        <v>2</v>
      </c>
      <c r="G17" s="178">
        <f ca="1">SUM(C17:F17)</f>
        <v>3</v>
      </c>
      <c r="H17" s="183" t="str">
        <f>B17</f>
        <v>Spain</v>
      </c>
      <c r="I17" s="208"/>
      <c r="J17" s="184">
        <f ca="1">D17*J3</f>
        <v>0</v>
      </c>
      <c r="K17" s="184">
        <f ca="1">E17*K3</f>
        <v>0</v>
      </c>
      <c r="L17" s="184">
        <f ca="1">F17*L3</f>
        <v>0</v>
      </c>
      <c r="M17" s="185">
        <f ca="1">SUM(I17:L17)</f>
        <v>0</v>
      </c>
      <c r="N17" s="183" t="str">
        <f>H17</f>
        <v>Spain</v>
      </c>
      <c r="O17" s="208"/>
      <c r="P17" s="184">
        <f ca="1">J17*P3</f>
        <v>0</v>
      </c>
      <c r="Q17" s="184">
        <f ca="1">K17*Q3</f>
        <v>0</v>
      </c>
      <c r="R17" s="184">
        <f ca="1">L17*R3</f>
        <v>0</v>
      </c>
      <c r="S17" s="185">
        <f ca="1">SUM(O17:R17)</f>
        <v>0</v>
      </c>
      <c r="T17" s="183" t="str">
        <f>N17</f>
        <v>Spain</v>
      </c>
      <c r="U17" s="208"/>
      <c r="V17" s="184">
        <f ca="1">P17*V3</f>
        <v>0</v>
      </c>
      <c r="W17" s="184">
        <f ca="1">Q17*W3</f>
        <v>0</v>
      </c>
      <c r="X17" s="184">
        <f ca="1">R17*X3</f>
        <v>0</v>
      </c>
      <c r="Y17" s="185">
        <f ca="1">SUM(U17:X17)</f>
        <v>0</v>
      </c>
    </row>
    <row r="18" spans="1:25" x14ac:dyDescent="0.25">
      <c r="A18" s="144"/>
      <c r="B18" s="176" t="str">
        <f>C2</f>
        <v>Cabo Verde</v>
      </c>
      <c r="C18" s="179">
        <f>IFERROR(G37-F37,0)</f>
        <v>0</v>
      </c>
      <c r="D18" s="206"/>
      <c r="E18" s="179">
        <f ca="1">IFERROR(F41-G41,0)</f>
        <v>0</v>
      </c>
      <c r="F18" s="179">
        <f ca="1">IFERROR(G40-F40,0)</f>
        <v>1</v>
      </c>
      <c r="G18" s="178">
        <f ca="1">SUM(C18:F18)</f>
        <v>1</v>
      </c>
      <c r="H18" s="183" t="str">
        <f t="shared" ref="H18:H20" si="21">B18</f>
        <v>Cabo Verde</v>
      </c>
      <c r="I18" s="184">
        <f ca="1">C18*I4</f>
        <v>0</v>
      </c>
      <c r="J18" s="208"/>
      <c r="K18" s="184">
        <f ca="1">E18*K4</f>
        <v>0</v>
      </c>
      <c r="L18" s="184">
        <f ca="1">F18*L4</f>
        <v>0</v>
      </c>
      <c r="M18" s="185">
        <f ca="1">SUM(I18:L18)</f>
        <v>0</v>
      </c>
      <c r="N18" s="183" t="str">
        <f t="shared" ref="N18:N20" si="22">H18</f>
        <v>Cabo Verde</v>
      </c>
      <c r="O18" s="184">
        <f ca="1">I18*O4</f>
        <v>0</v>
      </c>
      <c r="P18" s="208"/>
      <c r="Q18" s="184">
        <f ca="1">K18*Q4</f>
        <v>0</v>
      </c>
      <c r="R18" s="184">
        <f ca="1">L18*R4</f>
        <v>0</v>
      </c>
      <c r="S18" s="185">
        <f ca="1">SUM(O18:R18)</f>
        <v>0</v>
      </c>
      <c r="T18" s="183" t="str">
        <f t="shared" ref="T18:T20" si="23">N18</f>
        <v>Cabo Verde</v>
      </c>
      <c r="U18" s="184">
        <f ca="1">O18*U4</f>
        <v>0</v>
      </c>
      <c r="V18" s="208"/>
      <c r="W18" s="184">
        <f ca="1">Q18*W4</f>
        <v>0</v>
      </c>
      <c r="X18" s="184">
        <f ca="1">R18*X4</f>
        <v>0</v>
      </c>
      <c r="Y18" s="185">
        <f ca="1">SUM(U18:X18)</f>
        <v>0</v>
      </c>
    </row>
    <row r="19" spans="1:25" x14ac:dyDescent="0.25">
      <c r="A19" s="144"/>
      <c r="B19" s="176" t="str">
        <f>D2</f>
        <v>Saudi Arabia</v>
      </c>
      <c r="C19" s="179">
        <f ca="1">IFERROR(G39-F39,0)</f>
        <v>-1</v>
      </c>
      <c r="D19" s="179">
        <f ca="1">IFERROR(G41-F41,0)</f>
        <v>0</v>
      </c>
      <c r="E19" s="206"/>
      <c r="F19" s="179">
        <f>IFERROR(F38-G38,0)</f>
        <v>0</v>
      </c>
      <c r="G19" s="178">
        <f ca="1">SUM(C19:F19)</f>
        <v>-1</v>
      </c>
      <c r="H19" s="183" t="str">
        <f t="shared" si="21"/>
        <v>Saudi Arabia</v>
      </c>
      <c r="I19" s="184">
        <f ca="1">C19*I5</f>
        <v>0</v>
      </c>
      <c r="J19" s="184">
        <f ca="1">D19*J5</f>
        <v>0</v>
      </c>
      <c r="K19" s="208"/>
      <c r="L19" s="184">
        <f ca="1">F19*L5</f>
        <v>0</v>
      </c>
      <c r="M19" s="185">
        <f ca="1">SUM(I19:L19)</f>
        <v>0</v>
      </c>
      <c r="N19" s="183" t="str">
        <f t="shared" si="22"/>
        <v>Saudi Arabia</v>
      </c>
      <c r="O19" s="184">
        <f ca="1">I19*O5</f>
        <v>0</v>
      </c>
      <c r="P19" s="184">
        <f ca="1">J19*P5</f>
        <v>0</v>
      </c>
      <c r="Q19" s="208"/>
      <c r="R19" s="184">
        <f ca="1">L19*R5</f>
        <v>0</v>
      </c>
      <c r="S19" s="185">
        <f ca="1">SUM(O19:R19)</f>
        <v>0</v>
      </c>
      <c r="T19" s="183" t="str">
        <f t="shared" si="23"/>
        <v>Saudi Arabia</v>
      </c>
      <c r="U19" s="184">
        <f ca="1">O19*U5</f>
        <v>0</v>
      </c>
      <c r="V19" s="184">
        <f ca="1">P19*V5</f>
        <v>0</v>
      </c>
      <c r="W19" s="208"/>
      <c r="X19" s="184">
        <f ca="1">R19*X5</f>
        <v>0</v>
      </c>
      <c r="Y19" s="185">
        <f ca="1">SUM(U19:X19)</f>
        <v>0</v>
      </c>
    </row>
    <row r="20" spans="1:25" x14ac:dyDescent="0.25">
      <c r="A20" s="144"/>
      <c r="B20" s="180" t="str">
        <f>E2</f>
        <v>Uruguay</v>
      </c>
      <c r="C20" s="181">
        <f ca="1">IFERROR(F42-G42,0)</f>
        <v>-2</v>
      </c>
      <c r="D20" s="181">
        <f ca="1">IFERROR(F40-G40,0)</f>
        <v>-1</v>
      </c>
      <c r="E20" s="181">
        <f>IFERROR(G38-F38,0)</f>
        <v>0</v>
      </c>
      <c r="F20" s="207"/>
      <c r="G20" s="182">
        <f ca="1">SUM(C20:F20)</f>
        <v>-3</v>
      </c>
      <c r="H20" s="186" t="str">
        <f t="shared" si="21"/>
        <v>Uruguay</v>
      </c>
      <c r="I20" s="187">
        <f ca="1">C20*I6</f>
        <v>0</v>
      </c>
      <c r="J20" s="187">
        <f ca="1">D20*J6</f>
        <v>0</v>
      </c>
      <c r="K20" s="187">
        <f ca="1">E20*K6</f>
        <v>0</v>
      </c>
      <c r="L20" s="213"/>
      <c r="M20" s="188">
        <f ca="1">SUM(I20:L20)</f>
        <v>0</v>
      </c>
      <c r="N20" s="186" t="str">
        <f t="shared" si="22"/>
        <v>Uruguay</v>
      </c>
      <c r="O20" s="187">
        <f ca="1">I20*O6</f>
        <v>0</v>
      </c>
      <c r="P20" s="187">
        <f ca="1">J20*P6</f>
        <v>0</v>
      </c>
      <c r="Q20" s="187">
        <f ca="1">K20*Q6</f>
        <v>0</v>
      </c>
      <c r="R20" s="213"/>
      <c r="S20" s="188">
        <f ca="1">SUM(O20:R20)</f>
        <v>0</v>
      </c>
      <c r="T20" s="186" t="str">
        <f t="shared" si="23"/>
        <v>Uruguay</v>
      </c>
      <c r="U20" s="187">
        <f ca="1">O20*U6</f>
        <v>0</v>
      </c>
      <c r="V20" s="187">
        <f ca="1">P20*V6</f>
        <v>0</v>
      </c>
      <c r="W20" s="187">
        <f ca="1">Q20*W6</f>
        <v>0</v>
      </c>
      <c r="X20" s="213"/>
      <c r="Y20" s="188">
        <f ca="1">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Spain</v>
      </c>
      <c r="D23" s="164" t="str">
        <f>C2</f>
        <v>Cabo Verde</v>
      </c>
      <c r="E23" s="164" t="str">
        <f>D2</f>
        <v>Saudi Arabia</v>
      </c>
      <c r="F23" s="164" t="str">
        <f>E2</f>
        <v>Uruguay</v>
      </c>
      <c r="G23" s="165" t="s">
        <v>26</v>
      </c>
      <c r="H23" s="169"/>
      <c r="I23" s="170" t="str">
        <f>C23</f>
        <v>Spain</v>
      </c>
      <c r="J23" s="170" t="str">
        <f t="shared" ref="J23:L23" si="24">D23</f>
        <v>Cabo Verde</v>
      </c>
      <c r="K23" s="170" t="str">
        <f t="shared" si="24"/>
        <v>Saudi Arabia</v>
      </c>
      <c r="L23" s="170" t="str">
        <f t="shared" si="24"/>
        <v>Uruguay</v>
      </c>
      <c r="M23" s="171" t="s">
        <v>26</v>
      </c>
      <c r="N23" s="169"/>
      <c r="O23" s="170" t="str">
        <f>I23</f>
        <v>Spain</v>
      </c>
      <c r="P23" s="170" t="str">
        <f t="shared" ref="P23:R23" si="25">J23</f>
        <v>Cabo Verde</v>
      </c>
      <c r="Q23" s="170" t="str">
        <f t="shared" si="25"/>
        <v>Saudi Arabia</v>
      </c>
      <c r="R23" s="170" t="str">
        <f t="shared" si="25"/>
        <v>Uruguay</v>
      </c>
      <c r="S23" s="171" t="s">
        <v>26</v>
      </c>
      <c r="T23" s="169"/>
      <c r="U23" s="170" t="str">
        <f>O23</f>
        <v>Spain</v>
      </c>
      <c r="V23" s="170" t="str">
        <f t="shared" ref="V23:X23" si="26">P23</f>
        <v>Cabo Verde</v>
      </c>
      <c r="W23" s="170" t="str">
        <f t="shared" si="26"/>
        <v>Saudi Arabia</v>
      </c>
      <c r="X23" s="170" t="str">
        <f t="shared" si="26"/>
        <v>Uruguay</v>
      </c>
      <c r="Y23" s="171" t="s">
        <v>26</v>
      </c>
    </row>
    <row r="24" spans="1:25" x14ac:dyDescent="0.25">
      <c r="A24" s="143"/>
      <c r="B24" s="163" t="str">
        <f>B2</f>
        <v>Spain</v>
      </c>
      <c r="C24" s="209"/>
      <c r="D24" s="164">
        <f>IF(F37="",0,F37)</f>
        <v>0</v>
      </c>
      <c r="E24" s="164">
        <f ca="1">IF(F39="",0,F39)</f>
        <v>1</v>
      </c>
      <c r="F24" s="164">
        <f ca="1">IF(G42="",0,G42)</f>
        <v>2</v>
      </c>
      <c r="G24" s="165">
        <f ca="1">SUM(C24:F24)</f>
        <v>3</v>
      </c>
      <c r="H24" s="169" t="str">
        <f>B24</f>
        <v>Spain</v>
      </c>
      <c r="I24" s="214"/>
      <c r="J24" s="170">
        <f ca="1">D24*J3</f>
        <v>0</v>
      </c>
      <c r="K24" s="170">
        <f ca="1">E24*K3</f>
        <v>0</v>
      </c>
      <c r="L24" s="170">
        <f ca="1">F24*L3</f>
        <v>0</v>
      </c>
      <c r="M24" s="171">
        <f ca="1">SUM(I24:L24)</f>
        <v>0</v>
      </c>
      <c r="N24" s="169" t="str">
        <f>H24</f>
        <v>Spain</v>
      </c>
      <c r="O24" s="214"/>
      <c r="P24" s="170">
        <f ca="1">J24*P3</f>
        <v>0</v>
      </c>
      <c r="Q24" s="170">
        <f ca="1">K24*Q3</f>
        <v>0</v>
      </c>
      <c r="R24" s="170">
        <f ca="1">L24*R3</f>
        <v>0</v>
      </c>
      <c r="S24" s="171">
        <f ca="1">SUM(O24:R24)</f>
        <v>0</v>
      </c>
      <c r="T24" s="169" t="str">
        <f>N24</f>
        <v>Spain</v>
      </c>
      <c r="U24" s="214"/>
      <c r="V24" s="170">
        <f ca="1">P24*V3</f>
        <v>0</v>
      </c>
      <c r="W24" s="170">
        <f ca="1">Q24*W3</f>
        <v>0</v>
      </c>
      <c r="X24" s="170">
        <f ca="1">R24*X3</f>
        <v>0</v>
      </c>
      <c r="Y24" s="171">
        <f ca="1">SUM(U24:X24)</f>
        <v>0</v>
      </c>
    </row>
    <row r="25" spans="1:25" x14ac:dyDescent="0.25">
      <c r="A25" s="143"/>
      <c r="B25" s="163" t="str">
        <f>C2</f>
        <v>Cabo Verde</v>
      </c>
      <c r="C25" s="164">
        <f>IF(G37="",0,G37)</f>
        <v>0</v>
      </c>
      <c r="D25" s="209"/>
      <c r="E25" s="164">
        <f ca="1">IF(F41="",0,F41)</f>
        <v>1</v>
      </c>
      <c r="F25" s="164">
        <f ca="1">IF(G40="",0,G40)</f>
        <v>1</v>
      </c>
      <c r="G25" s="165">
        <f ca="1">SUM(C25:F25)</f>
        <v>2</v>
      </c>
      <c r="H25" s="169" t="str">
        <f t="shared" ref="H25:H27" si="27">B25</f>
        <v>Cabo Verde</v>
      </c>
      <c r="I25" s="170">
        <f ca="1">C25*I4</f>
        <v>0</v>
      </c>
      <c r="J25" s="214"/>
      <c r="K25" s="170">
        <f ca="1">E25*K4</f>
        <v>0</v>
      </c>
      <c r="L25" s="170">
        <f ca="1">F25*L4</f>
        <v>0</v>
      </c>
      <c r="M25" s="171">
        <f ca="1">SUM(I25:L25)</f>
        <v>0</v>
      </c>
      <c r="N25" s="169" t="str">
        <f t="shared" ref="N25:N27" si="28">H25</f>
        <v>Cabo Verde</v>
      </c>
      <c r="O25" s="170">
        <f ca="1">I25*O4</f>
        <v>0</v>
      </c>
      <c r="P25" s="214"/>
      <c r="Q25" s="170">
        <f ca="1">K25*Q4</f>
        <v>0</v>
      </c>
      <c r="R25" s="170">
        <f ca="1">L25*R4</f>
        <v>0</v>
      </c>
      <c r="S25" s="171">
        <f ca="1">SUM(O25:R25)</f>
        <v>0</v>
      </c>
      <c r="T25" s="169" t="str">
        <f t="shared" ref="T25:T27" si="29">N25</f>
        <v>Cabo Verde</v>
      </c>
      <c r="U25" s="170">
        <f ca="1">O25*U4</f>
        <v>0</v>
      </c>
      <c r="V25" s="214"/>
      <c r="W25" s="170">
        <f ca="1">Q25*W4</f>
        <v>0</v>
      </c>
      <c r="X25" s="170">
        <f ca="1">R25*X4</f>
        <v>0</v>
      </c>
      <c r="Y25" s="171">
        <f ca="1">SUM(U25:X25)</f>
        <v>0</v>
      </c>
    </row>
    <row r="26" spans="1:25" x14ac:dyDescent="0.25">
      <c r="A26" s="143"/>
      <c r="B26" s="163" t="str">
        <f>D2</f>
        <v>Saudi Arabia</v>
      </c>
      <c r="C26" s="164">
        <f ca="1">IF(G39="",0,G39)</f>
        <v>0</v>
      </c>
      <c r="D26" s="164">
        <f ca="1">IF(G41="",0,G41)</f>
        <v>1</v>
      </c>
      <c r="E26" s="209"/>
      <c r="F26" s="164">
        <f>IF(F38="",0,F38)</f>
        <v>1</v>
      </c>
      <c r="G26" s="165">
        <f ca="1">SUM(C26:F26)</f>
        <v>2</v>
      </c>
      <c r="H26" s="169" t="str">
        <f t="shared" si="27"/>
        <v>Saudi Arabia</v>
      </c>
      <c r="I26" s="170">
        <f ca="1">C26*I5</f>
        <v>0</v>
      </c>
      <c r="J26" s="170">
        <f ca="1">D26*J5</f>
        <v>0</v>
      </c>
      <c r="K26" s="214"/>
      <c r="L26" s="170">
        <f ca="1">F26*L5</f>
        <v>0</v>
      </c>
      <c r="M26" s="171">
        <f ca="1">SUM(I26:L26)</f>
        <v>0</v>
      </c>
      <c r="N26" s="169" t="str">
        <f t="shared" si="28"/>
        <v>Saudi Arabia</v>
      </c>
      <c r="O26" s="170">
        <f ca="1">I26*O5</f>
        <v>0</v>
      </c>
      <c r="P26" s="170">
        <f ca="1">J26*P5</f>
        <v>0</v>
      </c>
      <c r="Q26" s="214"/>
      <c r="R26" s="170">
        <f ca="1">L26*R5</f>
        <v>0</v>
      </c>
      <c r="S26" s="171">
        <f ca="1">SUM(O26:R26)</f>
        <v>0</v>
      </c>
      <c r="T26" s="169" t="str">
        <f t="shared" si="29"/>
        <v>Saudi Arabia</v>
      </c>
      <c r="U26" s="170">
        <f ca="1">O26*U5</f>
        <v>0</v>
      </c>
      <c r="V26" s="170">
        <f ca="1">P26*V5</f>
        <v>0</v>
      </c>
      <c r="W26" s="214"/>
      <c r="X26" s="170">
        <f ca="1">R26*X5</f>
        <v>0</v>
      </c>
      <c r="Y26" s="171">
        <f ca="1">SUM(U26:X26)</f>
        <v>0</v>
      </c>
    </row>
    <row r="27" spans="1:25" x14ac:dyDescent="0.25">
      <c r="A27" s="143"/>
      <c r="B27" s="166" t="str">
        <f>E2</f>
        <v>Uruguay</v>
      </c>
      <c r="C27" s="167">
        <f ca="1">IF(F42="",0,F42)</f>
        <v>0</v>
      </c>
      <c r="D27" s="167">
        <f ca="1">IF(F40="",0,F40)</f>
        <v>0</v>
      </c>
      <c r="E27" s="167">
        <f>IF(G38="",0,G38)</f>
        <v>1</v>
      </c>
      <c r="F27" s="210"/>
      <c r="G27" s="168">
        <f ca="1">SUM(C27:F27)</f>
        <v>1</v>
      </c>
      <c r="H27" s="172" t="str">
        <f t="shared" si="27"/>
        <v>Uruguay</v>
      </c>
      <c r="I27" s="173">
        <f ca="1">C27*I6</f>
        <v>0</v>
      </c>
      <c r="J27" s="173">
        <f ca="1">D27*J6</f>
        <v>0</v>
      </c>
      <c r="K27" s="173">
        <f ca="1">E27*K6</f>
        <v>0</v>
      </c>
      <c r="L27" s="215"/>
      <c r="M27" s="174">
        <f ca="1">SUM(I27:L27)</f>
        <v>0</v>
      </c>
      <c r="N27" s="172" t="str">
        <f t="shared" si="28"/>
        <v>Uruguay</v>
      </c>
      <c r="O27" s="173">
        <f ca="1">I27*O6</f>
        <v>0</v>
      </c>
      <c r="P27" s="173">
        <f ca="1">J27*P6</f>
        <v>0</v>
      </c>
      <c r="Q27" s="173">
        <f ca="1">K27*Q6</f>
        <v>0</v>
      </c>
      <c r="R27" s="215"/>
      <c r="S27" s="174">
        <f ca="1">SUM(O27:R27)</f>
        <v>0</v>
      </c>
      <c r="T27" s="172" t="str">
        <f t="shared" si="29"/>
        <v>Uruguay</v>
      </c>
      <c r="U27" s="173">
        <f ca="1">O27*U6</f>
        <v>0</v>
      </c>
      <c r="V27" s="173">
        <f ca="1">P27*V6</f>
        <v>0</v>
      </c>
      <c r="W27" s="173">
        <f ca="1">Q27*W6</f>
        <v>0</v>
      </c>
      <c r="X27" s="215"/>
      <c r="Y27" s="174">
        <f ca="1">SUM(U27:X27)</f>
        <v>0</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300" t="s">
        <v>669</v>
      </c>
      <c r="E29" s="300" t="s">
        <v>670</v>
      </c>
      <c r="F29" s="300" t="s">
        <v>671</v>
      </c>
      <c r="G29" s="232" t="s">
        <v>631</v>
      </c>
      <c r="H29" s="232" t="s">
        <v>632</v>
      </c>
      <c r="I29" s="232" t="s">
        <v>633</v>
      </c>
      <c r="J29" s="232" t="s">
        <v>676</v>
      </c>
      <c r="K29" s="232" t="s">
        <v>411</v>
      </c>
      <c r="L29" s="232" t="s">
        <v>661</v>
      </c>
      <c r="M29" s="232" t="s">
        <v>634</v>
      </c>
      <c r="N29" s="233" t="s">
        <v>635</v>
      </c>
    </row>
    <row r="30" spans="1:25" x14ac:dyDescent="0.25">
      <c r="A30" s="234">
        <f ca="1">N30</f>
        <v>1</v>
      </c>
      <c r="B30" s="235" t="str">
        <f>B2</f>
        <v>Spain</v>
      </c>
      <c r="C30" s="236">
        <v>3</v>
      </c>
      <c r="D30" s="236">
        <f ca="1">COUNTIF(FWinners,B30)</f>
        <v>2</v>
      </c>
      <c r="E30" s="236">
        <f ca="1">COUNTIF(FDraws,"D"&amp;B30)</f>
        <v>1</v>
      </c>
      <c r="F30" s="236">
        <f ca="1">COUNTIF(FLosers,B30)</f>
        <v>0</v>
      </c>
      <c r="G30" s="236">
        <f ca="1">F37+F39+G42</f>
        <v>3</v>
      </c>
      <c r="H30" s="236">
        <f ca="1">G37+G39+F42</f>
        <v>0</v>
      </c>
      <c r="I30" s="236">
        <f ca="1">G30-H30</f>
        <v>3</v>
      </c>
      <c r="J30" s="237">
        <f ca="1">Z10</f>
        <v>4</v>
      </c>
      <c r="K30" s="236">
        <f>VLOOKUP($B30,Lookup10,11,FALSE)</f>
        <v>1</v>
      </c>
      <c r="L30" s="236">
        <f>VLOOKUP($B30,Lookup11,2,FALSE)</f>
        <v>2</v>
      </c>
      <c r="M30" s="238">
        <f ca="1">ROUND(G30*G$34+I30*I$34+J30*J$34-K30*K$34-L30*L$34,8)</f>
        <v>40302.989800000003</v>
      </c>
      <c r="N30" s="239">
        <f ca="1">RANK(M30,M$30:M$33,0)</f>
        <v>1</v>
      </c>
    </row>
    <row r="31" spans="1:25" x14ac:dyDescent="0.25">
      <c r="A31" s="234">
        <f ca="1">N31</f>
        <v>2</v>
      </c>
      <c r="B31" s="235" t="str">
        <f>C2</f>
        <v>Cabo Verde</v>
      </c>
      <c r="C31" s="236">
        <v>3</v>
      </c>
      <c r="D31" s="236">
        <f ca="1">COUNTIF(FWinners,B31)</f>
        <v>1</v>
      </c>
      <c r="E31" s="236">
        <f ca="1">COUNTIF(FDraws,"D"&amp;B31)</f>
        <v>2</v>
      </c>
      <c r="F31" s="236">
        <f ca="1">COUNTIF(FLosers,B31)</f>
        <v>0</v>
      </c>
      <c r="G31" s="236">
        <f ca="1">G37+G40+F41</f>
        <v>2</v>
      </c>
      <c r="H31" s="236">
        <f ca="1">F37+F40+G41</f>
        <v>1</v>
      </c>
      <c r="I31" s="236">
        <f t="shared" ref="I31:I33" ca="1" si="30">G31-H31</f>
        <v>1</v>
      </c>
      <c r="J31" s="237">
        <f ca="1">Z11</f>
        <v>3</v>
      </c>
      <c r="K31" s="236">
        <f>VLOOKUP($B31,Lookup10,11,FALSE)</f>
        <v>1</v>
      </c>
      <c r="L31" s="236">
        <f>VLOOKUP($B31,Lookup11,2,FALSE)</f>
        <v>44</v>
      </c>
      <c r="M31" s="238">
        <f ca="1">ROUND(G31*G$34+I31*I$34+J31*J$34-K31*K$34-L31*L$34,8)</f>
        <v>30101.9856</v>
      </c>
      <c r="N31" s="239">
        <f ca="1">RANK(M31,M$30:M$33,0)</f>
        <v>2</v>
      </c>
    </row>
    <row r="32" spans="1:25" x14ac:dyDescent="0.25">
      <c r="A32" s="234">
        <f ca="1">N32</f>
        <v>3</v>
      </c>
      <c r="B32" s="235" t="str">
        <f>D2</f>
        <v>Saudi Arabia</v>
      </c>
      <c r="C32" s="236">
        <v>3</v>
      </c>
      <c r="D32" s="236">
        <f ca="1">COUNTIF(FWinners,B32)</f>
        <v>0</v>
      </c>
      <c r="E32" s="236">
        <f ca="1">COUNTIF(FDraws,"D"&amp;B32)</f>
        <v>2</v>
      </c>
      <c r="F32" s="236">
        <f ca="1">COUNTIF(FLosers,B32)</f>
        <v>1</v>
      </c>
      <c r="G32" s="236">
        <f ca="1">F38+G39+G41</f>
        <v>2</v>
      </c>
      <c r="H32" s="236">
        <f ca="1">G38+F39+F41</f>
        <v>3</v>
      </c>
      <c r="I32" s="236">
        <f t="shared" ca="1" si="30"/>
        <v>-1</v>
      </c>
      <c r="J32" s="237">
        <f ca="1">Z12</f>
        <v>2</v>
      </c>
      <c r="K32" s="236">
        <f>VLOOKUP($B32,Lookup10,11,FALSE)</f>
        <v>1</v>
      </c>
      <c r="L32" s="236">
        <f>VLOOKUP($B32,Lookup11,2,FALSE)</f>
        <v>41</v>
      </c>
      <c r="M32" s="238">
        <f ca="1">ROUND(G32*G$34+I32*I$34+J32*J$34-K32*K$34-L32*L$34,8)</f>
        <v>19901.9859</v>
      </c>
      <c r="N32" s="239">
        <f ca="1">RANK(M32,M$30:M$33,0)</f>
        <v>3</v>
      </c>
    </row>
    <row r="33" spans="1:16" x14ac:dyDescent="0.25">
      <c r="A33" s="234">
        <f ca="1">N33</f>
        <v>4</v>
      </c>
      <c r="B33" s="235" t="str">
        <f>E2</f>
        <v>Uruguay</v>
      </c>
      <c r="C33" s="236">
        <v>3</v>
      </c>
      <c r="D33" s="236">
        <f ca="1">COUNTIF(FWinners,B33)</f>
        <v>0</v>
      </c>
      <c r="E33" s="236">
        <f ca="1">COUNTIF(FDraws,"D"&amp;B33)</f>
        <v>1</v>
      </c>
      <c r="F33" s="236">
        <f ca="1">COUNTIF(FLosers,B33)</f>
        <v>2</v>
      </c>
      <c r="G33" s="236">
        <f ca="1">G38+F40+F42</f>
        <v>1</v>
      </c>
      <c r="H33" s="236">
        <f ca="1">F38+G40+G42</f>
        <v>4</v>
      </c>
      <c r="I33" s="236">
        <f t="shared" ca="1" si="30"/>
        <v>-3</v>
      </c>
      <c r="J33" s="237">
        <f ca="1">Z13</f>
        <v>1</v>
      </c>
      <c r="K33" s="236">
        <f>VLOOKUP($B33,Lookup10,11,FALSE)</f>
        <v>0</v>
      </c>
      <c r="L33" s="236">
        <f>VLOOKUP($B33,Lookup11,2,FALSE)</f>
        <v>15</v>
      </c>
      <c r="M33" s="238">
        <f ca="1">ROUND(G33*G$34+I33*I$34+J33*J$34-K33*K$34-L33*L$34,8)</f>
        <v>9700.9984999999997</v>
      </c>
      <c r="N33" s="239">
        <f ca="1">RANK(M33,M$30:M$33,0)</f>
        <v>4</v>
      </c>
    </row>
    <row r="34" spans="1:16" x14ac:dyDescent="0.25">
      <c r="A34" s="240"/>
      <c r="B34" s="241" t="s">
        <v>636</v>
      </c>
      <c r="C34" s="242">
        <f>SUM(C30:C33)</f>
        <v>12</v>
      </c>
      <c r="D34" s="242"/>
      <c r="E34" s="242"/>
      <c r="F34" s="242"/>
      <c r="G34" s="205">
        <v>1</v>
      </c>
      <c r="H34" s="205"/>
      <c r="I34" s="205">
        <v>100</v>
      </c>
      <c r="J34" s="205">
        <v>10000</v>
      </c>
      <c r="K34" s="205">
        <v>0.01</v>
      </c>
      <c r="L34" s="205">
        <v>1E-4</v>
      </c>
      <c r="M34" s="242"/>
      <c r="N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SpainCabo Verde</v>
      </c>
      <c r="B37" s="158" t="str">
        <f>B1&amp;C1</f>
        <v>H1H2</v>
      </c>
      <c r="C37" s="158">
        <v>1</v>
      </c>
      <c r="D37" s="150" t="str">
        <f>B2</f>
        <v>Spain</v>
      </c>
      <c r="E37" s="150" t="str">
        <f>C2</f>
        <v>Cabo Verde</v>
      </c>
      <c r="F37" s="158">
        <f t="shared" ref="F37:F42" si="31">VLOOKUP($B37,Lookup18,6,FALSE)</f>
        <v>0</v>
      </c>
      <c r="G37" s="158">
        <f t="shared" ref="G37:G42" si="32">VLOOKUP($B37,Lookup18,8,FALSE)</f>
        <v>0</v>
      </c>
      <c r="H37" s="158">
        <f t="shared" ref="H37:H42" si="33">IF(C37=0,0,IF(F37&lt;G37,Lpts,IF(F37&gt;G37,Wpts,Dpts)))</f>
        <v>1</v>
      </c>
      <c r="I37" s="158">
        <f t="shared" ref="I37:I42" si="34">IF(C37=0,0,IF(G37&lt;F37,Lpts,IF(G37&gt;F37,Wpts,Dpts)))</f>
        <v>1</v>
      </c>
      <c r="J37" s="158">
        <f t="shared" ref="J37:K42" si="35">IF(VLOOKUP($B37,Lookup12,4,FALSE)="",0,VLOOKUP($B37,Lookup12,4,FALSE))</f>
        <v>1</v>
      </c>
      <c r="K37" s="158">
        <f t="shared" si="35"/>
        <v>1</v>
      </c>
      <c r="L37" s="143"/>
      <c r="M37" s="143"/>
      <c r="N37" s="143"/>
      <c r="O37" s="143"/>
      <c r="P37" s="143"/>
    </row>
    <row r="38" spans="1:16" x14ac:dyDescent="0.25">
      <c r="A38" s="149" t="str">
        <f>D2&amp;E2</f>
        <v>Saudi ArabiaUruguay</v>
      </c>
      <c r="B38" s="158" t="str">
        <f>D1&amp;E1</f>
        <v>H3H4</v>
      </c>
      <c r="C38" s="158">
        <v>1</v>
      </c>
      <c r="D38" s="150" t="str">
        <f>D2</f>
        <v>Saudi Arabia</v>
      </c>
      <c r="E38" s="150" t="str">
        <f>E2</f>
        <v>Uruguay</v>
      </c>
      <c r="F38" s="158">
        <f t="shared" si="31"/>
        <v>1</v>
      </c>
      <c r="G38" s="158">
        <f t="shared" si="32"/>
        <v>1</v>
      </c>
      <c r="H38" s="158">
        <f t="shared" si="33"/>
        <v>1</v>
      </c>
      <c r="I38" s="158">
        <f t="shared" si="34"/>
        <v>1</v>
      </c>
      <c r="J38" s="158">
        <f t="shared" si="35"/>
        <v>1</v>
      </c>
      <c r="K38" s="158">
        <f t="shared" si="35"/>
        <v>1</v>
      </c>
      <c r="L38" s="143"/>
      <c r="M38" s="143"/>
      <c r="N38" s="143"/>
      <c r="O38" s="143"/>
      <c r="P38" s="143"/>
    </row>
    <row r="39" spans="1:16" x14ac:dyDescent="0.25">
      <c r="A39" s="149" t="str">
        <f>B2&amp;D2</f>
        <v>SpainSaudi Arabia</v>
      </c>
      <c r="B39" s="158" t="str">
        <f>B1&amp;D1</f>
        <v>H1H3</v>
      </c>
      <c r="C39" s="158">
        <v>1</v>
      </c>
      <c r="D39" s="150" t="str">
        <f>B2</f>
        <v>Spain</v>
      </c>
      <c r="E39" s="150" t="str">
        <f>D2</f>
        <v>Saudi Arabia</v>
      </c>
      <c r="F39" s="158">
        <f t="shared" ca="1" si="31"/>
        <v>1</v>
      </c>
      <c r="G39" s="158">
        <f t="shared" ca="1" si="32"/>
        <v>0</v>
      </c>
      <c r="H39" s="158">
        <f t="shared" ca="1" si="33"/>
        <v>3</v>
      </c>
      <c r="I39" s="158">
        <f t="shared" ca="1" si="34"/>
        <v>0</v>
      </c>
      <c r="J39" s="158">
        <f t="shared" si="35"/>
        <v>0</v>
      </c>
      <c r="K39" s="158">
        <f t="shared" si="35"/>
        <v>0</v>
      </c>
      <c r="L39" s="143"/>
      <c r="M39" s="143"/>
      <c r="N39" s="143"/>
      <c r="O39" s="143"/>
      <c r="P39" s="143"/>
    </row>
    <row r="40" spans="1:16" x14ac:dyDescent="0.25">
      <c r="A40" s="149" t="str">
        <f>E2&amp;C2</f>
        <v>UruguayCabo Verde</v>
      </c>
      <c r="B40" s="158" t="str">
        <f>E1&amp;C1</f>
        <v>H4H2</v>
      </c>
      <c r="C40" s="158">
        <v>1</v>
      </c>
      <c r="D40" s="150" t="str">
        <f>E2</f>
        <v>Uruguay</v>
      </c>
      <c r="E40" s="150" t="str">
        <f>C2</f>
        <v>Cabo Verde</v>
      </c>
      <c r="F40" s="158">
        <f t="shared" ca="1" si="31"/>
        <v>0</v>
      </c>
      <c r="G40" s="158">
        <f t="shared" ca="1" si="32"/>
        <v>1</v>
      </c>
      <c r="H40" s="158">
        <f t="shared" ca="1" si="33"/>
        <v>0</v>
      </c>
      <c r="I40" s="158">
        <f t="shared" ca="1" si="34"/>
        <v>3</v>
      </c>
      <c r="J40" s="158">
        <f t="shared" si="35"/>
        <v>0</v>
      </c>
      <c r="K40" s="158">
        <f t="shared" si="35"/>
        <v>0</v>
      </c>
      <c r="L40" s="143"/>
      <c r="M40" s="143"/>
      <c r="N40" s="143"/>
      <c r="O40" s="143"/>
      <c r="P40" s="143"/>
    </row>
    <row r="41" spans="1:16" x14ac:dyDescent="0.25">
      <c r="A41" s="149" t="str">
        <f>C2&amp;D2</f>
        <v>Cabo VerdeSaudi Arabia</v>
      </c>
      <c r="B41" s="158" t="str">
        <f>C1&amp;D1</f>
        <v>H2H3</v>
      </c>
      <c r="C41" s="158">
        <v>1</v>
      </c>
      <c r="D41" s="150" t="str">
        <f>C2</f>
        <v>Cabo Verde</v>
      </c>
      <c r="E41" s="150" t="str">
        <f>D2</f>
        <v>Saudi Arabia</v>
      </c>
      <c r="F41" s="158">
        <f t="shared" ca="1" si="31"/>
        <v>1</v>
      </c>
      <c r="G41" s="158">
        <f t="shared" ca="1" si="32"/>
        <v>1</v>
      </c>
      <c r="H41" s="158">
        <f t="shared" ca="1" si="33"/>
        <v>1</v>
      </c>
      <c r="I41" s="158">
        <f t="shared" ca="1" si="34"/>
        <v>1</v>
      </c>
      <c r="J41" s="158">
        <f t="shared" si="35"/>
        <v>0</v>
      </c>
      <c r="K41" s="158">
        <f t="shared" si="35"/>
        <v>0</v>
      </c>
      <c r="L41" s="143"/>
      <c r="M41" s="143"/>
      <c r="N41" s="143"/>
      <c r="O41" s="143"/>
      <c r="P41" s="143"/>
    </row>
    <row r="42" spans="1:16" x14ac:dyDescent="0.25">
      <c r="A42" s="151" t="str">
        <f>E2&amp;B2</f>
        <v>UruguaySpain</v>
      </c>
      <c r="B42" s="159" t="str">
        <f>E1&amp;B1</f>
        <v>H4H1</v>
      </c>
      <c r="C42" s="159">
        <v>1</v>
      </c>
      <c r="D42" s="152" t="str">
        <f>E2</f>
        <v>Uruguay</v>
      </c>
      <c r="E42" s="152" t="str">
        <f>B2</f>
        <v>Spain</v>
      </c>
      <c r="F42" s="159">
        <f t="shared" ca="1" si="31"/>
        <v>0</v>
      </c>
      <c r="G42" s="159">
        <f t="shared" ca="1" si="32"/>
        <v>2</v>
      </c>
      <c r="H42" s="159">
        <f t="shared" ca="1" si="33"/>
        <v>0</v>
      </c>
      <c r="I42" s="159">
        <f t="shared" ca="1" si="34"/>
        <v>3</v>
      </c>
      <c r="J42" s="159">
        <f t="shared" si="35"/>
        <v>0</v>
      </c>
      <c r="K42" s="159">
        <f t="shared" si="35"/>
        <v>0</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 ca="1">$B45</f>
        <v>Spain</v>
      </c>
      <c r="M44" s="154" t="str">
        <f ca="1">$B46</f>
        <v>Cabo Verde</v>
      </c>
      <c r="N44" s="154" t="str">
        <f ca="1">$B47</f>
        <v>Saudi Arabia</v>
      </c>
      <c r="O44" s="154" t="str">
        <f ca="1">$B48</f>
        <v>Uruguay</v>
      </c>
      <c r="P44" s="155"/>
    </row>
    <row r="45" spans="1:16" x14ac:dyDescent="0.25">
      <c r="A45" s="156">
        <v>1</v>
      </c>
      <c r="B45" s="156" t="str">
        <f ca="1">VLOOKUP($A45,Ranking,2,FALSE)</f>
        <v>Spain</v>
      </c>
      <c r="C45" s="157">
        <v>3</v>
      </c>
      <c r="D45" s="157">
        <f ca="1">VLOOKUP($A45,Ranking,4,FALSE)</f>
        <v>2</v>
      </c>
      <c r="E45" s="157">
        <f ca="1">VLOOKUP($A45,Ranking,5,FALSE)</f>
        <v>1</v>
      </c>
      <c r="F45" s="157">
        <f ca="1">VLOOKUP($A45,Ranking,6,FALSE)</f>
        <v>0</v>
      </c>
      <c r="G45" s="157">
        <f ca="1">VLOOKUP($A45,Ranking,7,FALSE)</f>
        <v>3</v>
      </c>
      <c r="H45" s="157">
        <f ca="1">VLOOKUP($A45,Ranking,8,FALSE)</f>
        <v>0</v>
      </c>
      <c r="I45" s="157">
        <f ca="1">G45-H45</f>
        <v>3</v>
      </c>
      <c r="J45" s="157">
        <f ca="1">D45*Wpts+E45*Dpts+FGrpH!F45*Lpts</f>
        <v>7</v>
      </c>
      <c r="K45" s="201" t="str">
        <f ca="1">B45</f>
        <v>Spain</v>
      </c>
      <c r="L45" s="203"/>
      <c r="M45" s="202" t="str">
        <f ca="1">IFERROR(VLOOKUP($B45&amp;M$44,A37:G42,6,FALSE)&amp;"-"&amp;VLOOKUP($B45&amp;M$44,A37:G42,7,FALSE),VLOOKUP(M$44&amp;$B45,A37:G42,7,FALSE)&amp;"-"&amp;VLOOKUP(M$44&amp;$B45,A37:G42,6,FALSE))</f>
        <v>0-0</v>
      </c>
      <c r="N45" s="202" t="str">
        <f ca="1">IFERROR(VLOOKUP($B45&amp;N$44,A37:G42,6,FALSE)&amp;"-"&amp;VLOOKUP($B45&amp;N$44,A37:G42,7,FALSE),VLOOKUP(N$44&amp;$B45,A37:G42,7,FALSE)&amp;"-"&amp;VLOOKUP(N$44&amp;$B45,A37:G42,6,FALSE))</f>
        <v>1-0</v>
      </c>
      <c r="O45" s="202" t="str">
        <f ca="1">IFERROR(VLOOKUP($B45&amp;O$44,A37:G42,6,FALSE)&amp;"-"&amp;VLOOKUP($B45&amp;O$44,A37:G42,7,FALSE),VLOOKUP(O$44&amp;$B45,A37:G42,7,FALSE)&amp;"-"&amp;VLOOKUP(O$44&amp;$B45,A37:G42,6,FALSE))</f>
        <v>2-0</v>
      </c>
      <c r="P45" s="155"/>
    </row>
    <row r="46" spans="1:16" x14ac:dyDescent="0.25">
      <c r="A46" s="156">
        <v>2</v>
      </c>
      <c r="B46" s="156" t="str">
        <f ca="1">VLOOKUP($A46,Ranking,2,FALSE)</f>
        <v>Cabo Verde</v>
      </c>
      <c r="C46" s="157">
        <v>3</v>
      </c>
      <c r="D46" s="157">
        <f ca="1">VLOOKUP($A46,Ranking,4,FALSE)</f>
        <v>1</v>
      </c>
      <c r="E46" s="157">
        <f ca="1">VLOOKUP($A46,Ranking,5,FALSE)</f>
        <v>2</v>
      </c>
      <c r="F46" s="157">
        <f ca="1">VLOOKUP($A46,Ranking,6,FALSE)</f>
        <v>0</v>
      </c>
      <c r="G46" s="157">
        <f ca="1">VLOOKUP($A46,Ranking,7,FALSE)</f>
        <v>2</v>
      </c>
      <c r="H46" s="157">
        <f ca="1">VLOOKUP($A46,Ranking,8,FALSE)</f>
        <v>1</v>
      </c>
      <c r="I46" s="157">
        <f t="shared" ref="I46:I48" ca="1" si="36">G46-H46</f>
        <v>1</v>
      </c>
      <c r="J46" s="157">
        <f ca="1">D46*Wpts+E46*Dpts+FGrpH!F46*Lpts</f>
        <v>5</v>
      </c>
      <c r="K46" s="201" t="str">
        <f ca="1">B46</f>
        <v>Cabo Verde</v>
      </c>
      <c r="L46" s="202" t="str">
        <f ca="1">IFERROR(VLOOKUP($B46&amp;L$44,A37:G42,6,FALSE)&amp;"-"&amp;VLOOKUP($B46&amp;L$44,A37:G42,7,FALSE),VLOOKUP(L$44&amp;$B46,A37:G42,7,FALSE)&amp;"-"&amp;VLOOKUP(L$44&amp;$B46,A37:G42,6,FALSE))</f>
        <v>0-0</v>
      </c>
      <c r="M46" s="203"/>
      <c r="N46" s="202" t="str">
        <f ca="1">IFERROR(VLOOKUP($B46&amp;N$44,A37:G42,6,FALSE)&amp;"-"&amp;VLOOKUP($B46&amp;N$44,A37:G42,7,FALSE),VLOOKUP(N$44&amp;$B46,A37:G42,7,FALSE)&amp;"-"&amp;VLOOKUP(N$44&amp;$B46,A37:G42,6,FALSE))</f>
        <v>1-1</v>
      </c>
      <c r="O46" s="202" t="str">
        <f ca="1">IFERROR(VLOOKUP($B46&amp;O$44,A37:G42,6,FALSE)&amp;"-"&amp;VLOOKUP($B46&amp;O$44,A37:G42,7,FALSE),VLOOKUP(O$44&amp;$B46,A37:G42,7,FALSE)&amp;"-"&amp;VLOOKUP(O$44&amp;$B46,A37:G42,6,FALSE))</f>
        <v>1-0</v>
      </c>
      <c r="P46" s="155"/>
    </row>
    <row r="47" spans="1:16" x14ac:dyDescent="0.25">
      <c r="A47" s="156">
        <v>3</v>
      </c>
      <c r="B47" s="156" t="str">
        <f ca="1">VLOOKUP($A47,Ranking,2,FALSE)</f>
        <v>Saudi Arabia</v>
      </c>
      <c r="C47" s="157">
        <v>3</v>
      </c>
      <c r="D47" s="157">
        <f ca="1">VLOOKUP($A47,Ranking,4,FALSE)</f>
        <v>0</v>
      </c>
      <c r="E47" s="157">
        <f ca="1">VLOOKUP($A47,Ranking,5,FALSE)</f>
        <v>2</v>
      </c>
      <c r="F47" s="157">
        <f ca="1">VLOOKUP($A47,Ranking,6,FALSE)</f>
        <v>1</v>
      </c>
      <c r="G47" s="157">
        <f ca="1">VLOOKUP($A47,Ranking,7,FALSE)</f>
        <v>2</v>
      </c>
      <c r="H47" s="157">
        <f ca="1">VLOOKUP($A47,Ranking,8,FALSE)</f>
        <v>3</v>
      </c>
      <c r="I47" s="157">
        <f t="shared" ca="1" si="36"/>
        <v>-1</v>
      </c>
      <c r="J47" s="157">
        <f ca="1">D47*Wpts+E47*Dpts+FGrpH!F47*Lpts</f>
        <v>2</v>
      </c>
      <c r="K47" s="201" t="str">
        <f ca="1">B47</f>
        <v>Saudi Arabia</v>
      </c>
      <c r="L47" s="202" t="str">
        <f ca="1">IFERROR(VLOOKUP($B47&amp;L$44,A37:G42,6,FALSE)&amp;"-"&amp;VLOOKUP($B47&amp;L$44,A37:G42,7,FALSE),VLOOKUP(L$44&amp;$B47,A37:G42,7,FALSE)&amp;"-"&amp;VLOOKUP(L$44&amp;$B47,A37:G42,6,FALSE))</f>
        <v>0-1</v>
      </c>
      <c r="M47" s="202" t="str">
        <f ca="1">IFERROR(VLOOKUP($B47&amp;M$44,A37:G42,6,FALSE)&amp;"-"&amp;VLOOKUP($B47&amp;M$44,A37:G42,7,FALSE),VLOOKUP(M$44&amp;$B47,A37:G42,7,FALSE)&amp;"-"&amp;VLOOKUP(M$44&amp;$B47,A37:G42,6,FALSE))</f>
        <v>1-1</v>
      </c>
      <c r="N47" s="203"/>
      <c r="O47" s="202" t="str">
        <f ca="1">IFERROR(VLOOKUP($B47&amp;O$44,A37:G42,6,FALSE)&amp;"-"&amp;VLOOKUP($B47&amp;O$44,A37:G42,7,FALSE),VLOOKUP(O$44&amp;$B47,A37:G42,7,FALSE)&amp;"-"&amp;VLOOKUP(O$44&amp;$B47,A37:G42,6,FALSE))</f>
        <v>1-1</v>
      </c>
      <c r="P47" s="155"/>
    </row>
    <row r="48" spans="1:16" x14ac:dyDescent="0.25">
      <c r="A48" s="156">
        <v>4</v>
      </c>
      <c r="B48" s="156" t="str">
        <f ca="1">VLOOKUP($A48,Ranking,2,FALSE)</f>
        <v>Uruguay</v>
      </c>
      <c r="C48" s="157">
        <v>3</v>
      </c>
      <c r="D48" s="157">
        <f ca="1">VLOOKUP($A48,Ranking,4,FALSE)</f>
        <v>0</v>
      </c>
      <c r="E48" s="157">
        <f ca="1">VLOOKUP($A48,Ranking,5,FALSE)</f>
        <v>1</v>
      </c>
      <c r="F48" s="157">
        <f ca="1">VLOOKUP($A48,Ranking,6,FALSE)</f>
        <v>2</v>
      </c>
      <c r="G48" s="157">
        <f ca="1">VLOOKUP($A48,Ranking,7,FALSE)</f>
        <v>1</v>
      </c>
      <c r="H48" s="157">
        <f ca="1">VLOOKUP($A48,Ranking,8,FALSE)</f>
        <v>4</v>
      </c>
      <c r="I48" s="157">
        <f t="shared" ca="1" si="36"/>
        <v>-3</v>
      </c>
      <c r="J48" s="157">
        <f ca="1">D48*Wpts+E48*Dpts+FGrpH!F48*Lpts</f>
        <v>1</v>
      </c>
      <c r="K48" s="201" t="str">
        <f ca="1">B48</f>
        <v>Uruguay</v>
      </c>
      <c r="L48" s="202" t="str">
        <f ca="1">IFERROR(VLOOKUP($B48&amp;L$44,A37:G42,6,FALSE)&amp;"-"&amp;VLOOKUP($B48&amp;L$44,A37:G42,7,FALSE),VLOOKUP(L$44&amp;$B48,A37:G42,7,FALSE)&amp;"-"&amp;VLOOKUP(L$44&amp;$B48,A37:G42,6,FALSE))</f>
        <v>0-2</v>
      </c>
      <c r="M48" s="202" t="str">
        <f ca="1">IFERROR(VLOOKUP($B48&amp;M$44,A37:G42,6,FALSE)&amp;"-"&amp;VLOOKUP($B48&amp;M$44,A37:G42,7,FALSE),VLOOKUP(M$44&amp;$B48,A37:G42,7,FALSE)&amp;"-"&amp;VLOOKUP(M$44&amp;$B48,A37:G42,6,FALSE))</f>
        <v>0-1</v>
      </c>
      <c r="N48" s="202" t="str">
        <f ca="1">IFERROR(VLOOKUP($B48&amp;N$44,A37:G42,6,FALSE)&amp;"-"&amp;VLOOKUP($B48&amp;N$44,A37:G42,7,FALSE),VLOOKUP(N$44&amp;$B48,A37:G42,7,FALSE)&amp;"-"&amp;VLOOKUP(N$44&amp;$B48,A37:G42,6,FALSE))</f>
        <v>1-1</v>
      </c>
      <c r="O48" s="203"/>
      <c r="P48" s="155"/>
    </row>
    <row r="49" spans="1:16" x14ac:dyDescent="0.25">
      <c r="A49" s="143"/>
      <c r="B49" s="143"/>
      <c r="C49" s="461">
        <f>SUM(C45:C48)</f>
        <v>12</v>
      </c>
      <c r="D49" s="143"/>
      <c r="E49" s="143"/>
      <c r="F49" s="143"/>
      <c r="G49" s="143"/>
      <c r="H49" s="143"/>
      <c r="I49" s="143"/>
      <c r="J49" s="143"/>
      <c r="K49" s="143"/>
      <c r="L49" s="143"/>
      <c r="M49" s="143"/>
      <c r="N49" s="143"/>
      <c r="O49" s="143"/>
      <c r="P49" s="143"/>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63B40-5DEB-460F-9168-ED05703B3BF8}">
  <sheetPr>
    <tabColor rgb="FF7030A0"/>
  </sheetPr>
  <dimension ref="A1:Z49"/>
  <sheetViews>
    <sheetView workbookViewId="0">
      <pane ySplit="2" topLeftCell="A18"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28" t="s">
        <v>320</v>
      </c>
      <c r="B1" s="216" t="str">
        <f>A2&amp;1</f>
        <v>I1</v>
      </c>
      <c r="C1" s="216" t="str">
        <f>A2&amp;2</f>
        <v>I2</v>
      </c>
      <c r="D1" s="216" t="str">
        <f>A2&amp;3</f>
        <v>I3</v>
      </c>
      <c r="E1" s="216" t="str">
        <f>A2&amp;4</f>
        <v>I4</v>
      </c>
      <c r="F1" s="143"/>
      <c r="G1" s="143"/>
      <c r="H1" s="160"/>
      <c r="I1" s="161"/>
      <c r="J1" s="161" t="s">
        <v>630</v>
      </c>
      <c r="K1" s="161"/>
      <c r="L1" s="161"/>
      <c r="M1" s="162"/>
      <c r="N1" s="160"/>
      <c r="O1" s="161"/>
      <c r="P1" s="161" t="s">
        <v>630</v>
      </c>
      <c r="Q1" s="161"/>
      <c r="R1" s="161"/>
      <c r="S1" s="162"/>
      <c r="T1" s="160"/>
      <c r="U1" s="161"/>
      <c r="V1" s="161" t="s">
        <v>630</v>
      </c>
      <c r="W1" s="161"/>
      <c r="X1" s="161"/>
      <c r="Y1" s="162"/>
    </row>
    <row r="2" spans="1:26" x14ac:dyDescent="0.25">
      <c r="A2" s="229" t="s">
        <v>621</v>
      </c>
      <c r="B2" s="217" t="str">
        <f>VLOOKUP(B1,Lookup08,2,FALSE)</f>
        <v>France</v>
      </c>
      <c r="C2" s="217" t="str">
        <f>VLOOKUP(C1,Lookup08,2,FALSE)</f>
        <v>Senegal</v>
      </c>
      <c r="D2" s="217" t="str">
        <f>VLOOKUP(D1,Lookup08,2,FALSE)</f>
        <v>Iraq</v>
      </c>
      <c r="E2" s="217" t="str">
        <f>VLOOKUP(E1,Lookup08,2,FALSE)</f>
        <v>Norway</v>
      </c>
      <c r="F2" s="144"/>
      <c r="G2" s="144"/>
      <c r="H2" s="195"/>
      <c r="I2" s="196" t="str">
        <f>B2</f>
        <v>France</v>
      </c>
      <c r="J2" s="196" t="str">
        <f>C2</f>
        <v>Senegal</v>
      </c>
      <c r="K2" s="196" t="str">
        <f>D2</f>
        <v>Iraq</v>
      </c>
      <c r="L2" s="196" t="str">
        <f>E2</f>
        <v>Norway</v>
      </c>
      <c r="M2" s="197" t="s">
        <v>26</v>
      </c>
      <c r="N2" s="195"/>
      <c r="O2" s="196" t="str">
        <f>I2</f>
        <v>France</v>
      </c>
      <c r="P2" s="196" t="str">
        <f t="shared" ref="P2:R2" si="0">J2</f>
        <v>Senegal</v>
      </c>
      <c r="Q2" s="196" t="str">
        <f t="shared" si="0"/>
        <v>Iraq</v>
      </c>
      <c r="R2" s="196" t="str">
        <f t="shared" si="0"/>
        <v>Norway</v>
      </c>
      <c r="S2" s="197" t="s">
        <v>26</v>
      </c>
      <c r="T2" s="195"/>
      <c r="U2" s="196" t="str">
        <f>O2</f>
        <v>France</v>
      </c>
      <c r="V2" s="196" t="str">
        <f t="shared" ref="V2:X2" si="1">P2</f>
        <v>Senegal</v>
      </c>
      <c r="W2" s="196" t="str">
        <f t="shared" si="1"/>
        <v>Iraq</v>
      </c>
      <c r="X2" s="196" t="str">
        <f t="shared" si="1"/>
        <v>Norway</v>
      </c>
      <c r="Y2" s="197" t="s">
        <v>26</v>
      </c>
    </row>
    <row r="3" spans="1:26" x14ac:dyDescent="0.25">
      <c r="A3" s="144"/>
      <c r="B3" s="144"/>
      <c r="C3" s="144"/>
      <c r="F3" s="144"/>
      <c r="G3" s="144"/>
      <c r="H3" s="195" t="str">
        <f>B2</f>
        <v>France</v>
      </c>
      <c r="I3" s="211"/>
      <c r="J3" s="196">
        <f ca="1">IF(G10=G11,1,0)</f>
        <v>1</v>
      </c>
      <c r="K3" s="196">
        <f ca="1">IF(G10=G12,1,0)</f>
        <v>0</v>
      </c>
      <c r="L3" s="196">
        <f ca="1">IF(G10=G13,1,0)</f>
        <v>0</v>
      </c>
      <c r="M3" s="197">
        <f ca="1">SUM(I3:L3)</f>
        <v>1</v>
      </c>
      <c r="N3" s="195" t="str">
        <f>H3</f>
        <v>France</v>
      </c>
      <c r="O3" s="211"/>
      <c r="P3" s="196">
        <f ca="1">IF(M10=M11,1,0)</f>
        <v>1</v>
      </c>
      <c r="Q3" s="196">
        <f ca="1">IF(M10=M12,1,0)</f>
        <v>0</v>
      </c>
      <c r="R3" s="196">
        <f ca="1">IF(M10=M13,1,0)</f>
        <v>0</v>
      </c>
      <c r="S3" s="197">
        <f ca="1">SUM(O3:R3)</f>
        <v>1</v>
      </c>
      <c r="T3" s="195" t="str">
        <f>N3</f>
        <v>France</v>
      </c>
      <c r="U3" s="211"/>
      <c r="V3" s="196">
        <f ca="1">IF(S10=S11,1,0)</f>
        <v>1</v>
      </c>
      <c r="W3" s="196">
        <f ca="1">IF(S10=S12,1,0)</f>
        <v>0</v>
      </c>
      <c r="X3" s="196">
        <f ca="1">IF(S10=S13,1,0)</f>
        <v>0</v>
      </c>
      <c r="Y3" s="197">
        <f ca="1">SUM(U3:X3)</f>
        <v>1</v>
      </c>
    </row>
    <row r="4" spans="1:26" x14ac:dyDescent="0.25">
      <c r="A4" s="144"/>
      <c r="B4" s="144"/>
      <c r="C4" s="144"/>
      <c r="F4" s="144"/>
      <c r="G4" s="144"/>
      <c r="H4" s="195" t="str">
        <f>C2</f>
        <v>Senegal</v>
      </c>
      <c r="I4" s="196">
        <f ca="1">IF(G11=G10,1,0)</f>
        <v>1</v>
      </c>
      <c r="J4" s="211"/>
      <c r="K4" s="196">
        <f ca="1">IF(G11=G12,1,0)</f>
        <v>0</v>
      </c>
      <c r="L4" s="196">
        <f ca="1">IF(G11=G13,1,0)</f>
        <v>0</v>
      </c>
      <c r="M4" s="197">
        <f ca="1">SUM(I4:L4)</f>
        <v>1</v>
      </c>
      <c r="N4" s="195" t="str">
        <f t="shared" ref="N4:N6" si="2">H4</f>
        <v>Senegal</v>
      </c>
      <c r="O4" s="196">
        <f ca="1">IF(M11=M10,1,0)</f>
        <v>1</v>
      </c>
      <c r="P4" s="211"/>
      <c r="Q4" s="196">
        <f ca="1">IF(M11=M12,1,0)</f>
        <v>0</v>
      </c>
      <c r="R4" s="196">
        <f ca="1">IF(M11=M13,1,0)</f>
        <v>0</v>
      </c>
      <c r="S4" s="197">
        <f ca="1">SUM(O4:R4)</f>
        <v>1</v>
      </c>
      <c r="T4" s="195" t="str">
        <f t="shared" ref="T4:T6" si="3">N4</f>
        <v>Senegal</v>
      </c>
      <c r="U4" s="196">
        <f ca="1">IF(S11=S10,1,0)</f>
        <v>1</v>
      </c>
      <c r="V4" s="211"/>
      <c r="W4" s="196">
        <f ca="1">IF(S11=S12,1,0)</f>
        <v>0</v>
      </c>
      <c r="X4" s="196">
        <f ca="1">IF(S11=S13,1,0)</f>
        <v>0</v>
      </c>
      <c r="Y4" s="197">
        <f ca="1">SUM(U4:X4)</f>
        <v>1</v>
      </c>
    </row>
    <row r="5" spans="1:26" x14ac:dyDescent="0.25">
      <c r="A5" s="144"/>
      <c r="B5" s="144"/>
      <c r="C5" s="144"/>
      <c r="F5" s="144"/>
      <c r="G5" s="144"/>
      <c r="H5" s="195" t="str">
        <f>D2</f>
        <v>Iraq</v>
      </c>
      <c r="I5" s="196">
        <f ca="1">IF(G12=G10,1,0)</f>
        <v>0</v>
      </c>
      <c r="J5" s="196">
        <f ca="1">IF(G12=G11,1,0)</f>
        <v>0</v>
      </c>
      <c r="K5" s="211"/>
      <c r="L5" s="196">
        <f ca="1">IF(G12=G13,1,0)</f>
        <v>1</v>
      </c>
      <c r="M5" s="197">
        <f ca="1">SUM(I5:L5)</f>
        <v>1</v>
      </c>
      <c r="N5" s="195" t="str">
        <f t="shared" si="2"/>
        <v>Iraq</v>
      </c>
      <c r="O5" s="196">
        <f ca="1">IF(M12=M10,1,0)</f>
        <v>0</v>
      </c>
      <c r="P5" s="196">
        <f ca="1">IF(M12=M11,1,0)</f>
        <v>0</v>
      </c>
      <c r="Q5" s="211"/>
      <c r="R5" s="196">
        <f ca="1">IF(M12=M13,1,0)</f>
        <v>1</v>
      </c>
      <c r="S5" s="197">
        <f ca="1">SUM(O5:R5)</f>
        <v>1</v>
      </c>
      <c r="T5" s="195" t="str">
        <f t="shared" si="3"/>
        <v>Iraq</v>
      </c>
      <c r="U5" s="196">
        <f ca="1">IF(S12=S10,1,0)</f>
        <v>0</v>
      </c>
      <c r="V5" s="196">
        <f ca="1">IF(S12=S11,1,0)</f>
        <v>0</v>
      </c>
      <c r="W5" s="211"/>
      <c r="X5" s="196">
        <f ca="1">IF(S12=S13,1,0)</f>
        <v>1</v>
      </c>
      <c r="Y5" s="197">
        <f ca="1">SUM(U5:X5)</f>
        <v>1</v>
      </c>
    </row>
    <row r="6" spans="1:26" x14ac:dyDescent="0.25">
      <c r="A6" s="144"/>
      <c r="B6" s="144"/>
      <c r="C6" s="144"/>
      <c r="F6" s="144"/>
      <c r="G6" s="144"/>
      <c r="H6" s="198" t="str">
        <f>E2</f>
        <v>Norway</v>
      </c>
      <c r="I6" s="199">
        <f ca="1">IF(G13=G10,1,0)</f>
        <v>0</v>
      </c>
      <c r="J6" s="199">
        <f ca="1">IF(G13=G11,1,0)</f>
        <v>0</v>
      </c>
      <c r="K6" s="199">
        <f ca="1">IF(G13=G12,1,0)</f>
        <v>1</v>
      </c>
      <c r="L6" s="212"/>
      <c r="M6" s="200">
        <f ca="1">SUM(I6:L6)</f>
        <v>1</v>
      </c>
      <c r="N6" s="198" t="str">
        <f t="shared" si="2"/>
        <v>Norway</v>
      </c>
      <c r="O6" s="199">
        <f ca="1">IF(M13=M10,1,0)</f>
        <v>0</v>
      </c>
      <c r="P6" s="199">
        <f ca="1">IF(M13=M11,1,0)</f>
        <v>0</v>
      </c>
      <c r="Q6" s="199">
        <f ca="1">IF(M13=M12,1,0)</f>
        <v>1</v>
      </c>
      <c r="R6" s="212"/>
      <c r="S6" s="200">
        <f ca="1">SUM(O6:R6)</f>
        <v>1</v>
      </c>
      <c r="T6" s="198" t="str">
        <f t="shared" si="3"/>
        <v>Norway</v>
      </c>
      <c r="U6" s="199">
        <f ca="1">IF(S13=S10,1,0)</f>
        <v>0</v>
      </c>
      <c r="V6" s="199">
        <f ca="1">IF(S13=S11,1,0)</f>
        <v>0</v>
      </c>
      <c r="W6" s="199">
        <f ca="1">IF(S13=S12,1,0)</f>
        <v>1</v>
      </c>
      <c r="X6" s="212"/>
      <c r="Y6" s="200">
        <f ca="1">SUM(U6:X6)</f>
        <v>1</v>
      </c>
    </row>
    <row r="7" spans="1:26" x14ac:dyDescent="0.25">
      <c r="A7" s="144"/>
      <c r="B7" s="144"/>
      <c r="C7" s="144"/>
      <c r="F7" s="144"/>
      <c r="G7" s="144"/>
      <c r="H7" s="144"/>
      <c r="I7" s="144"/>
      <c r="J7" s="144"/>
      <c r="K7" s="144"/>
      <c r="L7" s="144"/>
      <c r="M7" s="144"/>
      <c r="N7" s="144"/>
      <c r="O7" s="144"/>
      <c r="P7" s="144"/>
      <c r="Q7" s="144"/>
      <c r="R7" s="144"/>
      <c r="S7" s="144"/>
      <c r="T7" s="144"/>
      <c r="U7" s="144"/>
      <c r="V7" s="144"/>
      <c r="W7" s="144"/>
      <c r="X7" s="144"/>
      <c r="Y7" s="144"/>
    </row>
    <row r="8" spans="1:26" x14ac:dyDescent="0.25">
      <c r="A8" s="144"/>
      <c r="B8" s="160"/>
      <c r="C8" s="161" t="s">
        <v>629</v>
      </c>
      <c r="D8" s="161"/>
      <c r="E8" s="161"/>
      <c r="F8" s="161"/>
      <c r="G8" s="175"/>
      <c r="H8" s="160"/>
      <c r="I8" s="161" t="s">
        <v>673</v>
      </c>
      <c r="J8" s="161"/>
      <c r="K8" s="161"/>
      <c r="L8" s="161"/>
      <c r="M8" s="175"/>
      <c r="N8" s="160"/>
      <c r="O8" s="161" t="s">
        <v>674</v>
      </c>
      <c r="P8" s="161"/>
      <c r="Q8" s="161"/>
      <c r="R8" s="161"/>
      <c r="S8" s="175"/>
      <c r="T8" s="160"/>
      <c r="U8" s="161" t="s">
        <v>675</v>
      </c>
      <c r="V8" s="161"/>
      <c r="W8" s="161"/>
      <c r="X8" s="161"/>
      <c r="Y8" s="175"/>
      <c r="Z8" s="226" t="s">
        <v>270</v>
      </c>
    </row>
    <row r="9" spans="1:26" x14ac:dyDescent="0.25">
      <c r="A9" s="144"/>
      <c r="B9" s="189"/>
      <c r="C9" s="190" t="str">
        <f>B2</f>
        <v>France</v>
      </c>
      <c r="D9" s="190" t="str">
        <f>C2</f>
        <v>Senegal</v>
      </c>
      <c r="E9" s="190" t="str">
        <f>D2</f>
        <v>Iraq</v>
      </c>
      <c r="F9" s="190" t="str">
        <f>E2</f>
        <v>Norway</v>
      </c>
      <c r="G9" s="191" t="s">
        <v>26</v>
      </c>
      <c r="H9" s="189"/>
      <c r="I9" s="190" t="str">
        <f>C9</f>
        <v>France</v>
      </c>
      <c r="J9" s="190" t="str">
        <f t="shared" ref="J9:L9" si="4">D9</f>
        <v>Senegal</v>
      </c>
      <c r="K9" s="190" t="str">
        <f t="shared" si="4"/>
        <v>Iraq</v>
      </c>
      <c r="L9" s="190" t="str">
        <f t="shared" si="4"/>
        <v>Norway</v>
      </c>
      <c r="M9" s="191" t="s">
        <v>26</v>
      </c>
      <c r="N9" s="189"/>
      <c r="O9" s="190" t="str">
        <f>I9</f>
        <v>France</v>
      </c>
      <c r="P9" s="190" t="str">
        <f t="shared" ref="P9:R9" si="5">J9</f>
        <v>Senegal</v>
      </c>
      <c r="Q9" s="190" t="str">
        <f t="shared" si="5"/>
        <v>Iraq</v>
      </c>
      <c r="R9" s="190" t="str">
        <f t="shared" si="5"/>
        <v>Norway</v>
      </c>
      <c r="S9" s="191" t="s">
        <v>26</v>
      </c>
      <c r="T9" s="189"/>
      <c r="U9" s="190" t="str">
        <f>O9</f>
        <v>France</v>
      </c>
      <c r="V9" s="190" t="str">
        <f t="shared" ref="V9:X9" si="6">P9</f>
        <v>Senegal</v>
      </c>
      <c r="W9" s="190" t="str">
        <f t="shared" si="6"/>
        <v>Iraq</v>
      </c>
      <c r="X9" s="190" t="str">
        <f t="shared" si="6"/>
        <v>Norway</v>
      </c>
      <c r="Y9" s="191" t="s">
        <v>26</v>
      </c>
      <c r="Z9" s="227" t="s">
        <v>309</v>
      </c>
    </row>
    <row r="10" spans="1:26" x14ac:dyDescent="0.25">
      <c r="A10" s="144"/>
      <c r="B10" s="189" t="str">
        <f>B2</f>
        <v>France</v>
      </c>
      <c r="C10" s="204"/>
      <c r="D10" s="190">
        <f ca="1">H37</f>
        <v>1</v>
      </c>
      <c r="E10" s="190">
        <f ca="1">H39</f>
        <v>3</v>
      </c>
      <c r="F10" s="190">
        <f ca="1">I42</f>
        <v>3</v>
      </c>
      <c r="G10" s="191">
        <f ca="1">SUM(C10:F10)</f>
        <v>7</v>
      </c>
      <c r="H10" s="189" t="str">
        <f>B10</f>
        <v>France</v>
      </c>
      <c r="I10" s="218">
        <f>C10+I17/100+I24/10000</f>
        <v>0</v>
      </c>
      <c r="J10" s="219">
        <f t="shared" ref="J10:L10" ca="1" si="7">D10+J17/100+J24/10000</f>
        <v>1.0001</v>
      </c>
      <c r="K10" s="219">
        <f t="shared" ca="1" si="7"/>
        <v>3</v>
      </c>
      <c r="L10" s="219">
        <f t="shared" ca="1" si="7"/>
        <v>3</v>
      </c>
      <c r="M10" s="220">
        <f ca="1">SUM(I10:L10)</f>
        <v>7.0000999999999998</v>
      </c>
      <c r="N10" s="189" t="str">
        <f>H10</f>
        <v>France</v>
      </c>
      <c r="O10" s="218">
        <f>I10+O17/100+O24/10000</f>
        <v>0</v>
      </c>
      <c r="P10" s="219">
        <f t="shared" ref="P10:R13" ca="1" si="8">J10+P17/100+P24/10000</f>
        <v>1.0002</v>
      </c>
      <c r="Q10" s="219">
        <f t="shared" ca="1" si="8"/>
        <v>3</v>
      </c>
      <c r="R10" s="219">
        <f t="shared" ca="1" si="8"/>
        <v>3</v>
      </c>
      <c r="S10" s="220">
        <f ca="1">SUM(O10:R10)</f>
        <v>7.0001999999999995</v>
      </c>
      <c r="T10" s="189" t="str">
        <f>N10</f>
        <v>France</v>
      </c>
      <c r="U10" s="218">
        <f>O10+U17/100+U24/10000</f>
        <v>0</v>
      </c>
      <c r="V10" s="219">
        <f t="shared" ref="V10:X13" ca="1" si="9">P10+V17/100+V24/10000</f>
        <v>1.0003</v>
      </c>
      <c r="W10" s="219">
        <f t="shared" ca="1" si="9"/>
        <v>3</v>
      </c>
      <c r="X10" s="219">
        <f t="shared" ca="1" si="9"/>
        <v>3</v>
      </c>
      <c r="Y10" s="220">
        <f ca="1">ROUND(SUM(U10:X10),8)</f>
        <v>7.0003000000000002</v>
      </c>
      <c r="Z10" s="224">
        <f ca="1">_xlfn.RANK.EQ(Y10,Y$10:Y$13,1)</f>
        <v>3</v>
      </c>
    </row>
    <row r="11" spans="1:26" x14ac:dyDescent="0.25">
      <c r="A11" s="144"/>
      <c r="B11" s="189" t="str">
        <f>C2</f>
        <v>Senegal</v>
      </c>
      <c r="C11" s="190">
        <f ca="1">I37</f>
        <v>1</v>
      </c>
      <c r="D11" s="204"/>
      <c r="E11" s="190">
        <f ca="1">H41</f>
        <v>3</v>
      </c>
      <c r="F11" s="190">
        <f ca="1">I40</f>
        <v>3</v>
      </c>
      <c r="G11" s="191">
        <f ca="1">SUM(C11:F11)</f>
        <v>7</v>
      </c>
      <c r="H11" s="189" t="str">
        <f t="shared" ref="H11:H13" si="10">B11</f>
        <v>Senegal</v>
      </c>
      <c r="I11" s="219">
        <f t="shared" ref="I11:L13" ca="1" si="11">C11+I18/100+I25/10000</f>
        <v>1.0001</v>
      </c>
      <c r="J11" s="218">
        <f t="shared" si="11"/>
        <v>0</v>
      </c>
      <c r="K11" s="219">
        <f t="shared" ca="1" si="11"/>
        <v>3</v>
      </c>
      <c r="L11" s="219">
        <f t="shared" ca="1" si="11"/>
        <v>3</v>
      </c>
      <c r="M11" s="220">
        <f ca="1">SUM(I11:L11)</f>
        <v>7.0000999999999998</v>
      </c>
      <c r="N11" s="189" t="str">
        <f t="shared" ref="N11:N13" si="12">H11</f>
        <v>Senegal</v>
      </c>
      <c r="O11" s="219">
        <f t="shared" ref="O11:O13" ca="1" si="13">I11+O18/100+O25/10000</f>
        <v>1.0002</v>
      </c>
      <c r="P11" s="218">
        <f t="shared" si="8"/>
        <v>0</v>
      </c>
      <c r="Q11" s="219">
        <f t="shared" ca="1" si="8"/>
        <v>3</v>
      </c>
      <c r="R11" s="219">
        <f t="shared" ca="1" si="8"/>
        <v>3</v>
      </c>
      <c r="S11" s="220">
        <f ca="1">SUM(O11:R11)</f>
        <v>7.0001999999999995</v>
      </c>
      <c r="T11" s="189" t="str">
        <f t="shared" ref="T11:T13" si="14">N11</f>
        <v>Senegal</v>
      </c>
      <c r="U11" s="219">
        <f t="shared" ref="U11:U13" ca="1" si="15">O11+U18/100+U25/10000</f>
        <v>1.0003</v>
      </c>
      <c r="V11" s="218">
        <f t="shared" si="9"/>
        <v>0</v>
      </c>
      <c r="W11" s="219">
        <f t="shared" ca="1" si="9"/>
        <v>3</v>
      </c>
      <c r="X11" s="219">
        <f t="shared" ca="1" si="9"/>
        <v>3</v>
      </c>
      <c r="Y11" s="220">
        <f t="shared" ref="Y11:Y13" ca="1" si="16">ROUND(SUM(U11:X11),8)</f>
        <v>7.0003000000000002</v>
      </c>
      <c r="Z11" s="224">
        <f t="shared" ref="Z11:Z13" ca="1" si="17">_xlfn.RANK.EQ(Y11,Y$10:Y$13,1)</f>
        <v>3</v>
      </c>
    </row>
    <row r="12" spans="1:26" x14ac:dyDescent="0.25">
      <c r="A12" s="144"/>
      <c r="B12" s="189" t="str">
        <f>D2</f>
        <v>Iraq</v>
      </c>
      <c r="C12" s="190">
        <f ca="1">I39</f>
        <v>0</v>
      </c>
      <c r="D12" s="190">
        <f ca="1">I41</f>
        <v>0</v>
      </c>
      <c r="E12" s="204"/>
      <c r="F12" s="190">
        <f ca="1">H38</f>
        <v>1</v>
      </c>
      <c r="G12" s="191">
        <f ca="1">SUM(C12:F12)</f>
        <v>1</v>
      </c>
      <c r="H12" s="189" t="str">
        <f t="shared" si="10"/>
        <v>Iraq</v>
      </c>
      <c r="I12" s="219">
        <f t="shared" ca="1" si="11"/>
        <v>0</v>
      </c>
      <c r="J12" s="219">
        <f t="shared" ca="1" si="11"/>
        <v>0</v>
      </c>
      <c r="K12" s="218">
        <f t="shared" si="11"/>
        <v>0</v>
      </c>
      <c r="L12" s="219">
        <f t="shared" ca="1" si="11"/>
        <v>1.0001</v>
      </c>
      <c r="M12" s="220">
        <f ca="1">SUM(I12:L12)</f>
        <v>1.0001</v>
      </c>
      <c r="N12" s="189" t="str">
        <f t="shared" si="12"/>
        <v>Iraq</v>
      </c>
      <c r="O12" s="219">
        <f t="shared" ca="1" si="13"/>
        <v>0</v>
      </c>
      <c r="P12" s="219">
        <f t="shared" ca="1" si="8"/>
        <v>0</v>
      </c>
      <c r="Q12" s="218">
        <f t="shared" si="8"/>
        <v>0</v>
      </c>
      <c r="R12" s="219">
        <f t="shared" ca="1" si="8"/>
        <v>1.0002</v>
      </c>
      <c r="S12" s="220">
        <f ca="1">SUM(O12:R12)</f>
        <v>1.0002</v>
      </c>
      <c r="T12" s="189" t="str">
        <f t="shared" si="14"/>
        <v>Iraq</v>
      </c>
      <c r="U12" s="219">
        <f t="shared" ca="1" si="15"/>
        <v>0</v>
      </c>
      <c r="V12" s="219">
        <f t="shared" ca="1" si="9"/>
        <v>0</v>
      </c>
      <c r="W12" s="218">
        <f t="shared" si="9"/>
        <v>0</v>
      </c>
      <c r="X12" s="219">
        <f t="shared" ca="1" si="9"/>
        <v>1.0003</v>
      </c>
      <c r="Y12" s="220">
        <f t="shared" ca="1" si="16"/>
        <v>1.0003</v>
      </c>
      <c r="Z12" s="224">
        <f t="shared" ca="1" si="17"/>
        <v>1</v>
      </c>
    </row>
    <row r="13" spans="1:26" x14ac:dyDescent="0.25">
      <c r="A13" s="144"/>
      <c r="B13" s="192" t="str">
        <f>E2</f>
        <v>Norway</v>
      </c>
      <c r="C13" s="193">
        <f ca="1">H42</f>
        <v>0</v>
      </c>
      <c r="D13" s="193">
        <f ca="1">H40</f>
        <v>0</v>
      </c>
      <c r="E13" s="193">
        <f ca="1">I38</f>
        <v>1</v>
      </c>
      <c r="F13" s="205"/>
      <c r="G13" s="194">
        <f ca="1">SUM(C13:F13)</f>
        <v>1</v>
      </c>
      <c r="H13" s="192" t="str">
        <f t="shared" si="10"/>
        <v>Norway</v>
      </c>
      <c r="I13" s="221">
        <f t="shared" ca="1" si="11"/>
        <v>0</v>
      </c>
      <c r="J13" s="221">
        <f t="shared" ca="1" si="11"/>
        <v>0</v>
      </c>
      <c r="K13" s="221">
        <f t="shared" ca="1" si="11"/>
        <v>1.0001</v>
      </c>
      <c r="L13" s="222">
        <f t="shared" si="11"/>
        <v>0</v>
      </c>
      <c r="M13" s="223">
        <f ca="1">SUM(I13:L13)</f>
        <v>1.0001</v>
      </c>
      <c r="N13" s="192" t="str">
        <f t="shared" si="12"/>
        <v>Norway</v>
      </c>
      <c r="O13" s="221">
        <f t="shared" ca="1" si="13"/>
        <v>0</v>
      </c>
      <c r="P13" s="221">
        <f t="shared" ca="1" si="8"/>
        <v>0</v>
      </c>
      <c r="Q13" s="221">
        <f t="shared" ca="1" si="8"/>
        <v>1.0002</v>
      </c>
      <c r="R13" s="222">
        <f t="shared" si="8"/>
        <v>0</v>
      </c>
      <c r="S13" s="223">
        <f ca="1">SUM(O13:R13)</f>
        <v>1.0002</v>
      </c>
      <c r="T13" s="192" t="str">
        <f t="shared" si="14"/>
        <v>Norway</v>
      </c>
      <c r="U13" s="221">
        <f t="shared" ca="1" si="15"/>
        <v>0</v>
      </c>
      <c r="V13" s="221">
        <f t="shared" ca="1" si="9"/>
        <v>0</v>
      </c>
      <c r="W13" s="221">
        <f t="shared" ca="1" si="9"/>
        <v>1.0003</v>
      </c>
      <c r="X13" s="222">
        <f t="shared" si="9"/>
        <v>0</v>
      </c>
      <c r="Y13" s="223">
        <f t="shared" ca="1" si="16"/>
        <v>1.0003</v>
      </c>
      <c r="Z13" s="225">
        <f t="shared" ca="1" si="17"/>
        <v>1</v>
      </c>
    </row>
    <row r="14" spans="1:26"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row>
    <row r="15" spans="1:26" x14ac:dyDescent="0.25">
      <c r="A15" s="144"/>
      <c r="B15" s="160"/>
      <c r="C15" s="161" t="s">
        <v>627</v>
      </c>
      <c r="D15" s="161"/>
      <c r="E15" s="161"/>
      <c r="F15" s="161"/>
      <c r="G15" s="175"/>
      <c r="H15" s="160"/>
      <c r="I15" s="161"/>
      <c r="J15" s="161" t="s">
        <v>628</v>
      </c>
      <c r="K15" s="161"/>
      <c r="L15" s="161"/>
      <c r="M15" s="162"/>
      <c r="N15" s="160"/>
      <c r="O15" s="161"/>
      <c r="P15" s="161" t="s">
        <v>628</v>
      </c>
      <c r="Q15" s="161"/>
      <c r="R15" s="161"/>
      <c r="S15" s="162"/>
      <c r="T15" s="160"/>
      <c r="U15" s="161"/>
      <c r="V15" s="161" t="s">
        <v>628</v>
      </c>
      <c r="W15" s="161"/>
      <c r="X15" s="161"/>
      <c r="Y15" s="162"/>
    </row>
    <row r="16" spans="1:26" x14ac:dyDescent="0.25">
      <c r="A16" s="144"/>
      <c r="B16" s="176"/>
      <c r="C16" s="177" t="str">
        <f>B2</f>
        <v>France</v>
      </c>
      <c r="D16" s="177" t="str">
        <f>C2</f>
        <v>Senegal</v>
      </c>
      <c r="E16" s="177" t="str">
        <f>D2</f>
        <v>Iraq</v>
      </c>
      <c r="F16" s="177" t="str">
        <f>E2</f>
        <v>Norway</v>
      </c>
      <c r="G16" s="178" t="s">
        <v>26</v>
      </c>
      <c r="H16" s="183"/>
      <c r="I16" s="184" t="str">
        <f>C16</f>
        <v>France</v>
      </c>
      <c r="J16" s="184" t="str">
        <f t="shared" ref="J16:L16" si="18">D16</f>
        <v>Senegal</v>
      </c>
      <c r="K16" s="184" t="str">
        <f t="shared" si="18"/>
        <v>Iraq</v>
      </c>
      <c r="L16" s="184" t="str">
        <f t="shared" si="18"/>
        <v>Norway</v>
      </c>
      <c r="M16" s="185" t="s">
        <v>26</v>
      </c>
      <c r="N16" s="183"/>
      <c r="O16" s="184" t="str">
        <f>I16</f>
        <v>France</v>
      </c>
      <c r="P16" s="184" t="str">
        <f t="shared" ref="P16:R16" si="19">J16</f>
        <v>Senegal</v>
      </c>
      <c r="Q16" s="184" t="str">
        <f t="shared" si="19"/>
        <v>Iraq</v>
      </c>
      <c r="R16" s="184" t="str">
        <f t="shared" si="19"/>
        <v>Norway</v>
      </c>
      <c r="S16" s="185" t="s">
        <v>26</v>
      </c>
      <c r="T16" s="183"/>
      <c r="U16" s="184" t="str">
        <f>O16</f>
        <v>France</v>
      </c>
      <c r="V16" s="184" t="str">
        <f t="shared" ref="V16:X16" si="20">P16</f>
        <v>Senegal</v>
      </c>
      <c r="W16" s="184" t="str">
        <f t="shared" si="20"/>
        <v>Iraq</v>
      </c>
      <c r="X16" s="184" t="str">
        <f t="shared" si="20"/>
        <v>Norway</v>
      </c>
      <c r="Y16" s="185" t="s">
        <v>26</v>
      </c>
    </row>
    <row r="17" spans="1:25" x14ac:dyDescent="0.25">
      <c r="A17" s="144"/>
      <c r="B17" s="176" t="str">
        <f>B2</f>
        <v>France</v>
      </c>
      <c r="C17" s="206"/>
      <c r="D17" s="179">
        <f ca="1">IFERROR(F37-G37,0)</f>
        <v>0</v>
      </c>
      <c r="E17" s="179">
        <f ca="1">IFERROR(F39-G39,0)</f>
        <v>2</v>
      </c>
      <c r="F17" s="179">
        <f ca="1">IFERROR(G42-F42,0)</f>
        <v>1</v>
      </c>
      <c r="G17" s="178">
        <f ca="1">SUM(C17:F17)</f>
        <v>3</v>
      </c>
      <c r="H17" s="183" t="str">
        <f>B17</f>
        <v>France</v>
      </c>
      <c r="I17" s="208"/>
      <c r="J17" s="184">
        <f ca="1">D17*J3</f>
        <v>0</v>
      </c>
      <c r="K17" s="184">
        <f ca="1">E17*K3</f>
        <v>0</v>
      </c>
      <c r="L17" s="184">
        <f ca="1">F17*L3</f>
        <v>0</v>
      </c>
      <c r="M17" s="185">
        <f ca="1">SUM(I17:L17)</f>
        <v>0</v>
      </c>
      <c r="N17" s="183" t="str">
        <f>H17</f>
        <v>France</v>
      </c>
      <c r="O17" s="208"/>
      <c r="P17" s="184">
        <f ca="1">J17*P3</f>
        <v>0</v>
      </c>
      <c r="Q17" s="184">
        <f ca="1">K17*Q3</f>
        <v>0</v>
      </c>
      <c r="R17" s="184">
        <f ca="1">L17*R3</f>
        <v>0</v>
      </c>
      <c r="S17" s="185">
        <f ca="1">SUM(O17:R17)</f>
        <v>0</v>
      </c>
      <c r="T17" s="183" t="str">
        <f>N17</f>
        <v>France</v>
      </c>
      <c r="U17" s="208"/>
      <c r="V17" s="184">
        <f ca="1">P17*V3</f>
        <v>0</v>
      </c>
      <c r="W17" s="184">
        <f ca="1">Q17*W3</f>
        <v>0</v>
      </c>
      <c r="X17" s="184">
        <f ca="1">R17*X3</f>
        <v>0</v>
      </c>
      <c r="Y17" s="185">
        <f ca="1">SUM(U17:X17)</f>
        <v>0</v>
      </c>
    </row>
    <row r="18" spans="1:25" x14ac:dyDescent="0.25">
      <c r="A18" s="144"/>
      <c r="B18" s="176" t="str">
        <f>C2</f>
        <v>Senegal</v>
      </c>
      <c r="C18" s="179">
        <f ca="1">IFERROR(G37-F37,0)</f>
        <v>0</v>
      </c>
      <c r="D18" s="206"/>
      <c r="E18" s="179">
        <f ca="1">IFERROR(F41-G41,0)</f>
        <v>2</v>
      </c>
      <c r="F18" s="179">
        <f ca="1">IFERROR(G40-F40,0)</f>
        <v>4</v>
      </c>
      <c r="G18" s="178">
        <f ca="1">SUM(C18:F18)</f>
        <v>6</v>
      </c>
      <c r="H18" s="183" t="str">
        <f t="shared" ref="H18:H20" si="21">B18</f>
        <v>Senegal</v>
      </c>
      <c r="I18" s="184">
        <f ca="1">C18*I4</f>
        <v>0</v>
      </c>
      <c r="J18" s="208"/>
      <c r="K18" s="184">
        <f ca="1">E18*K4</f>
        <v>0</v>
      </c>
      <c r="L18" s="184">
        <f ca="1">F18*L4</f>
        <v>0</v>
      </c>
      <c r="M18" s="185">
        <f ca="1">SUM(I18:L18)</f>
        <v>0</v>
      </c>
      <c r="N18" s="183" t="str">
        <f t="shared" ref="N18:N20" si="22">H18</f>
        <v>Senegal</v>
      </c>
      <c r="O18" s="184">
        <f ca="1">I18*O4</f>
        <v>0</v>
      </c>
      <c r="P18" s="208"/>
      <c r="Q18" s="184">
        <f ca="1">K18*Q4</f>
        <v>0</v>
      </c>
      <c r="R18" s="184">
        <f ca="1">L18*R4</f>
        <v>0</v>
      </c>
      <c r="S18" s="185">
        <f ca="1">SUM(O18:R18)</f>
        <v>0</v>
      </c>
      <c r="T18" s="183" t="str">
        <f t="shared" ref="T18:T20" si="23">N18</f>
        <v>Senegal</v>
      </c>
      <c r="U18" s="184">
        <f ca="1">O18*U4</f>
        <v>0</v>
      </c>
      <c r="V18" s="208"/>
      <c r="W18" s="184">
        <f ca="1">Q18*W4</f>
        <v>0</v>
      </c>
      <c r="X18" s="184">
        <f ca="1">R18*X4</f>
        <v>0</v>
      </c>
      <c r="Y18" s="185">
        <f ca="1">SUM(U18:X18)</f>
        <v>0</v>
      </c>
    </row>
    <row r="19" spans="1:25" x14ac:dyDescent="0.25">
      <c r="A19" s="144"/>
      <c r="B19" s="176" t="str">
        <f>D2</f>
        <v>Iraq</v>
      </c>
      <c r="C19" s="179">
        <f ca="1">IFERROR(G39-F39,0)</f>
        <v>-2</v>
      </c>
      <c r="D19" s="179">
        <f ca="1">IFERROR(G41-F41,0)</f>
        <v>-2</v>
      </c>
      <c r="E19" s="206"/>
      <c r="F19" s="179">
        <f ca="1">IFERROR(F38-G38,0)</f>
        <v>0</v>
      </c>
      <c r="G19" s="178">
        <f ca="1">SUM(C19:F19)</f>
        <v>-4</v>
      </c>
      <c r="H19" s="183" t="str">
        <f t="shared" si="21"/>
        <v>Iraq</v>
      </c>
      <c r="I19" s="184">
        <f ca="1">C19*I5</f>
        <v>0</v>
      </c>
      <c r="J19" s="184">
        <f ca="1">D19*J5</f>
        <v>0</v>
      </c>
      <c r="K19" s="208"/>
      <c r="L19" s="184">
        <f ca="1">F19*L5</f>
        <v>0</v>
      </c>
      <c r="M19" s="185">
        <f ca="1">SUM(I19:L19)</f>
        <v>0</v>
      </c>
      <c r="N19" s="183" t="str">
        <f t="shared" si="22"/>
        <v>Iraq</v>
      </c>
      <c r="O19" s="184">
        <f ca="1">I19*O5</f>
        <v>0</v>
      </c>
      <c r="P19" s="184">
        <f ca="1">J19*P5</f>
        <v>0</v>
      </c>
      <c r="Q19" s="208"/>
      <c r="R19" s="184">
        <f ca="1">L19*R5</f>
        <v>0</v>
      </c>
      <c r="S19" s="185">
        <f ca="1">SUM(O19:R19)</f>
        <v>0</v>
      </c>
      <c r="T19" s="183" t="str">
        <f t="shared" si="23"/>
        <v>Iraq</v>
      </c>
      <c r="U19" s="184">
        <f ca="1">O19*U5</f>
        <v>0</v>
      </c>
      <c r="V19" s="184">
        <f ca="1">P19*V5</f>
        <v>0</v>
      </c>
      <c r="W19" s="208"/>
      <c r="X19" s="184">
        <f ca="1">R19*X5</f>
        <v>0</v>
      </c>
      <c r="Y19" s="185">
        <f ca="1">SUM(U19:X19)</f>
        <v>0</v>
      </c>
    </row>
    <row r="20" spans="1:25" x14ac:dyDescent="0.25">
      <c r="A20" s="144"/>
      <c r="B20" s="180" t="str">
        <f>E2</f>
        <v>Norway</v>
      </c>
      <c r="C20" s="181">
        <f ca="1">IFERROR(F42-G42,0)</f>
        <v>-1</v>
      </c>
      <c r="D20" s="181">
        <f ca="1">IFERROR(F40-G40,0)</f>
        <v>-4</v>
      </c>
      <c r="E20" s="181">
        <f ca="1">IFERROR(G38-F38,0)</f>
        <v>0</v>
      </c>
      <c r="F20" s="207"/>
      <c r="G20" s="182">
        <f ca="1">SUM(C20:F20)</f>
        <v>-5</v>
      </c>
      <c r="H20" s="186" t="str">
        <f t="shared" si="21"/>
        <v>Norway</v>
      </c>
      <c r="I20" s="187">
        <f ca="1">C20*I6</f>
        <v>0</v>
      </c>
      <c r="J20" s="187">
        <f ca="1">D20*J6</f>
        <v>0</v>
      </c>
      <c r="K20" s="187">
        <f ca="1">E20*K6</f>
        <v>0</v>
      </c>
      <c r="L20" s="213"/>
      <c r="M20" s="188">
        <f ca="1">SUM(I20:L20)</f>
        <v>0</v>
      </c>
      <c r="N20" s="186" t="str">
        <f t="shared" si="22"/>
        <v>Norway</v>
      </c>
      <c r="O20" s="187">
        <f ca="1">I20*O6</f>
        <v>0</v>
      </c>
      <c r="P20" s="187">
        <f ca="1">J20*P6</f>
        <v>0</v>
      </c>
      <c r="Q20" s="187">
        <f ca="1">K20*Q6</f>
        <v>0</v>
      </c>
      <c r="R20" s="213"/>
      <c r="S20" s="188">
        <f ca="1">SUM(O20:R20)</f>
        <v>0</v>
      </c>
      <c r="T20" s="186" t="str">
        <f t="shared" si="23"/>
        <v>Norway</v>
      </c>
      <c r="U20" s="187">
        <f ca="1">O20*U6</f>
        <v>0</v>
      </c>
      <c r="V20" s="187">
        <f ca="1">P20*V6</f>
        <v>0</v>
      </c>
      <c r="W20" s="187">
        <f ca="1">Q20*W6</f>
        <v>0</v>
      </c>
      <c r="X20" s="213"/>
      <c r="Y20" s="188">
        <f ca="1">SUM(U20:X20)</f>
        <v>0</v>
      </c>
    </row>
    <row r="21" spans="1:25" x14ac:dyDescent="0.25">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row>
    <row r="22" spans="1:25" x14ac:dyDescent="0.25">
      <c r="A22" s="143"/>
      <c r="B22" s="160"/>
      <c r="C22" s="161" t="s">
        <v>625</v>
      </c>
      <c r="D22" s="161"/>
      <c r="E22" s="161"/>
      <c r="F22" s="161"/>
      <c r="G22" s="162"/>
      <c r="H22" s="160"/>
      <c r="I22" s="161"/>
      <c r="J22" s="161" t="s">
        <v>626</v>
      </c>
      <c r="K22" s="161"/>
      <c r="L22" s="161"/>
      <c r="M22" s="162"/>
      <c r="N22" s="160"/>
      <c r="O22" s="161"/>
      <c r="P22" s="161" t="s">
        <v>626</v>
      </c>
      <c r="Q22" s="161"/>
      <c r="R22" s="161"/>
      <c r="S22" s="162"/>
      <c r="T22" s="160"/>
      <c r="U22" s="161"/>
      <c r="V22" s="161" t="s">
        <v>626</v>
      </c>
      <c r="W22" s="161"/>
      <c r="X22" s="161"/>
      <c r="Y22" s="162"/>
    </row>
    <row r="23" spans="1:25" x14ac:dyDescent="0.25">
      <c r="A23" s="143"/>
      <c r="B23" s="163"/>
      <c r="C23" s="164" t="str">
        <f>B2</f>
        <v>France</v>
      </c>
      <c r="D23" s="164" t="str">
        <f>C2</f>
        <v>Senegal</v>
      </c>
      <c r="E23" s="164" t="str">
        <f>D2</f>
        <v>Iraq</v>
      </c>
      <c r="F23" s="164" t="str">
        <f>E2</f>
        <v>Norway</v>
      </c>
      <c r="G23" s="165" t="s">
        <v>26</v>
      </c>
      <c r="H23" s="169"/>
      <c r="I23" s="170" t="str">
        <f>C23</f>
        <v>France</v>
      </c>
      <c r="J23" s="170" t="str">
        <f t="shared" ref="J23:L23" si="24">D23</f>
        <v>Senegal</v>
      </c>
      <c r="K23" s="170" t="str">
        <f t="shared" si="24"/>
        <v>Iraq</v>
      </c>
      <c r="L23" s="170" t="str">
        <f t="shared" si="24"/>
        <v>Norway</v>
      </c>
      <c r="M23" s="171" t="s">
        <v>26</v>
      </c>
      <c r="N23" s="169"/>
      <c r="O23" s="170" t="str">
        <f>I23</f>
        <v>France</v>
      </c>
      <c r="P23" s="170" t="str">
        <f t="shared" ref="P23:R23" si="25">J23</f>
        <v>Senegal</v>
      </c>
      <c r="Q23" s="170" t="str">
        <f t="shared" si="25"/>
        <v>Iraq</v>
      </c>
      <c r="R23" s="170" t="str">
        <f t="shared" si="25"/>
        <v>Norway</v>
      </c>
      <c r="S23" s="171" t="s">
        <v>26</v>
      </c>
      <c r="T23" s="169"/>
      <c r="U23" s="170" t="str">
        <f>O23</f>
        <v>France</v>
      </c>
      <c r="V23" s="170" t="str">
        <f t="shared" ref="V23:X23" si="26">P23</f>
        <v>Senegal</v>
      </c>
      <c r="W23" s="170" t="str">
        <f t="shared" si="26"/>
        <v>Iraq</v>
      </c>
      <c r="X23" s="170" t="str">
        <f t="shared" si="26"/>
        <v>Norway</v>
      </c>
      <c r="Y23" s="171" t="s">
        <v>26</v>
      </c>
    </row>
    <row r="24" spans="1:25" x14ac:dyDescent="0.25">
      <c r="A24" s="143"/>
      <c r="B24" s="163" t="str">
        <f>B2</f>
        <v>France</v>
      </c>
      <c r="C24" s="209"/>
      <c r="D24" s="164">
        <f ca="1">IF(F37="",0,F37)</f>
        <v>1</v>
      </c>
      <c r="E24" s="164">
        <f ca="1">IF(F39="",0,F39)</f>
        <v>2</v>
      </c>
      <c r="F24" s="164">
        <f ca="1">IF(G42="",0,G42)</f>
        <v>2</v>
      </c>
      <c r="G24" s="165">
        <f ca="1">SUM(C24:F24)</f>
        <v>5</v>
      </c>
      <c r="H24" s="169" t="str">
        <f>B24</f>
        <v>France</v>
      </c>
      <c r="I24" s="214"/>
      <c r="J24" s="170">
        <f ca="1">D24*J3</f>
        <v>1</v>
      </c>
      <c r="K24" s="170">
        <f ca="1">E24*K3</f>
        <v>0</v>
      </c>
      <c r="L24" s="170">
        <f ca="1">F24*L3</f>
        <v>0</v>
      </c>
      <c r="M24" s="171">
        <f ca="1">SUM(I24:L24)</f>
        <v>1</v>
      </c>
      <c r="N24" s="169" t="str">
        <f>H24</f>
        <v>France</v>
      </c>
      <c r="O24" s="214"/>
      <c r="P24" s="170">
        <f ca="1">J24*P3</f>
        <v>1</v>
      </c>
      <c r="Q24" s="170">
        <f ca="1">K24*Q3</f>
        <v>0</v>
      </c>
      <c r="R24" s="170">
        <f ca="1">L24*R3</f>
        <v>0</v>
      </c>
      <c r="S24" s="171">
        <f ca="1">SUM(O24:R24)</f>
        <v>1</v>
      </c>
      <c r="T24" s="169" t="str">
        <f>N24</f>
        <v>France</v>
      </c>
      <c r="U24" s="214"/>
      <c r="V24" s="170">
        <f ca="1">P24*V3</f>
        <v>1</v>
      </c>
      <c r="W24" s="170">
        <f ca="1">Q24*W3</f>
        <v>0</v>
      </c>
      <c r="X24" s="170">
        <f ca="1">R24*X3</f>
        <v>0</v>
      </c>
      <c r="Y24" s="171">
        <f ca="1">SUM(U24:X24)</f>
        <v>1</v>
      </c>
    </row>
    <row r="25" spans="1:25" x14ac:dyDescent="0.25">
      <c r="A25" s="143"/>
      <c r="B25" s="163" t="str">
        <f>C2</f>
        <v>Senegal</v>
      </c>
      <c r="C25" s="164">
        <f ca="1">IF(G37="",0,G37)</f>
        <v>1</v>
      </c>
      <c r="D25" s="209"/>
      <c r="E25" s="164">
        <f ca="1">IF(F41="",0,F41)</f>
        <v>2</v>
      </c>
      <c r="F25" s="164">
        <f ca="1">IF(G40="",0,G40)</f>
        <v>4</v>
      </c>
      <c r="G25" s="165">
        <f ca="1">SUM(C25:F25)</f>
        <v>7</v>
      </c>
      <c r="H25" s="169" t="str">
        <f t="shared" ref="H25:H27" si="27">B25</f>
        <v>Senegal</v>
      </c>
      <c r="I25" s="170">
        <f ca="1">C25*I4</f>
        <v>1</v>
      </c>
      <c r="J25" s="214"/>
      <c r="K25" s="170">
        <f ca="1">E25*K4</f>
        <v>0</v>
      </c>
      <c r="L25" s="170">
        <f ca="1">F25*L4</f>
        <v>0</v>
      </c>
      <c r="M25" s="171">
        <f ca="1">SUM(I25:L25)</f>
        <v>1</v>
      </c>
      <c r="N25" s="169" t="str">
        <f t="shared" ref="N25:N27" si="28">H25</f>
        <v>Senegal</v>
      </c>
      <c r="O25" s="170">
        <f ca="1">I25*O4</f>
        <v>1</v>
      </c>
      <c r="P25" s="214"/>
      <c r="Q25" s="170">
        <f ca="1">K25*Q4</f>
        <v>0</v>
      </c>
      <c r="R25" s="170">
        <f ca="1">L25*R4</f>
        <v>0</v>
      </c>
      <c r="S25" s="171">
        <f ca="1">SUM(O25:R25)</f>
        <v>1</v>
      </c>
      <c r="T25" s="169" t="str">
        <f t="shared" ref="T25:T27" si="29">N25</f>
        <v>Senegal</v>
      </c>
      <c r="U25" s="170">
        <f ca="1">O25*U4</f>
        <v>1</v>
      </c>
      <c r="V25" s="214"/>
      <c r="W25" s="170">
        <f ca="1">Q25*W4</f>
        <v>0</v>
      </c>
      <c r="X25" s="170">
        <f ca="1">R25*X4</f>
        <v>0</v>
      </c>
      <c r="Y25" s="171">
        <f ca="1">SUM(U25:X25)</f>
        <v>1</v>
      </c>
    </row>
    <row r="26" spans="1:25" x14ac:dyDescent="0.25">
      <c r="A26" s="143"/>
      <c r="B26" s="163" t="str">
        <f>D2</f>
        <v>Iraq</v>
      </c>
      <c r="C26" s="164">
        <f ca="1">IF(G39="",0,G39)</f>
        <v>0</v>
      </c>
      <c r="D26" s="164">
        <f ca="1">IF(G41="",0,G41)</f>
        <v>0</v>
      </c>
      <c r="E26" s="209"/>
      <c r="F26" s="164">
        <f ca="1">IF(F38="",0,F38)</f>
        <v>1</v>
      </c>
      <c r="G26" s="165">
        <f ca="1">SUM(C26:F26)</f>
        <v>1</v>
      </c>
      <c r="H26" s="169" t="str">
        <f t="shared" si="27"/>
        <v>Iraq</v>
      </c>
      <c r="I26" s="170">
        <f ca="1">C26*I5</f>
        <v>0</v>
      </c>
      <c r="J26" s="170">
        <f ca="1">D26*J5</f>
        <v>0</v>
      </c>
      <c r="K26" s="214"/>
      <c r="L26" s="170">
        <f ca="1">F26*L5</f>
        <v>1</v>
      </c>
      <c r="M26" s="171">
        <f ca="1">SUM(I26:L26)</f>
        <v>1</v>
      </c>
      <c r="N26" s="169" t="str">
        <f t="shared" si="28"/>
        <v>Iraq</v>
      </c>
      <c r="O26" s="170">
        <f ca="1">I26*O5</f>
        <v>0</v>
      </c>
      <c r="P26" s="170">
        <f ca="1">J26*P5</f>
        <v>0</v>
      </c>
      <c r="Q26" s="214"/>
      <c r="R26" s="170">
        <f ca="1">L26*R5</f>
        <v>1</v>
      </c>
      <c r="S26" s="171">
        <f ca="1">SUM(O26:R26)</f>
        <v>1</v>
      </c>
      <c r="T26" s="169" t="str">
        <f t="shared" si="29"/>
        <v>Iraq</v>
      </c>
      <c r="U26" s="170">
        <f ca="1">O26*U5</f>
        <v>0</v>
      </c>
      <c r="V26" s="170">
        <f ca="1">P26*V5</f>
        <v>0</v>
      </c>
      <c r="W26" s="214"/>
      <c r="X26" s="170">
        <f ca="1">R26*X5</f>
        <v>1</v>
      </c>
      <c r="Y26" s="171">
        <f ca="1">SUM(U26:X26)</f>
        <v>1</v>
      </c>
    </row>
    <row r="27" spans="1:25" x14ac:dyDescent="0.25">
      <c r="A27" s="143"/>
      <c r="B27" s="166" t="str">
        <f>E2</f>
        <v>Norway</v>
      </c>
      <c r="C27" s="167">
        <f ca="1">IF(F42="",0,F42)</f>
        <v>1</v>
      </c>
      <c r="D27" s="167">
        <f ca="1">IF(F40="",0,F40)</f>
        <v>0</v>
      </c>
      <c r="E27" s="167">
        <f ca="1">IF(G38="",0,G38)</f>
        <v>1</v>
      </c>
      <c r="F27" s="210"/>
      <c r="G27" s="168">
        <f ca="1">SUM(C27:F27)</f>
        <v>2</v>
      </c>
      <c r="H27" s="172" t="str">
        <f t="shared" si="27"/>
        <v>Norway</v>
      </c>
      <c r="I27" s="173">
        <f ca="1">C27*I6</f>
        <v>0</v>
      </c>
      <c r="J27" s="173">
        <f ca="1">D27*J6</f>
        <v>0</v>
      </c>
      <c r="K27" s="173">
        <f ca="1">E27*K6</f>
        <v>1</v>
      </c>
      <c r="L27" s="215"/>
      <c r="M27" s="174">
        <f ca="1">SUM(I27:L27)</f>
        <v>1</v>
      </c>
      <c r="N27" s="172" t="str">
        <f t="shared" si="28"/>
        <v>Norway</v>
      </c>
      <c r="O27" s="173">
        <f ca="1">I27*O6</f>
        <v>0</v>
      </c>
      <c r="P27" s="173">
        <f ca="1">J27*P6</f>
        <v>0</v>
      </c>
      <c r="Q27" s="173">
        <f ca="1">K27*Q6</f>
        <v>1</v>
      </c>
      <c r="R27" s="215"/>
      <c r="S27" s="174">
        <f ca="1">SUM(O27:R27)</f>
        <v>1</v>
      </c>
      <c r="T27" s="172" t="str">
        <f t="shared" si="29"/>
        <v>Norway</v>
      </c>
      <c r="U27" s="173">
        <f ca="1">O27*U6</f>
        <v>0</v>
      </c>
      <c r="V27" s="173">
        <f ca="1">P27*V6</f>
        <v>0</v>
      </c>
      <c r="W27" s="173">
        <f ca="1">Q27*W6</f>
        <v>1</v>
      </c>
      <c r="X27" s="215"/>
      <c r="Y27" s="174">
        <f ca="1">SUM(U27:X27)</f>
        <v>1</v>
      </c>
    </row>
    <row r="28" spans="1:25" x14ac:dyDescent="0.25">
      <c r="A28" s="144"/>
      <c r="B28" s="145"/>
      <c r="C28" s="145"/>
      <c r="D28" s="145"/>
      <c r="E28" s="145"/>
      <c r="F28" s="145"/>
      <c r="G28" s="146"/>
      <c r="H28" s="143"/>
      <c r="I28" s="145"/>
      <c r="J28" s="145"/>
      <c r="K28" s="145"/>
      <c r="L28" s="145"/>
      <c r="M28" s="145"/>
      <c r="N28" s="143"/>
      <c r="O28" s="143"/>
      <c r="P28" s="143"/>
    </row>
    <row r="29" spans="1:25" x14ac:dyDescent="0.25">
      <c r="A29" s="230" t="s">
        <v>270</v>
      </c>
      <c r="B29" s="231" t="s">
        <v>310</v>
      </c>
      <c r="C29" s="232" t="s">
        <v>304</v>
      </c>
      <c r="D29" s="300" t="s">
        <v>669</v>
      </c>
      <c r="E29" s="300" t="s">
        <v>670</v>
      </c>
      <c r="F29" s="300" t="s">
        <v>671</v>
      </c>
      <c r="G29" s="232" t="s">
        <v>631</v>
      </c>
      <c r="H29" s="232" t="s">
        <v>632</v>
      </c>
      <c r="I29" s="232" t="s">
        <v>633</v>
      </c>
      <c r="J29" s="232" t="s">
        <v>676</v>
      </c>
      <c r="K29" s="232" t="s">
        <v>411</v>
      </c>
      <c r="L29" s="232" t="s">
        <v>661</v>
      </c>
      <c r="M29" s="232" t="s">
        <v>634</v>
      </c>
      <c r="N29" s="233" t="s">
        <v>635</v>
      </c>
    </row>
    <row r="30" spans="1:25" x14ac:dyDescent="0.25">
      <c r="A30" s="234">
        <f ca="1">N30</f>
        <v>2</v>
      </c>
      <c r="B30" s="235" t="str">
        <f>B2</f>
        <v>France</v>
      </c>
      <c r="C30" s="236">
        <v>3</v>
      </c>
      <c r="D30" s="236">
        <f ca="1">COUNTIF(FWinners,B30)</f>
        <v>2</v>
      </c>
      <c r="E30" s="236">
        <f ca="1">COUNTIF(FDraws,"D"&amp;B30)</f>
        <v>1</v>
      </c>
      <c r="F30" s="236">
        <f ca="1">COUNTIF(FLosers,B30)</f>
        <v>0</v>
      </c>
      <c r="G30" s="236">
        <f ca="1">F37+F39+G42</f>
        <v>5</v>
      </c>
      <c r="H30" s="236">
        <f ca="1">G37+G39+F42</f>
        <v>2</v>
      </c>
      <c r="I30" s="236">
        <f ca="1">G30-H30</f>
        <v>3</v>
      </c>
      <c r="J30" s="237">
        <f ca="1">Z10</f>
        <v>3</v>
      </c>
      <c r="K30" s="236">
        <f>VLOOKUP($B30,Lookup10,11,FALSE)</f>
        <v>0</v>
      </c>
      <c r="L30" s="236">
        <f>VLOOKUP($B30,Lookup11,2,FALSE)</f>
        <v>3</v>
      </c>
      <c r="M30" s="238">
        <f ca="1">ROUND(G30*G$34+I30*I$34+J30*J$34-K30*K$34-L30*L$34,8)</f>
        <v>30304.9997</v>
      </c>
      <c r="N30" s="239">
        <f ca="1">RANK(M30,M$30:M$33,0)</f>
        <v>2</v>
      </c>
    </row>
    <row r="31" spans="1:25" x14ac:dyDescent="0.25">
      <c r="A31" s="234">
        <f ca="1">N31</f>
        <v>1</v>
      </c>
      <c r="B31" s="235" t="str">
        <f>C2</f>
        <v>Senegal</v>
      </c>
      <c r="C31" s="236">
        <v>3</v>
      </c>
      <c r="D31" s="236">
        <f ca="1">COUNTIF(FWinners,B31)</f>
        <v>2</v>
      </c>
      <c r="E31" s="236">
        <f ca="1">COUNTIF(FDraws,"D"&amp;B31)</f>
        <v>1</v>
      </c>
      <c r="F31" s="236">
        <f ca="1">COUNTIF(FLosers,B31)</f>
        <v>0</v>
      </c>
      <c r="G31" s="236">
        <f ca="1">G37+G40+F41</f>
        <v>7</v>
      </c>
      <c r="H31" s="236">
        <f ca="1">F37+F40+G41</f>
        <v>1</v>
      </c>
      <c r="I31" s="236">
        <f t="shared" ref="I31:I33" ca="1" si="30">G31-H31</f>
        <v>6</v>
      </c>
      <c r="J31" s="237">
        <f ca="1">Z11</f>
        <v>3</v>
      </c>
      <c r="K31" s="236">
        <f>VLOOKUP($B31,Lookup10,11,FALSE)</f>
        <v>0</v>
      </c>
      <c r="L31" s="236">
        <f>VLOOKUP($B31,Lookup11,2,FALSE)</f>
        <v>14</v>
      </c>
      <c r="M31" s="238">
        <f ca="1">ROUND(G31*G$34+I31*I$34+J31*J$34-K31*K$34-L31*L$34,8)</f>
        <v>30606.998599999999</v>
      </c>
      <c r="N31" s="239">
        <f ca="1">RANK(M31,M$30:M$33,0)</f>
        <v>1</v>
      </c>
    </row>
    <row r="32" spans="1:25" x14ac:dyDescent="0.25">
      <c r="A32" s="234">
        <f ca="1">N32</f>
        <v>3</v>
      </c>
      <c r="B32" s="235" t="str">
        <f>D2</f>
        <v>Iraq</v>
      </c>
      <c r="C32" s="236">
        <v>3</v>
      </c>
      <c r="D32" s="236">
        <f ca="1">COUNTIF(FWinners,B32)</f>
        <v>0</v>
      </c>
      <c r="E32" s="236">
        <f ca="1">COUNTIF(FDraws,"D"&amp;B32)</f>
        <v>1</v>
      </c>
      <c r="F32" s="236">
        <f ca="1">COUNTIF(FLosers,B32)</f>
        <v>2</v>
      </c>
      <c r="G32" s="236">
        <f ca="1">F38+G39+G41</f>
        <v>1</v>
      </c>
      <c r="H32" s="236">
        <f ca="1">G38+F39+F41</f>
        <v>5</v>
      </c>
      <c r="I32" s="236">
        <f t="shared" ca="1" si="30"/>
        <v>-4</v>
      </c>
      <c r="J32" s="237">
        <f ca="1">Z12</f>
        <v>1</v>
      </c>
      <c r="K32" s="236">
        <f>VLOOKUP($B32,Lookup10,11,FALSE)</f>
        <v>0</v>
      </c>
      <c r="L32" s="236">
        <f>VLOOKUP($B32,Lookup11,2,FALSE)</f>
        <v>39</v>
      </c>
      <c r="M32" s="238">
        <f ca="1">ROUND(G32*G$34+I32*I$34+J32*J$34-K32*K$34-L32*L$34,8)</f>
        <v>9600.9961000000003</v>
      </c>
      <c r="N32" s="239">
        <f ca="1">RANK(M32,M$30:M$33,0)</f>
        <v>3</v>
      </c>
    </row>
    <row r="33" spans="1:16" x14ac:dyDescent="0.25">
      <c r="A33" s="234">
        <f ca="1">N33</f>
        <v>4</v>
      </c>
      <c r="B33" s="235" t="str">
        <f>E2</f>
        <v>Norway</v>
      </c>
      <c r="C33" s="236">
        <v>3</v>
      </c>
      <c r="D33" s="236">
        <f ca="1">COUNTIF(FWinners,B33)</f>
        <v>0</v>
      </c>
      <c r="E33" s="236">
        <f ca="1">COUNTIF(FDraws,"D"&amp;B33)</f>
        <v>1</v>
      </c>
      <c r="F33" s="236">
        <f ca="1">COUNTIF(FLosers,B33)</f>
        <v>2</v>
      </c>
      <c r="G33" s="236">
        <f ca="1">G38+F40+F42</f>
        <v>2</v>
      </c>
      <c r="H33" s="236">
        <f ca="1">F38+G40+G42</f>
        <v>7</v>
      </c>
      <c r="I33" s="236">
        <f t="shared" ca="1" si="30"/>
        <v>-5</v>
      </c>
      <c r="J33" s="237">
        <f ca="1">Z13</f>
        <v>1</v>
      </c>
      <c r="K33" s="236">
        <f>VLOOKUP($B33,Lookup10,11,FALSE)</f>
        <v>0</v>
      </c>
      <c r="L33" s="236">
        <f>VLOOKUP($B33,Lookup11,2,FALSE)</f>
        <v>28</v>
      </c>
      <c r="M33" s="238">
        <f ca="1">ROUND(G33*G$34+I33*I$34+J33*J$34-K33*K$34-L33*L$34,8)</f>
        <v>9501.9971999999998</v>
      </c>
      <c r="N33" s="239">
        <f ca="1">RANK(M33,M$30:M$33,0)</f>
        <v>4</v>
      </c>
    </row>
    <row r="34" spans="1:16" x14ac:dyDescent="0.25">
      <c r="A34" s="240"/>
      <c r="B34" s="241" t="s">
        <v>636</v>
      </c>
      <c r="C34" s="242">
        <f>SUM(C30:C33)</f>
        <v>12</v>
      </c>
      <c r="D34" s="242"/>
      <c r="E34" s="242"/>
      <c r="F34" s="242"/>
      <c r="G34" s="205">
        <v>1</v>
      </c>
      <c r="H34" s="205"/>
      <c r="I34" s="205">
        <v>100</v>
      </c>
      <c r="J34" s="205">
        <v>10000</v>
      </c>
      <c r="K34" s="205">
        <v>0.01</v>
      </c>
      <c r="L34" s="205">
        <v>1E-4</v>
      </c>
      <c r="M34" s="242"/>
      <c r="N34" s="243"/>
    </row>
    <row r="35" spans="1:16" x14ac:dyDescent="0.25">
      <c r="A35" s="146"/>
      <c r="B35" s="146"/>
      <c r="C35" s="146"/>
      <c r="D35" s="146"/>
      <c r="E35" s="146"/>
      <c r="F35" s="146"/>
      <c r="G35" s="146"/>
      <c r="H35" s="146"/>
      <c r="I35" s="146"/>
      <c r="J35" s="146"/>
      <c r="K35" s="146"/>
      <c r="L35" s="146"/>
      <c r="M35" s="146"/>
      <c r="N35" s="146"/>
      <c r="O35" s="146"/>
      <c r="P35" s="146"/>
    </row>
    <row r="36" spans="1:16" x14ac:dyDescent="0.25">
      <c r="A36" s="147" t="s">
        <v>24</v>
      </c>
      <c r="B36" s="147" t="s">
        <v>618</v>
      </c>
      <c r="C36" s="147" t="s">
        <v>637</v>
      </c>
      <c r="D36" s="148" t="s">
        <v>18</v>
      </c>
      <c r="E36" s="148" t="s">
        <v>19</v>
      </c>
      <c r="F36" s="147" t="s">
        <v>638</v>
      </c>
      <c r="G36" s="147" t="s">
        <v>639</v>
      </c>
      <c r="H36" s="147" t="s">
        <v>640</v>
      </c>
      <c r="I36" s="147" t="s">
        <v>641</v>
      </c>
      <c r="J36" s="147" t="s">
        <v>642</v>
      </c>
      <c r="K36" s="147" t="s">
        <v>643</v>
      </c>
      <c r="L36" s="143"/>
      <c r="M36" s="143"/>
      <c r="N36" s="143"/>
      <c r="O36" s="143"/>
      <c r="P36" s="143"/>
    </row>
    <row r="37" spans="1:16" x14ac:dyDescent="0.25">
      <c r="A37" s="149" t="str">
        <f>B2&amp;C2</f>
        <v>FranceSenegal</v>
      </c>
      <c r="B37" s="158" t="str">
        <f>B1&amp;C1</f>
        <v>I1I2</v>
      </c>
      <c r="C37" s="158">
        <v>1</v>
      </c>
      <c r="D37" s="150" t="str">
        <f>B2</f>
        <v>France</v>
      </c>
      <c r="E37" s="150" t="str">
        <f>C2</f>
        <v>Senegal</v>
      </c>
      <c r="F37" s="158">
        <f t="shared" ref="F37:F42" ca="1" si="31">VLOOKUP($B37,Lookup18,6,FALSE)</f>
        <v>1</v>
      </c>
      <c r="G37" s="158">
        <f t="shared" ref="G37:G42" ca="1" si="32">VLOOKUP($B37,Lookup18,8,FALSE)</f>
        <v>1</v>
      </c>
      <c r="H37" s="158">
        <f t="shared" ref="H37:H42" ca="1" si="33">IF(C37=0,0,IF(F37&lt;G37,Lpts,IF(F37&gt;G37,Wpts,Dpts)))</f>
        <v>1</v>
      </c>
      <c r="I37" s="158">
        <f t="shared" ref="I37:I42" ca="1" si="34">IF(C37=0,0,IF(G37&lt;F37,Lpts,IF(G37&gt;F37,Wpts,Dpts)))</f>
        <v>1</v>
      </c>
      <c r="J37" s="158">
        <f t="shared" ref="J37:K42" si="35">IF(VLOOKUP($B37,Lookup12,4,FALSE)="",0,VLOOKUP($B37,Lookup12,4,FALSE))</f>
        <v>0</v>
      </c>
      <c r="K37" s="158">
        <f t="shared" si="35"/>
        <v>0</v>
      </c>
      <c r="L37" s="143"/>
      <c r="M37" s="143"/>
      <c r="N37" s="143"/>
      <c r="O37" s="143"/>
      <c r="P37" s="143"/>
    </row>
    <row r="38" spans="1:16" x14ac:dyDescent="0.25">
      <c r="A38" s="149" t="str">
        <f>D2&amp;E2</f>
        <v>IraqNorway</v>
      </c>
      <c r="B38" s="158" t="str">
        <f>D1&amp;E1</f>
        <v>I3I4</v>
      </c>
      <c r="C38" s="158">
        <v>1</v>
      </c>
      <c r="D38" s="150" t="str">
        <f>D2</f>
        <v>Iraq</v>
      </c>
      <c r="E38" s="150" t="str">
        <f>E2</f>
        <v>Norway</v>
      </c>
      <c r="F38" s="158">
        <f t="shared" ca="1" si="31"/>
        <v>1</v>
      </c>
      <c r="G38" s="158">
        <f t="shared" ca="1" si="32"/>
        <v>1</v>
      </c>
      <c r="H38" s="158">
        <f t="shared" ca="1" si="33"/>
        <v>1</v>
      </c>
      <c r="I38" s="158">
        <f t="shared" ca="1" si="34"/>
        <v>1</v>
      </c>
      <c r="J38" s="158">
        <f t="shared" si="35"/>
        <v>0</v>
      </c>
      <c r="K38" s="158">
        <f t="shared" si="35"/>
        <v>0</v>
      </c>
      <c r="L38" s="143"/>
      <c r="M38" s="143"/>
      <c r="N38" s="143"/>
      <c r="O38" s="143"/>
      <c r="P38" s="143"/>
    </row>
    <row r="39" spans="1:16" x14ac:dyDescent="0.25">
      <c r="A39" s="149" t="str">
        <f>B2&amp;D2</f>
        <v>FranceIraq</v>
      </c>
      <c r="B39" s="158" t="str">
        <f>B1&amp;D1</f>
        <v>I1I3</v>
      </c>
      <c r="C39" s="158">
        <v>1</v>
      </c>
      <c r="D39" s="150" t="str">
        <f>B2</f>
        <v>France</v>
      </c>
      <c r="E39" s="150" t="str">
        <f>D2</f>
        <v>Iraq</v>
      </c>
      <c r="F39" s="158">
        <f t="shared" ca="1" si="31"/>
        <v>2</v>
      </c>
      <c r="G39" s="158">
        <f t="shared" ca="1" si="32"/>
        <v>0</v>
      </c>
      <c r="H39" s="158">
        <f t="shared" ca="1" si="33"/>
        <v>3</v>
      </c>
      <c r="I39" s="158">
        <f t="shared" ca="1" si="34"/>
        <v>0</v>
      </c>
      <c r="J39" s="158">
        <f t="shared" si="35"/>
        <v>0</v>
      </c>
      <c r="K39" s="158">
        <f t="shared" si="35"/>
        <v>0</v>
      </c>
      <c r="L39" s="143"/>
      <c r="M39" s="143"/>
      <c r="N39" s="143"/>
      <c r="O39" s="143"/>
      <c r="P39" s="143"/>
    </row>
    <row r="40" spans="1:16" x14ac:dyDescent="0.25">
      <c r="A40" s="149" t="str">
        <f>E2&amp;C2</f>
        <v>NorwaySenegal</v>
      </c>
      <c r="B40" s="158" t="str">
        <f>E1&amp;C1</f>
        <v>I4I2</v>
      </c>
      <c r="C40" s="158">
        <v>1</v>
      </c>
      <c r="D40" s="150" t="str">
        <f>E2</f>
        <v>Norway</v>
      </c>
      <c r="E40" s="150" t="str">
        <f>C2</f>
        <v>Senegal</v>
      </c>
      <c r="F40" s="158">
        <f t="shared" ca="1" si="31"/>
        <v>0</v>
      </c>
      <c r="G40" s="158">
        <f t="shared" ca="1" si="32"/>
        <v>4</v>
      </c>
      <c r="H40" s="158">
        <f t="shared" ca="1" si="33"/>
        <v>0</v>
      </c>
      <c r="I40" s="158">
        <f t="shared" ca="1" si="34"/>
        <v>3</v>
      </c>
      <c r="J40" s="158">
        <f t="shared" si="35"/>
        <v>0</v>
      </c>
      <c r="K40" s="158">
        <f t="shared" si="35"/>
        <v>0</v>
      </c>
      <c r="L40" s="143"/>
      <c r="M40" s="143"/>
      <c r="N40" s="143"/>
      <c r="O40" s="143"/>
      <c r="P40" s="143"/>
    </row>
    <row r="41" spans="1:16" x14ac:dyDescent="0.25">
      <c r="A41" s="149" t="str">
        <f>C2&amp;D2</f>
        <v>SenegalIraq</v>
      </c>
      <c r="B41" s="158" t="str">
        <f>C1&amp;D1</f>
        <v>I2I3</v>
      </c>
      <c r="C41" s="158">
        <v>1</v>
      </c>
      <c r="D41" s="150" t="str">
        <f>C2</f>
        <v>Senegal</v>
      </c>
      <c r="E41" s="150" t="str">
        <f>D2</f>
        <v>Iraq</v>
      </c>
      <c r="F41" s="158">
        <f t="shared" ca="1" si="31"/>
        <v>2</v>
      </c>
      <c r="G41" s="158">
        <f t="shared" ca="1" si="32"/>
        <v>0</v>
      </c>
      <c r="H41" s="158">
        <f t="shared" ca="1" si="33"/>
        <v>3</v>
      </c>
      <c r="I41" s="158">
        <f t="shared" ca="1" si="34"/>
        <v>0</v>
      </c>
      <c r="J41" s="158">
        <f t="shared" si="35"/>
        <v>0</v>
      </c>
      <c r="K41" s="158">
        <f t="shared" si="35"/>
        <v>0</v>
      </c>
      <c r="L41" s="143"/>
      <c r="M41" s="143"/>
      <c r="N41" s="143"/>
      <c r="O41" s="143"/>
      <c r="P41" s="143"/>
    </row>
    <row r="42" spans="1:16" x14ac:dyDescent="0.25">
      <c r="A42" s="151" t="str">
        <f>E2&amp;B2</f>
        <v>NorwayFrance</v>
      </c>
      <c r="B42" s="159" t="str">
        <f>E1&amp;B1</f>
        <v>I4I1</v>
      </c>
      <c r="C42" s="159">
        <v>1</v>
      </c>
      <c r="D42" s="152" t="str">
        <f>E2</f>
        <v>Norway</v>
      </c>
      <c r="E42" s="152" t="str">
        <f>B2</f>
        <v>France</v>
      </c>
      <c r="F42" s="159">
        <f t="shared" ca="1" si="31"/>
        <v>1</v>
      </c>
      <c r="G42" s="159">
        <f t="shared" ca="1" si="32"/>
        <v>2</v>
      </c>
      <c r="H42" s="159">
        <f t="shared" ca="1" si="33"/>
        <v>0</v>
      </c>
      <c r="I42" s="159">
        <f t="shared" ca="1" si="34"/>
        <v>3</v>
      </c>
      <c r="J42" s="159">
        <f t="shared" si="35"/>
        <v>0</v>
      </c>
      <c r="K42" s="159">
        <f t="shared" si="35"/>
        <v>0</v>
      </c>
      <c r="L42" s="143"/>
      <c r="M42" s="143"/>
      <c r="N42" s="143"/>
      <c r="O42" s="143"/>
      <c r="P42" s="143"/>
    </row>
    <row r="43" spans="1:16" x14ac:dyDescent="0.25">
      <c r="A43" s="143"/>
      <c r="B43" s="143"/>
      <c r="C43" s="143"/>
      <c r="D43" s="143"/>
      <c r="E43" s="143"/>
      <c r="F43" s="143"/>
      <c r="G43" s="143"/>
      <c r="H43" s="143"/>
      <c r="I43" s="143"/>
      <c r="J43" s="143"/>
      <c r="K43" s="143"/>
      <c r="L43" s="143"/>
      <c r="M43" s="143"/>
      <c r="N43" s="143"/>
      <c r="O43" s="143"/>
      <c r="P43" s="143"/>
    </row>
    <row r="44" spans="1:16" x14ac:dyDescent="0.25">
      <c r="A44" s="153" t="s">
        <v>644</v>
      </c>
      <c r="B44" s="153" t="s">
        <v>310</v>
      </c>
      <c r="C44" s="154" t="s">
        <v>304</v>
      </c>
      <c r="D44" s="154" t="s">
        <v>669</v>
      </c>
      <c r="E44" s="154" t="s">
        <v>670</v>
      </c>
      <c r="F44" s="154" t="s">
        <v>671</v>
      </c>
      <c r="G44" s="154" t="s">
        <v>645</v>
      </c>
      <c r="H44" s="154" t="s">
        <v>646</v>
      </c>
      <c r="I44" s="154" t="s">
        <v>308</v>
      </c>
      <c r="J44" s="154" t="s">
        <v>309</v>
      </c>
      <c r="K44" s="153" t="s">
        <v>310</v>
      </c>
      <c r="L44" s="154" t="str">
        <f ca="1">$B45</f>
        <v>Senegal</v>
      </c>
      <c r="M44" s="154" t="str">
        <f ca="1">$B46</f>
        <v>France</v>
      </c>
      <c r="N44" s="154" t="str">
        <f ca="1">$B47</f>
        <v>Iraq</v>
      </c>
      <c r="O44" s="154" t="str">
        <f ca="1">$B48</f>
        <v>Norway</v>
      </c>
      <c r="P44" s="155"/>
    </row>
    <row r="45" spans="1:16" x14ac:dyDescent="0.25">
      <c r="A45" s="156">
        <v>1</v>
      </c>
      <c r="B45" s="156" t="str">
        <f ca="1">VLOOKUP($A45,Ranking,2,FALSE)</f>
        <v>Senegal</v>
      </c>
      <c r="C45" s="157">
        <v>3</v>
      </c>
      <c r="D45" s="157">
        <f ca="1">VLOOKUP($A45,Ranking,4,FALSE)</f>
        <v>2</v>
      </c>
      <c r="E45" s="157">
        <f ca="1">VLOOKUP($A45,Ranking,5,FALSE)</f>
        <v>1</v>
      </c>
      <c r="F45" s="157">
        <f ca="1">VLOOKUP($A45,Ranking,6,FALSE)</f>
        <v>0</v>
      </c>
      <c r="G45" s="157">
        <f ca="1">VLOOKUP($A45,Ranking,7,FALSE)</f>
        <v>7</v>
      </c>
      <c r="H45" s="157">
        <f ca="1">VLOOKUP($A45,Ranking,8,FALSE)</f>
        <v>1</v>
      </c>
      <c r="I45" s="157">
        <f ca="1">G45-H45</f>
        <v>6</v>
      </c>
      <c r="J45" s="157">
        <f ca="1">D45*Wpts+E45*Dpts+FGrpI!F45*Lpts</f>
        <v>7</v>
      </c>
      <c r="K45" s="201" t="str">
        <f ca="1">B45</f>
        <v>Senegal</v>
      </c>
      <c r="L45" s="203"/>
      <c r="M45" s="202" t="str">
        <f ca="1">IFERROR(VLOOKUP($B45&amp;M$44,A37:G42,6,FALSE)&amp;"-"&amp;VLOOKUP($B45&amp;M$44,A37:G42,7,FALSE),VLOOKUP(M$44&amp;$B45,A37:G42,7,FALSE)&amp;"-"&amp;VLOOKUP(M$44&amp;$B45,A37:G42,6,FALSE))</f>
        <v>1-1</v>
      </c>
      <c r="N45" s="202" t="str">
        <f ca="1">IFERROR(VLOOKUP($B45&amp;N$44,A37:G42,6,FALSE)&amp;"-"&amp;VLOOKUP($B45&amp;N$44,A37:G42,7,FALSE),VLOOKUP(N$44&amp;$B45,A37:G42,7,FALSE)&amp;"-"&amp;VLOOKUP(N$44&amp;$B45,A37:G42,6,FALSE))</f>
        <v>2-0</v>
      </c>
      <c r="O45" s="202" t="str">
        <f ca="1">IFERROR(VLOOKUP($B45&amp;O$44,A37:G42,6,FALSE)&amp;"-"&amp;VLOOKUP($B45&amp;O$44,A37:G42,7,FALSE),VLOOKUP(O$44&amp;$B45,A37:G42,7,FALSE)&amp;"-"&amp;VLOOKUP(O$44&amp;$B45,A37:G42,6,FALSE))</f>
        <v>4-0</v>
      </c>
      <c r="P45" s="155"/>
    </row>
    <row r="46" spans="1:16" x14ac:dyDescent="0.25">
      <c r="A46" s="156">
        <v>2</v>
      </c>
      <c r="B46" s="156" t="str">
        <f ca="1">VLOOKUP($A46,Ranking,2,FALSE)</f>
        <v>France</v>
      </c>
      <c r="C46" s="157">
        <v>3</v>
      </c>
      <c r="D46" s="157">
        <f ca="1">VLOOKUP($A46,Ranking,4,FALSE)</f>
        <v>2</v>
      </c>
      <c r="E46" s="157">
        <f ca="1">VLOOKUP($A46,Ranking,5,FALSE)</f>
        <v>1</v>
      </c>
      <c r="F46" s="157">
        <f ca="1">VLOOKUP($A46,Ranking,6,FALSE)</f>
        <v>0</v>
      </c>
      <c r="G46" s="157">
        <f ca="1">VLOOKUP($A46,Ranking,7,FALSE)</f>
        <v>5</v>
      </c>
      <c r="H46" s="157">
        <f ca="1">VLOOKUP($A46,Ranking,8,FALSE)</f>
        <v>2</v>
      </c>
      <c r="I46" s="157">
        <f t="shared" ref="I46:I48" ca="1" si="36">G46-H46</f>
        <v>3</v>
      </c>
      <c r="J46" s="157">
        <f ca="1">D46*Wpts+E46*Dpts+FGrpI!F46*Lpts</f>
        <v>7</v>
      </c>
      <c r="K46" s="201" t="str">
        <f ca="1">B46</f>
        <v>France</v>
      </c>
      <c r="L46" s="202" t="str">
        <f ca="1">IFERROR(VLOOKUP($B46&amp;L$44,A37:G42,6,FALSE)&amp;"-"&amp;VLOOKUP($B46&amp;L$44,A37:G42,7,FALSE),VLOOKUP(L$44&amp;$B46,A37:G42,7,FALSE)&amp;"-"&amp;VLOOKUP(L$44&amp;$B46,A37:G42,6,FALSE))</f>
        <v>1-1</v>
      </c>
      <c r="M46" s="203"/>
      <c r="N46" s="202" t="str">
        <f ca="1">IFERROR(VLOOKUP($B46&amp;N$44,A37:G42,6,FALSE)&amp;"-"&amp;VLOOKUP($B46&amp;N$44,A37:G42,7,FALSE),VLOOKUP(N$44&amp;$B46,A37:G42,7,FALSE)&amp;"-"&amp;VLOOKUP(N$44&amp;$B46,A37:G42,6,FALSE))</f>
        <v>2-0</v>
      </c>
      <c r="O46" s="202" t="str">
        <f ca="1">IFERROR(VLOOKUP($B46&amp;O$44,A37:G42,6,FALSE)&amp;"-"&amp;VLOOKUP($B46&amp;O$44,A37:G42,7,FALSE),VLOOKUP(O$44&amp;$B46,A37:G42,7,FALSE)&amp;"-"&amp;VLOOKUP(O$44&amp;$B46,A37:G42,6,FALSE))</f>
        <v>2-1</v>
      </c>
      <c r="P46" s="155"/>
    </row>
    <row r="47" spans="1:16" x14ac:dyDescent="0.25">
      <c r="A47" s="156">
        <v>3</v>
      </c>
      <c r="B47" s="156" t="str">
        <f ca="1">VLOOKUP($A47,Ranking,2,FALSE)</f>
        <v>Iraq</v>
      </c>
      <c r="C47" s="157">
        <v>3</v>
      </c>
      <c r="D47" s="157">
        <f ca="1">VLOOKUP($A47,Ranking,4,FALSE)</f>
        <v>0</v>
      </c>
      <c r="E47" s="157">
        <f ca="1">VLOOKUP($A47,Ranking,5,FALSE)</f>
        <v>1</v>
      </c>
      <c r="F47" s="157">
        <f ca="1">VLOOKUP($A47,Ranking,6,FALSE)</f>
        <v>2</v>
      </c>
      <c r="G47" s="157">
        <f ca="1">VLOOKUP($A47,Ranking,7,FALSE)</f>
        <v>1</v>
      </c>
      <c r="H47" s="157">
        <f ca="1">VLOOKUP($A47,Ranking,8,FALSE)</f>
        <v>5</v>
      </c>
      <c r="I47" s="157">
        <f t="shared" ca="1" si="36"/>
        <v>-4</v>
      </c>
      <c r="J47" s="157">
        <f ca="1">D47*Wpts+E47*Dpts+FGrpI!F47*Lpts</f>
        <v>1</v>
      </c>
      <c r="K47" s="201" t="str">
        <f ca="1">B47</f>
        <v>Iraq</v>
      </c>
      <c r="L47" s="202" t="str">
        <f ca="1">IFERROR(VLOOKUP($B47&amp;L$44,A37:G42,6,FALSE)&amp;"-"&amp;VLOOKUP($B47&amp;L$44,A37:G42,7,FALSE),VLOOKUP(L$44&amp;$B47,A37:G42,7,FALSE)&amp;"-"&amp;VLOOKUP(L$44&amp;$B47,A37:G42,6,FALSE))</f>
        <v>0-2</v>
      </c>
      <c r="M47" s="202" t="str">
        <f ca="1">IFERROR(VLOOKUP($B47&amp;M$44,A37:G42,6,FALSE)&amp;"-"&amp;VLOOKUP($B47&amp;M$44,A37:G42,7,FALSE),VLOOKUP(M$44&amp;$B47,A37:G42,7,FALSE)&amp;"-"&amp;VLOOKUP(M$44&amp;$B47,A37:G42,6,FALSE))</f>
        <v>0-2</v>
      </c>
      <c r="N47" s="203"/>
      <c r="O47" s="202" t="str">
        <f ca="1">IFERROR(VLOOKUP($B47&amp;O$44,A37:G42,6,FALSE)&amp;"-"&amp;VLOOKUP($B47&amp;O$44,A37:G42,7,FALSE),VLOOKUP(O$44&amp;$B47,A37:G42,7,FALSE)&amp;"-"&amp;VLOOKUP(O$44&amp;$B47,A37:G42,6,FALSE))</f>
        <v>1-1</v>
      </c>
      <c r="P47" s="155"/>
    </row>
    <row r="48" spans="1:16" x14ac:dyDescent="0.25">
      <c r="A48" s="156">
        <v>4</v>
      </c>
      <c r="B48" s="156" t="str">
        <f ca="1">VLOOKUP($A48,Ranking,2,FALSE)</f>
        <v>Norway</v>
      </c>
      <c r="C48" s="157">
        <v>3</v>
      </c>
      <c r="D48" s="157">
        <f ca="1">VLOOKUP($A48,Ranking,4,FALSE)</f>
        <v>0</v>
      </c>
      <c r="E48" s="157">
        <f ca="1">VLOOKUP($A48,Ranking,5,FALSE)</f>
        <v>1</v>
      </c>
      <c r="F48" s="157">
        <f ca="1">VLOOKUP($A48,Ranking,6,FALSE)</f>
        <v>2</v>
      </c>
      <c r="G48" s="157">
        <f ca="1">VLOOKUP($A48,Ranking,7,FALSE)</f>
        <v>2</v>
      </c>
      <c r="H48" s="157">
        <f ca="1">VLOOKUP($A48,Ranking,8,FALSE)</f>
        <v>7</v>
      </c>
      <c r="I48" s="157">
        <f t="shared" ca="1" si="36"/>
        <v>-5</v>
      </c>
      <c r="J48" s="157">
        <f ca="1">D48*Wpts+E48*Dpts+FGrpI!F48*Lpts</f>
        <v>1</v>
      </c>
      <c r="K48" s="201" t="str">
        <f ca="1">B48</f>
        <v>Norway</v>
      </c>
      <c r="L48" s="202" t="str">
        <f ca="1">IFERROR(VLOOKUP($B48&amp;L$44,A37:G42,6,FALSE)&amp;"-"&amp;VLOOKUP($B48&amp;L$44,A37:G42,7,FALSE),VLOOKUP(L$44&amp;$B48,A37:G42,7,FALSE)&amp;"-"&amp;VLOOKUP(L$44&amp;$B48,A37:G42,6,FALSE))</f>
        <v>0-4</v>
      </c>
      <c r="M48" s="202" t="str">
        <f ca="1">IFERROR(VLOOKUP($B48&amp;M$44,A37:G42,6,FALSE)&amp;"-"&amp;VLOOKUP($B48&amp;M$44,A37:G42,7,FALSE),VLOOKUP(M$44&amp;$B48,A37:G42,7,FALSE)&amp;"-"&amp;VLOOKUP(M$44&amp;$B48,A37:G42,6,FALSE))</f>
        <v>1-2</v>
      </c>
      <c r="N48" s="202" t="str">
        <f ca="1">IFERROR(VLOOKUP($B48&amp;N$44,A37:G42,6,FALSE)&amp;"-"&amp;VLOOKUP($B48&amp;N$44,A37:G42,7,FALSE),VLOOKUP(N$44&amp;$B48,A37:G42,7,FALSE)&amp;"-"&amp;VLOOKUP(N$44&amp;$B48,A37:G42,6,FALSE))</f>
        <v>1-1</v>
      </c>
      <c r="O48" s="203"/>
      <c r="P48" s="155"/>
    </row>
    <row r="49" spans="1:16" x14ac:dyDescent="0.25">
      <c r="A49" s="143"/>
      <c r="B49" s="143"/>
      <c r="C49" s="461">
        <f>SUM(C45:C48)</f>
        <v>12</v>
      </c>
      <c r="D49" s="143"/>
      <c r="E49" s="143"/>
      <c r="F49" s="143"/>
      <c r="G49" s="143"/>
      <c r="H49" s="143"/>
      <c r="I49" s="143"/>
      <c r="J49" s="143"/>
      <c r="K49" s="143"/>
      <c r="L49" s="143"/>
      <c r="M49" s="143"/>
      <c r="N49" s="143"/>
      <c r="O49" s="143"/>
      <c r="P49" s="14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46</vt:i4>
      </vt:variant>
      <vt:variant>
        <vt:lpstr>Named Ranges</vt:lpstr>
      </vt:variant>
      <vt:variant>
        <vt:i4>163</vt:i4>
      </vt:variant>
    </vt:vector>
  </HeadingPairs>
  <TitlesOfParts>
    <vt:vector size="209" baseType="lpstr">
      <vt:lpstr>FGrpA</vt:lpstr>
      <vt:lpstr>FGrpB</vt:lpstr>
      <vt:lpstr>FGrpC</vt:lpstr>
      <vt:lpstr>FGrpD</vt:lpstr>
      <vt:lpstr>FGrpE</vt:lpstr>
      <vt:lpstr>FGrpF</vt:lpstr>
      <vt:lpstr>FGrpG</vt:lpstr>
      <vt:lpstr>FGrpH</vt:lpstr>
      <vt:lpstr>FGrpI</vt:lpstr>
      <vt:lpstr>FGrpJ</vt:lpstr>
      <vt:lpstr>FGrpK</vt:lpstr>
      <vt:lpstr>FGrpL</vt:lpstr>
      <vt:lpstr>FThirdPlace</vt:lpstr>
      <vt:lpstr>GrpA</vt:lpstr>
      <vt:lpstr>GrpB</vt:lpstr>
      <vt:lpstr>GrpC</vt:lpstr>
      <vt:lpstr>GrpD</vt:lpstr>
      <vt:lpstr>GrpE</vt:lpstr>
      <vt:lpstr>GrpF</vt:lpstr>
      <vt:lpstr>GrpG</vt:lpstr>
      <vt:lpstr>GrpH</vt:lpstr>
      <vt:lpstr>GrpI</vt:lpstr>
      <vt:lpstr>GrpJ</vt:lpstr>
      <vt:lpstr>GrpK</vt:lpstr>
      <vt:lpstr>GrpL</vt:lpstr>
      <vt:lpstr>ThirdPlace</vt:lpstr>
      <vt:lpstr>Help</vt:lpstr>
      <vt:lpstr>Poster</vt:lpstr>
      <vt:lpstr>Forecast</vt:lpstr>
      <vt:lpstr>KO Stage</vt:lpstr>
      <vt:lpstr>Forecast KO</vt:lpstr>
      <vt:lpstr>Outright Predictions</vt:lpstr>
      <vt:lpstr>Ranking</vt:lpstr>
      <vt:lpstr>Fair Play</vt:lpstr>
      <vt:lpstr>Stadia</vt:lpstr>
      <vt:lpstr>Data</vt:lpstr>
      <vt:lpstr>Teams</vt:lpstr>
      <vt:lpstr>Settings</vt:lpstr>
      <vt:lpstr>Results</vt:lpstr>
      <vt:lpstr>FResults</vt:lpstr>
      <vt:lpstr>FScores</vt:lpstr>
      <vt:lpstr>Random</vt:lpstr>
      <vt:lpstr>Calculator</vt:lpstr>
      <vt:lpstr>AnnexeC</vt:lpstr>
      <vt:lpstr>DataTable</vt:lpstr>
      <vt:lpstr>Odds</vt:lpstr>
      <vt:lpstr>AnnexeC</vt:lpstr>
      <vt:lpstr>Bonus</vt:lpstr>
      <vt:lpstr>DFactor</vt:lpstr>
      <vt:lpstr>Dpts</vt:lpstr>
      <vt:lpstr>FDraws</vt:lpstr>
      <vt:lpstr>FGoalDiff</vt:lpstr>
      <vt:lpstr>FGroupstage_Losers</vt:lpstr>
      <vt:lpstr>FGroupstage_Winners</vt:lpstr>
      <vt:lpstr>FLookup1</vt:lpstr>
      <vt:lpstr>FLookup2</vt:lpstr>
      <vt:lpstr>FLookup3</vt:lpstr>
      <vt:lpstr>FLosers</vt:lpstr>
      <vt:lpstr>FGrpB!FTable</vt:lpstr>
      <vt:lpstr>FGrpC!FTable</vt:lpstr>
      <vt:lpstr>FGrpD!FTable</vt:lpstr>
      <vt:lpstr>FGrpE!FTable</vt:lpstr>
      <vt:lpstr>FGrpF!FTable</vt:lpstr>
      <vt:lpstr>FGrpG!FTable</vt:lpstr>
      <vt:lpstr>FGrpH!FTable</vt:lpstr>
      <vt:lpstr>FGrpI!FTable</vt:lpstr>
      <vt:lpstr>FGrpJ!FTable</vt:lpstr>
      <vt:lpstr>FGrpK!FTable</vt:lpstr>
      <vt:lpstr>FGrpL!FTable</vt:lpstr>
      <vt:lpstr>FTable</vt:lpstr>
      <vt:lpstr>FWinners</vt:lpstr>
      <vt:lpstr>GoalDiff</vt:lpstr>
      <vt:lpstr>GOFF</vt:lpstr>
      <vt:lpstr>Group_Draws</vt:lpstr>
      <vt:lpstr>Group_Losers</vt:lpstr>
      <vt:lpstr>Group_Winners</vt:lpstr>
      <vt:lpstr>GroupStage</vt:lpstr>
      <vt:lpstr>KFactor</vt:lpstr>
      <vt:lpstr>League</vt:lpstr>
      <vt:lpstr>Lookup01</vt:lpstr>
      <vt:lpstr>Lookup02</vt:lpstr>
      <vt:lpstr>Lookup03</vt:lpstr>
      <vt:lpstr>Lookup04</vt:lpstr>
      <vt:lpstr>Lookup05</vt:lpstr>
      <vt:lpstr>Lookup06</vt:lpstr>
      <vt:lpstr>Lookup07</vt:lpstr>
      <vt:lpstr>Lookup08</vt:lpstr>
      <vt:lpstr>Lookup09</vt:lpstr>
      <vt:lpstr>Lookup10</vt:lpstr>
      <vt:lpstr>Lookup11</vt:lpstr>
      <vt:lpstr>Lookup12</vt:lpstr>
      <vt:lpstr>FThirdPlace!Lookup13</vt:lpstr>
      <vt:lpstr>Lookup13</vt:lpstr>
      <vt:lpstr>Lookup14</vt:lpstr>
      <vt:lpstr>Lookup15</vt:lpstr>
      <vt:lpstr>Lookup16</vt:lpstr>
      <vt:lpstr>Lookup17</vt:lpstr>
      <vt:lpstr>Lookup18</vt:lpstr>
      <vt:lpstr>Lookup19</vt:lpstr>
      <vt:lpstr>Lookup20</vt:lpstr>
      <vt:lpstr>Lots</vt:lpstr>
      <vt:lpstr>Lpts</vt:lpstr>
      <vt:lpstr>Number</vt:lpstr>
      <vt:lpstr>Odds</vt:lpstr>
      <vt:lpstr>Poster!Print_Area</vt:lpstr>
      <vt:lpstr>Random90</vt:lpstr>
      <vt:lpstr>RandomAET</vt:lpstr>
      <vt:lpstr>RandomPen</vt:lpstr>
      <vt:lpstr>FGrpA!Ranking</vt:lpstr>
      <vt:lpstr>FGrpB!Ranking</vt:lpstr>
      <vt:lpstr>FGrpC!Ranking</vt:lpstr>
      <vt:lpstr>FGrpD!Ranking</vt:lpstr>
      <vt:lpstr>FGrpE!Ranking</vt:lpstr>
      <vt:lpstr>FGrpF!Ranking</vt:lpstr>
      <vt:lpstr>FGrpG!Ranking</vt:lpstr>
      <vt:lpstr>FGrpH!Ranking</vt:lpstr>
      <vt:lpstr>FGrpI!Ranking</vt:lpstr>
      <vt:lpstr>FGrpJ!Ranking</vt:lpstr>
      <vt:lpstr>FGrpK!Ranking</vt:lpstr>
      <vt:lpstr>FGrpL!Ranking</vt:lpstr>
      <vt:lpstr>RankingA</vt:lpstr>
      <vt:lpstr>GrpB!RankingB</vt:lpstr>
      <vt:lpstr>GrpC!RankingC</vt:lpstr>
      <vt:lpstr>GrpD!RankingD</vt:lpstr>
      <vt:lpstr>GrpE!RankingE</vt:lpstr>
      <vt:lpstr>GrpF!RankingF</vt:lpstr>
      <vt:lpstr>GrpG!RankingG</vt:lpstr>
      <vt:lpstr>GrpH!RankingH</vt:lpstr>
      <vt:lpstr>GrpI!RankingI</vt:lpstr>
      <vt:lpstr>GrpJ!RankingJ</vt:lpstr>
      <vt:lpstr>GrpK!RankingK</vt:lpstr>
      <vt:lpstr>GrpL!RankingL</vt:lpstr>
      <vt:lpstr>Ratings</vt:lpstr>
      <vt:lpstr>RFactor</vt:lpstr>
      <vt:lpstr>RND90M</vt:lpstr>
      <vt:lpstr>RNDAET</vt:lpstr>
      <vt:lpstr>RNDPEN</vt:lpstr>
      <vt:lpstr>Rounds</vt:lpstr>
      <vt:lpstr>Stadium1</vt:lpstr>
      <vt:lpstr>Stadium10</vt:lpstr>
      <vt:lpstr>Stadium11</vt:lpstr>
      <vt:lpstr>Stadium12</vt:lpstr>
      <vt:lpstr>Stadium13</vt:lpstr>
      <vt:lpstr>Stadium14</vt:lpstr>
      <vt:lpstr>Stadium15</vt:lpstr>
      <vt:lpstr>Stadium16</vt:lpstr>
      <vt:lpstr>Stadium2</vt:lpstr>
      <vt:lpstr>Stadium3</vt:lpstr>
      <vt:lpstr>Stadium4</vt:lpstr>
      <vt:lpstr>Stadium5</vt:lpstr>
      <vt:lpstr>Stadium6</vt:lpstr>
      <vt:lpstr>Stadium7</vt:lpstr>
      <vt:lpstr>Stadium8</vt:lpstr>
      <vt:lpstr>Stadium9</vt:lpstr>
      <vt:lpstr>Team</vt:lpstr>
      <vt:lpstr>TeamA1</vt:lpstr>
      <vt:lpstr>TeamA2</vt:lpstr>
      <vt:lpstr>TeamA3</vt:lpstr>
      <vt:lpstr>TeamA4</vt:lpstr>
      <vt:lpstr>TeamB1</vt:lpstr>
      <vt:lpstr>TeamB2</vt:lpstr>
      <vt:lpstr>TeamB3</vt:lpstr>
      <vt:lpstr>TeamB4</vt:lpstr>
      <vt:lpstr>TeamC1</vt:lpstr>
      <vt:lpstr>TeamC2</vt:lpstr>
      <vt:lpstr>TeamC3</vt:lpstr>
      <vt:lpstr>TeamC4</vt:lpstr>
      <vt:lpstr>TeamD1</vt:lpstr>
      <vt:lpstr>TeamD2</vt:lpstr>
      <vt:lpstr>TeamD3</vt:lpstr>
      <vt:lpstr>TeamD4</vt:lpstr>
      <vt:lpstr>TeamE1</vt:lpstr>
      <vt:lpstr>TeamE2</vt:lpstr>
      <vt:lpstr>TeamE3</vt:lpstr>
      <vt:lpstr>TeamE4</vt:lpstr>
      <vt:lpstr>TeamF1</vt:lpstr>
      <vt:lpstr>TeamF2</vt:lpstr>
      <vt:lpstr>TeamF3</vt:lpstr>
      <vt:lpstr>TeamF4</vt:lpstr>
      <vt:lpstr>TeamG1</vt:lpstr>
      <vt:lpstr>TeamG2</vt:lpstr>
      <vt:lpstr>TeamG3</vt:lpstr>
      <vt:lpstr>TeamG4</vt:lpstr>
      <vt:lpstr>TeamH1</vt:lpstr>
      <vt:lpstr>TeamH2</vt:lpstr>
      <vt:lpstr>TeamH3</vt:lpstr>
      <vt:lpstr>TeamH4</vt:lpstr>
      <vt:lpstr>TeamI1</vt:lpstr>
      <vt:lpstr>TeamI2</vt:lpstr>
      <vt:lpstr>TeamI3</vt:lpstr>
      <vt:lpstr>TeamI4</vt:lpstr>
      <vt:lpstr>TeamJ1</vt:lpstr>
      <vt:lpstr>TeamJ2</vt:lpstr>
      <vt:lpstr>TeamJ3</vt:lpstr>
      <vt:lpstr>TeamJ4</vt:lpstr>
      <vt:lpstr>TeamK1</vt:lpstr>
      <vt:lpstr>TeamK2</vt:lpstr>
      <vt:lpstr>TeamK3</vt:lpstr>
      <vt:lpstr>TeamK4</vt:lpstr>
      <vt:lpstr>TeamL1</vt:lpstr>
      <vt:lpstr>TeamL2</vt:lpstr>
      <vt:lpstr>TeamL3</vt:lpstr>
      <vt:lpstr>TeamL4</vt:lpstr>
      <vt:lpstr>Wpts</vt:lpstr>
      <vt:lpstr>XFinalist</vt:lpstr>
      <vt:lpstr>XGroup</vt:lpstr>
      <vt:lpstr>XSemi</vt:lpstr>
      <vt:lpstr>XTable</vt:lpstr>
      <vt:lpstr>XWinner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World Cup 2026</dc:title>
  <dc:creator>David</dc:creator>
  <dc:description>Ver 04 15 June 2026 minor bug on Forecast KO Tab
Ver 03 11 June 2026
FIFA Rankings updated
Ver 02 09 June 2026
Help File and removal of 0-0 score when not played in KO Tab
World Cup Americas
Ver 01 06 June 2026</dc:description>
  <cp:lastModifiedBy>David Fryer</cp:lastModifiedBy>
  <cp:lastPrinted>2026-04-27T15:39:07Z</cp:lastPrinted>
  <dcterms:created xsi:type="dcterms:W3CDTF">2016-08-10T08:46:55Z</dcterms:created>
  <dcterms:modified xsi:type="dcterms:W3CDTF">2026-06-16T05:52:13Z</dcterms:modified>
  <cp:contentStatus>Ver 2026/04</cp:contentStatus>
</cp:coreProperties>
</file>